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results\09-2022\input_data\"/>
    </mc:Choice>
  </mc:AlternateContent>
  <xr:revisionPtr revIDLastSave="0" documentId="13_ncr:1_{66D442C1-7147-43AF-937B-AC4FE88DA34D}" xr6:coauthVersionLast="47" xr6:coauthVersionMax="47" xr10:uidLastSave="{00000000-0000-0000-0000-000000000000}"/>
  <bookViews>
    <workbookView xWindow="0" yWindow="10" windowWidth="19190" windowHeight="10190" firstSheet="3"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3" i="26" l="1"/>
  <c r="S105" i="26"/>
  <c r="O47" i="20"/>
  <c r="P47" i="20"/>
  <c r="Q47" i="20"/>
  <c r="R47" i="20"/>
  <c r="V47" i="20"/>
  <c r="W47" i="20"/>
  <c r="X47" i="20"/>
  <c r="Y47" i="20"/>
  <c r="Z47" i="20"/>
  <c r="AA47" i="20"/>
  <c r="N47" i="20"/>
  <c r="Y76" i="59"/>
  <c r="U76" i="59"/>
  <c r="G81" i="59"/>
  <c r="F81" i="59"/>
  <c r="U78" i="59"/>
  <c r="V78" i="59" s="1"/>
  <c r="W78" i="59" s="1"/>
  <c r="X78" i="59" s="1"/>
  <c r="Y78" i="59" s="1"/>
  <c r="Z78" i="59" s="1"/>
  <c r="AA78" i="59" s="1"/>
  <c r="AB78" i="59" s="1"/>
  <c r="AC78" i="59" s="1"/>
  <c r="T78" i="59"/>
  <c r="S78" i="59"/>
  <c r="T27" i="59" l="1"/>
  <c r="U27" i="59"/>
  <c r="V27" i="59"/>
  <c r="W27" i="59"/>
  <c r="X27" i="59"/>
  <c r="Y27" i="59"/>
  <c r="Z27" i="59"/>
  <c r="AA27" i="59"/>
  <c r="AB27" i="59"/>
  <c r="AC27" i="59"/>
  <c r="S27" i="59"/>
  <c r="H27" i="33"/>
  <c r="I27" i="33"/>
  <c r="J27" i="33"/>
  <c r="G27" i="33"/>
  <c r="G27" i="49"/>
  <c r="F27" i="49"/>
  <c r="T27" i="30"/>
  <c r="U27" i="30"/>
  <c r="V27" i="30"/>
  <c r="W27" i="30"/>
  <c r="X27" i="30"/>
  <c r="Y27" i="30"/>
  <c r="Z27" i="30"/>
  <c r="AA27" i="30"/>
  <c r="AB27" i="30"/>
  <c r="AC27" i="30"/>
  <c r="S27" i="30"/>
  <c r="T10" i="20"/>
  <c r="U10" i="20"/>
  <c r="V10" i="20"/>
  <c r="W10" i="20"/>
  <c r="X10" i="20"/>
  <c r="Y10" i="20"/>
  <c r="Z10" i="20"/>
  <c r="AA10" i="20"/>
  <c r="AB10" i="20"/>
  <c r="AC10" i="20"/>
  <c r="S10" i="20"/>
  <c r="T103" i="26"/>
  <c r="U103" i="26"/>
  <c r="V103" i="26"/>
  <c r="W103" i="26"/>
  <c r="X103" i="26"/>
  <c r="Y103" i="26"/>
  <c r="Z103" i="26"/>
  <c r="AA103" i="26"/>
  <c r="AB103" i="26"/>
  <c r="AC103" i="26"/>
  <c r="S103" i="26"/>
  <c r="T142" i="26"/>
  <c r="U142" i="26"/>
  <c r="V142" i="26"/>
  <c r="W142" i="26"/>
  <c r="X142" i="26"/>
  <c r="Y142" i="26"/>
  <c r="Z142" i="26"/>
  <c r="AA142" i="26"/>
  <c r="AB142" i="26"/>
  <c r="AC142" i="26"/>
  <c r="S142" i="26"/>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T13" i="21"/>
  <c r="T14" i="21" s="1"/>
  <c r="T15" i="21" s="1"/>
  <c r="K12" i="21"/>
  <c r="D12" i="21"/>
  <c r="C12" i="21"/>
  <c r="V11" i="21"/>
  <c r="U11" i="21"/>
  <c r="T11" i="21"/>
  <c r="S11" i="21"/>
  <c r="R11" i="21"/>
  <c r="G81" i="21" s="1"/>
  <c r="Q11" i="21"/>
  <c r="P11" i="21"/>
  <c r="O11" i="21"/>
  <c r="N11" i="21"/>
  <c r="M11" i="21"/>
  <c r="L11" i="21"/>
  <c r="K11" i="21"/>
  <c r="J11" i="21"/>
  <c r="E81" i="21" s="1"/>
  <c r="I11" i="21"/>
  <c r="H11" i="21"/>
  <c r="G11" i="21"/>
  <c r="F11" i="21"/>
  <c r="M10" i="21"/>
  <c r="K10" i="21"/>
  <c r="P9" i="21"/>
  <c r="F9" i="21"/>
  <c r="C9" i="21"/>
  <c r="O7" i="21"/>
  <c r="N7" i="21"/>
  <c r="F7" i="21"/>
  <c r="C7" i="21"/>
  <c r="V6" i="21"/>
  <c r="N6" i="21"/>
  <c r="I6" i="21"/>
  <c r="I5" i="21"/>
  <c r="S17" i="59" s="1"/>
  <c r="R4" i="21"/>
  <c r="U3" i="21"/>
  <c r="M3" i="21"/>
  <c r="J3" i="21"/>
  <c r="D1" i="21"/>
  <c r="C19" i="6"/>
  <c r="B19" i="6"/>
  <c r="R17" i="6"/>
  <c r="U16" i="6"/>
  <c r="T16" i="6"/>
  <c r="T17" i="6" s="1"/>
  <c r="S16" i="6"/>
  <c r="V49" i="21" s="1"/>
  <c r="R16" i="6"/>
  <c r="U49" i="21" s="1"/>
  <c r="Q16" i="6"/>
  <c r="T49" i="21" s="1"/>
  <c r="P16" i="6"/>
  <c r="S49" i="21" s="1"/>
  <c r="O16" i="6"/>
  <c r="R49" i="21" s="1"/>
  <c r="N16" i="6"/>
  <c r="Q49" i="21" s="1"/>
  <c r="D9" i="6"/>
  <c r="C9" i="6"/>
  <c r="D6" i="21" s="1"/>
  <c r="U6" i="6"/>
  <c r="T6" i="6"/>
  <c r="S6" i="6"/>
  <c r="R6" i="6"/>
  <c r="S3" i="21" s="1"/>
  <c r="Q6" i="6"/>
  <c r="R3" i="21" s="1"/>
  <c r="P6" i="6"/>
  <c r="O6" i="6"/>
  <c r="N6" i="6"/>
  <c r="M6" i="6"/>
  <c r="L6" i="6"/>
  <c r="K6" i="6"/>
  <c r="L3" i="21" s="1"/>
  <c r="J6" i="6"/>
  <c r="K3" i="21" s="1"/>
  <c r="I6" i="6"/>
  <c r="H6" i="6"/>
  <c r="G6" i="6"/>
  <c r="F6" i="6"/>
  <c r="G3" i="21" s="1"/>
  <c r="E6" i="6"/>
  <c r="D6" i="6"/>
  <c r="C6" i="6"/>
  <c r="B6" i="6"/>
  <c r="BJ16" i="5"/>
  <c r="BI16" i="5"/>
  <c r="BH16" i="5"/>
  <c r="BG16" i="5"/>
  <c r="BF16" i="5"/>
  <c r="BE16" i="5"/>
  <c r="BD16" i="5"/>
  <c r="BC16" i="5"/>
  <c r="G16" i="5" s="1"/>
  <c r="BB16" i="5"/>
  <c r="AZ16" i="5"/>
  <c r="AY16" i="5"/>
  <c r="AX16" i="5"/>
  <c r="AW16" i="5"/>
  <c r="AV16" i="5"/>
  <c r="AU16" i="5"/>
  <c r="AT16" i="5"/>
  <c r="K16" i="5" s="1"/>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D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F12" i="5"/>
  <c r="D12" i="5"/>
  <c r="C12" i="5"/>
  <c r="B12" i="5"/>
  <c r="E12" i="5" s="1"/>
  <c r="N11" i="5"/>
  <c r="M11" i="5"/>
  <c r="K11" i="5"/>
  <c r="J11" i="5"/>
  <c r="I11" i="5"/>
  <c r="H11" i="5"/>
  <c r="G11" i="5"/>
  <c r="D11" i="5"/>
  <c r="C11" i="5"/>
  <c r="F11" i="5" s="1"/>
  <c r="B11" i="5"/>
  <c r="E11" i="5" s="1"/>
  <c r="N10" i="5"/>
  <c r="M10" i="5"/>
  <c r="V12" i="21" s="1"/>
  <c r="K10" i="5"/>
  <c r="V10" i="21" s="1"/>
  <c r="J10" i="5"/>
  <c r="V9" i="21" s="1"/>
  <c r="I10" i="5"/>
  <c r="H10" i="5"/>
  <c r="V7" i="21" s="1"/>
  <c r="G10" i="5"/>
  <c r="F10" i="5"/>
  <c r="V5" i="21" s="1"/>
  <c r="D10" i="5"/>
  <c r="C10" i="5"/>
  <c r="B10" i="5"/>
  <c r="E10" i="5" s="1"/>
  <c r="V4" i="21" s="1"/>
  <c r="N9" i="5"/>
  <c r="M9" i="5"/>
  <c r="K9" i="5"/>
  <c r="J9" i="5"/>
  <c r="I9" i="5"/>
  <c r="H9" i="5"/>
  <c r="G9" i="5"/>
  <c r="D9" i="5"/>
  <c r="C9" i="5"/>
  <c r="F9" i="5" s="1"/>
  <c r="S5" i="21" s="1"/>
  <c r="B9" i="5"/>
  <c r="E9" i="5" s="1"/>
  <c r="N8" i="5"/>
  <c r="M8" i="5"/>
  <c r="K8" i="5"/>
  <c r="P10" i="21" s="1"/>
  <c r="J8" i="5"/>
  <c r="I8" i="5"/>
  <c r="H8" i="5"/>
  <c r="P7" i="21" s="1"/>
  <c r="G8" i="5"/>
  <c r="D8" i="5"/>
  <c r="C8" i="5"/>
  <c r="F8" i="5" s="1"/>
  <c r="Q5" i="21" s="1"/>
  <c r="AA17" i="59" s="1"/>
  <c r="B8" i="5"/>
  <c r="E8" i="5" s="1"/>
  <c r="N7" i="5"/>
  <c r="M7" i="5"/>
  <c r="L12" i="21" s="1"/>
  <c r="K7" i="5"/>
  <c r="J7" i="5"/>
  <c r="I7" i="5"/>
  <c r="H7" i="5"/>
  <c r="G7" i="5"/>
  <c r="K6" i="21" s="1"/>
  <c r="D7" i="5"/>
  <c r="C7" i="5"/>
  <c r="F7" i="5" s="1"/>
  <c r="B7" i="5"/>
  <c r="N6" i="5"/>
  <c r="M6" i="5"/>
  <c r="K6" i="5"/>
  <c r="J6" i="5"/>
  <c r="H9" i="21" s="1"/>
  <c r="I6" i="5"/>
  <c r="H6" i="5"/>
  <c r="H7" i="21" s="1"/>
  <c r="G6" i="5"/>
  <c r="D6" i="5"/>
  <c r="F6" i="5" s="1"/>
  <c r="C6" i="5"/>
  <c r="B6" i="5"/>
  <c r="E6" i="5" s="1"/>
  <c r="N5" i="5"/>
  <c r="M5" i="5"/>
  <c r="L5" i="5"/>
  <c r="C11" i="21" s="1"/>
  <c r="K5" i="5"/>
  <c r="C10" i="21" s="1"/>
  <c r="J5" i="5"/>
  <c r="I5" i="5"/>
  <c r="H5" i="5"/>
  <c r="G5" i="5"/>
  <c r="E5" i="5"/>
  <c r="C4" i="21" s="1"/>
  <c r="D5" i="5"/>
  <c r="C5" i="5"/>
  <c r="B5" i="5"/>
  <c r="D8" i="21"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O169" i="65"/>
  <c r="N169" i="65"/>
  <c r="M169" i="65"/>
  <c r="L169" i="65"/>
  <c r="K169" i="65"/>
  <c r="J169" i="65"/>
  <c r="I169" i="65"/>
  <c r="H169" i="65"/>
  <c r="G169" i="65"/>
  <c r="N184" i="65" s="1"/>
  <c r="F169" i="65"/>
  <c r="J184" i="65" s="1"/>
  <c r="K184" i="65" s="1"/>
  <c r="E169" i="65"/>
  <c r="F184" i="65" s="1"/>
  <c r="D169" i="65"/>
  <c r="D184" i="65" s="1"/>
  <c r="O85" i="65"/>
  <c r="O178" i="65" s="1"/>
  <c r="N85" i="65"/>
  <c r="N178" i="65" s="1"/>
  <c r="M85" i="65"/>
  <c r="M178" i="65" s="1"/>
  <c r="L85" i="65"/>
  <c r="L178" i="65" s="1"/>
  <c r="K85" i="65"/>
  <c r="K178" i="65" s="1"/>
  <c r="J85" i="65"/>
  <c r="J178" i="65" s="1"/>
  <c r="I85" i="65"/>
  <c r="I178" i="65" s="1"/>
  <c r="H85" i="65"/>
  <c r="H178" i="65" s="1"/>
  <c r="G85" i="65"/>
  <c r="G178" i="65" s="1"/>
  <c r="N193" i="65" s="1"/>
  <c r="O193" i="65" s="1"/>
  <c r="AC16" i="48" s="1"/>
  <c r="F85" i="65"/>
  <c r="F178" i="65" s="1"/>
  <c r="J193" i="65" s="1"/>
  <c r="E85" i="65"/>
  <c r="E178" i="65" s="1"/>
  <c r="F193" i="65" s="1"/>
  <c r="T16" i="48" s="1"/>
  <c r="D85" i="65"/>
  <c r="D178" i="65" s="1"/>
  <c r="D193" i="65" s="1"/>
  <c r="E193" i="65" s="1"/>
  <c r="S16" i="48" s="1"/>
  <c r="O84" i="65"/>
  <c r="O177" i="65" s="1"/>
  <c r="N84" i="65"/>
  <c r="N177" i="65" s="1"/>
  <c r="M84" i="65"/>
  <c r="M177" i="65" s="1"/>
  <c r="L84" i="65"/>
  <c r="L177" i="65" s="1"/>
  <c r="K84" i="65"/>
  <c r="K177" i="65" s="1"/>
  <c r="J84" i="65"/>
  <c r="J177" i="65" s="1"/>
  <c r="I84" i="65"/>
  <c r="I177" i="65" s="1"/>
  <c r="H84" i="65"/>
  <c r="H177" i="65" s="1"/>
  <c r="G84" i="65"/>
  <c r="G177" i="65" s="1"/>
  <c r="N192" i="65" s="1"/>
  <c r="F84" i="65"/>
  <c r="F177" i="65" s="1"/>
  <c r="J192" i="65" s="1"/>
  <c r="K192" i="65" s="1"/>
  <c r="L192" i="65" s="1"/>
  <c r="E84" i="65"/>
  <c r="E177" i="65" s="1"/>
  <c r="F192" i="65" s="1"/>
  <c r="D84" i="65"/>
  <c r="D177" i="65" s="1"/>
  <c r="D192" i="65" s="1"/>
  <c r="E192" i="65" s="1"/>
  <c r="S12" i="48" s="1"/>
  <c r="O83" i="65"/>
  <c r="O179" i="65" s="1"/>
  <c r="N83" i="65"/>
  <c r="N179" i="65" s="1"/>
  <c r="M83" i="65"/>
  <c r="M179" i="65" s="1"/>
  <c r="L83" i="65"/>
  <c r="L179" i="65" s="1"/>
  <c r="K83" i="65"/>
  <c r="K179" i="65" s="1"/>
  <c r="J83" i="65"/>
  <c r="J179" i="65" s="1"/>
  <c r="I83" i="65"/>
  <c r="I179" i="65" s="1"/>
  <c r="H83" i="65"/>
  <c r="H179" i="65" s="1"/>
  <c r="G83" i="65"/>
  <c r="G179" i="65" s="1"/>
  <c r="N194" i="65" s="1"/>
  <c r="F83" i="65"/>
  <c r="F179" i="65" s="1"/>
  <c r="J194" i="65" s="1"/>
  <c r="E83" i="65"/>
  <c r="E179" i="65" s="1"/>
  <c r="F194" i="65" s="1"/>
  <c r="G194" i="65" s="1"/>
  <c r="H194" i="65" s="1"/>
  <c r="D83" i="65"/>
  <c r="D179" i="65" s="1"/>
  <c r="D194" i="65" s="1"/>
  <c r="E194" i="65" s="1"/>
  <c r="S19" i="48" s="1"/>
  <c r="O74" i="65"/>
  <c r="O172" i="65" s="1"/>
  <c r="N74" i="65"/>
  <c r="N172" i="65" s="1"/>
  <c r="M74" i="65"/>
  <c r="M172" i="65" s="1"/>
  <c r="L74" i="65"/>
  <c r="L172" i="65" s="1"/>
  <c r="K74" i="65"/>
  <c r="K172" i="65" s="1"/>
  <c r="J74" i="65"/>
  <c r="J172" i="65" s="1"/>
  <c r="I74" i="65"/>
  <c r="I172" i="65" s="1"/>
  <c r="H74" i="65"/>
  <c r="H172" i="65" s="1"/>
  <c r="G74" i="65"/>
  <c r="G172" i="65" s="1"/>
  <c r="N187" i="65" s="1"/>
  <c r="F74" i="65"/>
  <c r="F172" i="65" s="1"/>
  <c r="J187" i="65" s="1"/>
  <c r="K187" i="65" s="1"/>
  <c r="L187" i="65" s="1"/>
  <c r="M187" i="65" s="1"/>
  <c r="E74" i="65"/>
  <c r="E172" i="65" s="1"/>
  <c r="F187" i="65" s="1"/>
  <c r="G187" i="65" s="1"/>
  <c r="D74" i="65"/>
  <c r="D172" i="65" s="1"/>
  <c r="D187" i="65" s="1"/>
  <c r="E187" i="65" s="1"/>
  <c r="O73" i="65"/>
  <c r="O176" i="65" s="1"/>
  <c r="N73" i="65"/>
  <c r="N176" i="65" s="1"/>
  <c r="M73" i="65"/>
  <c r="M176" i="65" s="1"/>
  <c r="L73" i="65"/>
  <c r="L176" i="65" s="1"/>
  <c r="K73" i="65"/>
  <c r="K176" i="65" s="1"/>
  <c r="J73" i="65"/>
  <c r="J176" i="65" s="1"/>
  <c r="I73" i="65"/>
  <c r="I176" i="65" s="1"/>
  <c r="H73" i="65"/>
  <c r="H176" i="65" s="1"/>
  <c r="G73" i="65"/>
  <c r="G176" i="65" s="1"/>
  <c r="N191" i="65" s="1"/>
  <c r="O191" i="65" s="1"/>
  <c r="F73" i="65"/>
  <c r="F176" i="65" s="1"/>
  <c r="J191" i="65" s="1"/>
  <c r="E73" i="65"/>
  <c r="E176" i="65" s="1"/>
  <c r="F191" i="65" s="1"/>
  <c r="G191" i="65" s="1"/>
  <c r="D73" i="65"/>
  <c r="D176" i="65" s="1"/>
  <c r="D191" i="65" s="1"/>
  <c r="O72" i="65"/>
  <c r="O175" i="65" s="1"/>
  <c r="N72" i="65"/>
  <c r="N175" i="65" s="1"/>
  <c r="M72" i="65"/>
  <c r="M175" i="65" s="1"/>
  <c r="L72" i="65"/>
  <c r="L175" i="65" s="1"/>
  <c r="K72" i="65"/>
  <c r="K175" i="65" s="1"/>
  <c r="J72" i="65"/>
  <c r="J175" i="65" s="1"/>
  <c r="I72" i="65"/>
  <c r="I175" i="65" s="1"/>
  <c r="H72" i="65"/>
  <c r="H175" i="65" s="1"/>
  <c r="G72" i="65"/>
  <c r="G175" i="65" s="1"/>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O70" i="65"/>
  <c r="O170" i="65" s="1"/>
  <c r="N70" i="65"/>
  <c r="N170" i="65" s="1"/>
  <c r="M70" i="65"/>
  <c r="M170" i="65" s="1"/>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E170" i="65" s="1"/>
  <c r="F185" i="65" s="1"/>
  <c r="G185" i="65" s="1"/>
  <c r="H185" i="65" s="1"/>
  <c r="I185" i="65" s="1"/>
  <c r="X141" i="26" s="1"/>
  <c r="D70" i="65"/>
  <c r="D170" i="65" s="1"/>
  <c r="D185" i="65" s="1"/>
  <c r="E185" i="65" s="1"/>
  <c r="O69" i="65"/>
  <c r="O171" i="65" s="1"/>
  <c r="N69" i="65"/>
  <c r="N171" i="65" s="1"/>
  <c r="M69" i="65"/>
  <c r="M171" i="65" s="1"/>
  <c r="L69" i="65"/>
  <c r="L171" i="65" s="1"/>
  <c r="K69" i="65"/>
  <c r="K171" i="65" s="1"/>
  <c r="J69" i="65"/>
  <c r="J171" i="65" s="1"/>
  <c r="I69" i="65"/>
  <c r="I171" i="65" s="1"/>
  <c r="H69" i="65"/>
  <c r="H171" i="65" s="1"/>
  <c r="G69" i="65"/>
  <c r="G171" i="65" s="1"/>
  <c r="N186" i="65" s="1"/>
  <c r="O186" i="65" s="1"/>
  <c r="F69" i="65"/>
  <c r="F171" i="65" s="1"/>
  <c r="J186" i="65" s="1"/>
  <c r="E69" i="65"/>
  <c r="E171" i="65" s="1"/>
  <c r="F186" i="65" s="1"/>
  <c r="G186" i="65" s="1"/>
  <c r="H186" i="65" s="1"/>
  <c r="I186" i="65" s="1"/>
  <c r="D69" i="65"/>
  <c r="D171" i="65" s="1"/>
  <c r="D186" i="65" s="1"/>
  <c r="R141" i="48"/>
  <c r="Q141" i="48"/>
  <c r="P141" i="48"/>
  <c r="O141" i="48"/>
  <c r="N141" i="48"/>
  <c r="M141" i="48"/>
  <c r="L141" i="48"/>
  <c r="K141" i="48"/>
  <c r="J141" i="48"/>
  <c r="I141" i="48"/>
  <c r="H141" i="48"/>
  <c r="G141" i="48"/>
  <c r="F141" i="48"/>
  <c r="R140" i="48"/>
  <c r="Q140" i="48"/>
  <c r="P140" i="48"/>
  <c r="O140" i="48"/>
  <c r="N140" i="48"/>
  <c r="M140" i="48"/>
  <c r="L140" i="48"/>
  <c r="K140" i="48"/>
  <c r="J140" i="48"/>
  <c r="I140" i="48"/>
  <c r="H140" i="48"/>
  <c r="G140" i="48"/>
  <c r="F140" i="48"/>
  <c r="R138" i="48"/>
  <c r="Q138" i="48"/>
  <c r="P138" i="48"/>
  <c r="O138" i="48"/>
  <c r="N138" i="48"/>
  <c r="M138" i="48"/>
  <c r="L138" i="48"/>
  <c r="K138" i="48"/>
  <c r="J138" i="48"/>
  <c r="I138" i="48"/>
  <c r="H138" i="48"/>
  <c r="G138" i="48"/>
  <c r="F138" i="48"/>
  <c r="R137" i="48"/>
  <c r="Q137" i="48"/>
  <c r="P137" i="48"/>
  <c r="O137" i="48"/>
  <c r="N137" i="48"/>
  <c r="M137" i="48"/>
  <c r="L137" i="48"/>
  <c r="K137" i="48"/>
  <c r="J137" i="48"/>
  <c r="I137" i="48"/>
  <c r="H137" i="48"/>
  <c r="G137" i="48"/>
  <c r="F137" i="48"/>
  <c r="R136" i="48"/>
  <c r="Q136" i="48"/>
  <c r="P136" i="48"/>
  <c r="O136" i="48"/>
  <c r="N136" i="48"/>
  <c r="M136" i="48"/>
  <c r="L136" i="48"/>
  <c r="K136" i="48"/>
  <c r="J136" i="48"/>
  <c r="I136" i="48"/>
  <c r="H136" i="48"/>
  <c r="G136" i="48"/>
  <c r="F136" i="48"/>
  <c r="R135" i="48"/>
  <c r="R139" i="48" s="1"/>
  <c r="Q135" i="48"/>
  <c r="Q139" i="48" s="1"/>
  <c r="P135" i="48"/>
  <c r="P139" i="48" s="1"/>
  <c r="O135" i="48"/>
  <c r="N135" i="48"/>
  <c r="N139" i="48" s="1"/>
  <c r="M135" i="48"/>
  <c r="L135" i="48"/>
  <c r="L139" i="48" s="1"/>
  <c r="K135" i="48"/>
  <c r="K139" i="48" s="1"/>
  <c r="J135" i="48"/>
  <c r="J139" i="48" s="1"/>
  <c r="I135" i="48"/>
  <c r="H135" i="48"/>
  <c r="H139" i="48" s="1"/>
  <c r="G135" i="48"/>
  <c r="F135" i="48"/>
  <c r="F139" i="48" s="1"/>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J106" i="48"/>
  <c r="I106" i="48"/>
  <c r="H106" i="48"/>
  <c r="G106" i="48"/>
  <c r="F106" i="48"/>
  <c r="E106" i="48"/>
  <c r="L104" i="48"/>
  <c r="K104" i="48"/>
  <c r="J104" i="48"/>
  <c r="I104" i="48"/>
  <c r="H104" i="48"/>
  <c r="G104" i="48"/>
  <c r="F104" i="48"/>
  <c r="E104" i="48"/>
  <c r="L103" i="48"/>
  <c r="K103" i="48"/>
  <c r="J103" i="48"/>
  <c r="I103" i="48"/>
  <c r="H103" i="48"/>
  <c r="G103" i="48"/>
  <c r="F103" i="48"/>
  <c r="E103" i="48"/>
  <c r="F91" i="48"/>
  <c r="E91" i="48"/>
  <c r="F89" i="48"/>
  <c r="E89" i="48"/>
  <c r="F88" i="48"/>
  <c r="E88" i="48"/>
  <c r="H84" i="48"/>
  <c r="H91" i="48" s="1"/>
  <c r="H83" i="48"/>
  <c r="H82" i="48"/>
  <c r="H89" i="48" s="1"/>
  <c r="H81" i="48"/>
  <c r="H88" i="48" s="1"/>
  <c r="L78" i="48"/>
  <c r="L106" i="48" s="1"/>
  <c r="K78" i="48"/>
  <c r="K106" i="48" s="1"/>
  <c r="L76" i="48"/>
  <c r="L75" i="48" s="1"/>
  <c r="L105" i="48" s="1"/>
  <c r="K76" i="48"/>
  <c r="K75" i="48" s="1"/>
  <c r="K105" i="48" s="1"/>
  <c r="J75" i="48"/>
  <c r="J105" i="48" s="1"/>
  <c r="I75" i="48"/>
  <c r="H75" i="48"/>
  <c r="H105" i="48" s="1"/>
  <c r="G75" i="48"/>
  <c r="G105" i="48" s="1"/>
  <c r="F75" i="48"/>
  <c r="E75" i="48"/>
  <c r="I63" i="48"/>
  <c r="J63" i="48" s="1"/>
  <c r="I61" i="48"/>
  <c r="I82" i="48" s="1"/>
  <c r="I89" i="48" s="1"/>
  <c r="I60" i="48"/>
  <c r="I81" i="48" s="1"/>
  <c r="I88" i="48" s="1"/>
  <c r="R26" i="48"/>
  <c r="R146" i="48" s="1"/>
  <c r="S146" i="48" s="1"/>
  <c r="Q26" i="48"/>
  <c r="P26" i="48"/>
  <c r="P54" i="48" s="1"/>
  <c r="O26" i="48"/>
  <c r="N26" i="48"/>
  <c r="M26" i="48"/>
  <c r="L26" i="48"/>
  <c r="K26" i="48"/>
  <c r="K146" i="48" s="1"/>
  <c r="J26" i="48"/>
  <c r="J146" i="48" s="1"/>
  <c r="I26" i="48"/>
  <c r="H26" i="48"/>
  <c r="H54" i="48" s="1"/>
  <c r="G26" i="48"/>
  <c r="F26" i="48"/>
  <c r="R25" i="48"/>
  <c r="Q25" i="48"/>
  <c r="P25" i="48"/>
  <c r="P145" i="48" s="1"/>
  <c r="O25" i="48"/>
  <c r="O145" i="48" s="1"/>
  <c r="N25" i="48"/>
  <c r="M25" i="48"/>
  <c r="L25" i="48"/>
  <c r="K25" i="48"/>
  <c r="J25" i="48"/>
  <c r="I25" i="48"/>
  <c r="H25" i="48"/>
  <c r="H145" i="48" s="1"/>
  <c r="G25" i="48"/>
  <c r="G145" i="48" s="1"/>
  <c r="F25" i="48"/>
  <c r="R24" i="48"/>
  <c r="R144" i="48" s="1"/>
  <c r="S144" i="48" s="1"/>
  <c r="Q24" i="48"/>
  <c r="P24" i="48"/>
  <c r="O24" i="48"/>
  <c r="N24" i="48"/>
  <c r="M24" i="48"/>
  <c r="L24" i="48"/>
  <c r="L144" i="48" s="1"/>
  <c r="K24" i="48"/>
  <c r="J24" i="48"/>
  <c r="J144" i="48" s="1"/>
  <c r="I24" i="48"/>
  <c r="H24" i="48"/>
  <c r="G24" i="48"/>
  <c r="F24" i="48"/>
  <c r="R23" i="48"/>
  <c r="Q23" i="48"/>
  <c r="P23" i="48"/>
  <c r="P21" i="48" s="1"/>
  <c r="P52" i="48" s="1"/>
  <c r="O23" i="48"/>
  <c r="N23" i="48"/>
  <c r="M23" i="48"/>
  <c r="L23" i="48"/>
  <c r="K23" i="48"/>
  <c r="J23" i="48"/>
  <c r="I23" i="48"/>
  <c r="H23" i="48"/>
  <c r="H21" i="48" s="1"/>
  <c r="H52" i="48" s="1"/>
  <c r="G23" i="48"/>
  <c r="F23" i="48"/>
  <c r="U19" i="48"/>
  <c r="T19" i="48"/>
  <c r="R17" i="48"/>
  <c r="Q17" i="48"/>
  <c r="P17" i="48"/>
  <c r="P132" i="48" s="1"/>
  <c r="O17" i="48"/>
  <c r="N17" i="48"/>
  <c r="M17" i="48"/>
  <c r="L17" i="48"/>
  <c r="K17" i="48"/>
  <c r="K132" i="48" s="1"/>
  <c r="J17" i="48"/>
  <c r="J132" i="48" s="1"/>
  <c r="I17" i="48"/>
  <c r="H17" i="48"/>
  <c r="H132" i="48" s="1"/>
  <c r="G17" i="48"/>
  <c r="F17" i="48"/>
  <c r="AB16" i="48"/>
  <c r="R14" i="48"/>
  <c r="Q14" i="48"/>
  <c r="P14" i="48"/>
  <c r="P131" i="48" s="1"/>
  <c r="O14" i="48"/>
  <c r="O131" i="48" s="1"/>
  <c r="N14" i="48"/>
  <c r="M14" i="48"/>
  <c r="M131" i="48" s="1"/>
  <c r="L14" i="48"/>
  <c r="K14" i="48"/>
  <c r="J14" i="48"/>
  <c r="I14" i="48"/>
  <c r="H14" i="48"/>
  <c r="G14" i="48"/>
  <c r="F14" i="48"/>
  <c r="R13" i="48"/>
  <c r="R130" i="48" s="1"/>
  <c r="Q13" i="48"/>
  <c r="P13" i="48"/>
  <c r="O13" i="48"/>
  <c r="O9" i="48" s="1"/>
  <c r="N13" i="48"/>
  <c r="M13" i="48"/>
  <c r="L13" i="48"/>
  <c r="K13" i="48"/>
  <c r="J13" i="48"/>
  <c r="J130" i="48" s="1"/>
  <c r="I13" i="48"/>
  <c r="H13" i="48"/>
  <c r="G13" i="48"/>
  <c r="F13" i="48"/>
  <c r="Y12" i="48"/>
  <c r="R10" i="48"/>
  <c r="Q10" i="48"/>
  <c r="P10" i="48"/>
  <c r="O10" i="48"/>
  <c r="N10" i="48"/>
  <c r="M10" i="48"/>
  <c r="L10" i="48"/>
  <c r="K10" i="48"/>
  <c r="J10" i="48"/>
  <c r="I10" i="48"/>
  <c r="H10" i="48"/>
  <c r="G10" i="48"/>
  <c r="F10" i="48"/>
  <c r="D84" i="59"/>
  <c r="D88" i="59" s="1"/>
  <c r="Z77" i="59"/>
  <c r="AA77" i="59" s="1"/>
  <c r="AB77" i="59" s="1"/>
  <c r="AC77" i="59" s="1"/>
  <c r="V77" i="59"/>
  <c r="W77" i="59" s="1"/>
  <c r="X77" i="59" s="1"/>
  <c r="Y77" i="59" s="1"/>
  <c r="U77" i="59"/>
  <c r="R77" i="59"/>
  <c r="S77" i="59" s="1"/>
  <c r="T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P67" i="59"/>
  <c r="N67" i="59"/>
  <c r="K67" i="59"/>
  <c r="R66" i="59"/>
  <c r="R67" i="59" s="1"/>
  <c r="Q66" i="59"/>
  <c r="P66" i="59"/>
  <c r="O66" i="59"/>
  <c r="N66" i="59"/>
  <c r="M66" i="59"/>
  <c r="L66" i="59"/>
  <c r="L67" i="59" s="1"/>
  <c r="K66" i="59"/>
  <c r="J66" i="59"/>
  <c r="J67" i="59" s="1"/>
  <c r="I66" i="59"/>
  <c r="H66" i="59"/>
  <c r="G66" i="59"/>
  <c r="F66" i="59"/>
  <c r="E66" i="59"/>
  <c r="N65" i="59" s="1"/>
  <c r="N20" i="59" s="1"/>
  <c r="D66" i="59"/>
  <c r="P65" i="59"/>
  <c r="P20" i="59" s="1"/>
  <c r="R30" i="59"/>
  <c r="Q30" i="59"/>
  <c r="P30" i="59"/>
  <c r="O30" i="59"/>
  <c r="N30" i="59"/>
  <c r="M30" i="59"/>
  <c r="L30" i="59"/>
  <c r="K30" i="59"/>
  <c r="J30" i="59"/>
  <c r="I30" i="59"/>
  <c r="H30" i="59"/>
  <c r="G30" i="59"/>
  <c r="F30" i="59"/>
  <c r="E30" i="59"/>
  <c r="D30" i="59"/>
  <c r="I24" i="59"/>
  <c r="H24" i="59"/>
  <c r="G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L22" i="59"/>
  <c r="R21" i="59"/>
  <c r="S21" i="59" s="1"/>
  <c r="T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K19" i="59"/>
  <c r="K24" i="59" s="1"/>
  <c r="D5" i="50" s="1"/>
  <c r="I19" i="59"/>
  <c r="H19" i="59"/>
  <c r="G19" i="59"/>
  <c r="F19" i="59"/>
  <c r="F24" i="59" s="1"/>
  <c r="E19" i="59"/>
  <c r="E24" i="59" s="1"/>
  <c r="D19" i="59"/>
  <c r="D24" i="59" s="1"/>
  <c r="AB18" i="59"/>
  <c r="AB24" i="59" s="1"/>
  <c r="M18" i="59"/>
  <c r="AC17" i="59"/>
  <c r="AC16" i="59"/>
  <c r="AB16" i="59"/>
  <c r="AA16" i="59"/>
  <c r="Z16" i="59"/>
  <c r="Y16" i="59"/>
  <c r="X16" i="59"/>
  <c r="W16" i="59"/>
  <c r="V16" i="59"/>
  <c r="U16" i="59"/>
  <c r="T16" i="59"/>
  <c r="S16" i="59"/>
  <c r="Q16" i="59"/>
  <c r="N16" i="59"/>
  <c r="I16" i="59"/>
  <c r="H16" i="59"/>
  <c r="O15" i="59"/>
  <c r="L15" i="59"/>
  <c r="G15" i="59"/>
  <c r="D15" i="59"/>
  <c r="R12" i="59"/>
  <c r="Q12" i="59"/>
  <c r="P12" i="59"/>
  <c r="O12" i="59"/>
  <c r="N12" i="59"/>
  <c r="M12" i="59"/>
  <c r="L12" i="59"/>
  <c r="K12" i="59"/>
  <c r="J12" i="59"/>
  <c r="I12" i="59"/>
  <c r="H12" i="59"/>
  <c r="G12" i="59"/>
  <c r="F12" i="59"/>
  <c r="E12" i="59"/>
  <c r="D12" i="59"/>
  <c r="AF11" i="67"/>
  <c r="AE11" i="67"/>
  <c r="AD11" i="67"/>
  <c r="AC11" i="67"/>
  <c r="N23" i="35" s="1"/>
  <c r="AB11" i="67"/>
  <c r="AA11" i="67"/>
  <c r="Z11" i="67"/>
  <c r="Y11" i="67"/>
  <c r="X11" i="67"/>
  <c r="W11" i="67"/>
  <c r="V11" i="67"/>
  <c r="U11" i="67"/>
  <c r="F23" i="35" s="1"/>
  <c r="T11" i="67"/>
  <c r="S11" i="67"/>
  <c r="R11" i="67"/>
  <c r="M11" i="29"/>
  <c r="L11" i="29"/>
  <c r="L16" i="59" s="1"/>
  <c r="J11" i="29"/>
  <c r="J16" i="59" s="1"/>
  <c r="R10" i="29"/>
  <c r="N10" i="29"/>
  <c r="M10" i="29"/>
  <c r="M16" i="59" s="1"/>
  <c r="R9" i="29"/>
  <c r="Q9" i="29"/>
  <c r="Q10" i="29" s="1"/>
  <c r="R16" i="59" s="1"/>
  <c r="P9" i="29"/>
  <c r="P10" i="29" s="1"/>
  <c r="P16" i="59" s="1"/>
  <c r="O9" i="29"/>
  <c r="O10" i="29" s="1"/>
  <c r="O16" i="59" s="1"/>
  <c r="N9" i="29"/>
  <c r="M9" i="29"/>
  <c r="L9" i="29"/>
  <c r="K9" i="29"/>
  <c r="K11" i="29" s="1"/>
  <c r="K16" i="59" s="1"/>
  <c r="J9" i="29"/>
  <c r="F28" i="33"/>
  <c r="F30" i="33" s="1"/>
  <c r="E28" i="33"/>
  <c r="H28" i="33"/>
  <c r="J26" i="33"/>
  <c r="P19" i="33"/>
  <c r="O19" i="33"/>
  <c r="J19" i="33"/>
  <c r="H19" i="33"/>
  <c r="G19" i="33"/>
  <c r="AC12" i="33"/>
  <c r="AB12" i="33"/>
  <c r="AA12" i="33"/>
  <c r="Z12" i="33"/>
  <c r="Y12" i="33"/>
  <c r="X12" i="33"/>
  <c r="Q12" i="33"/>
  <c r="O12" i="33"/>
  <c r="N12" i="33"/>
  <c r="R11" i="33"/>
  <c r="Q11" i="33"/>
  <c r="P11" i="33"/>
  <c r="O11" i="33"/>
  <c r="N11" i="33"/>
  <c r="M11" i="33"/>
  <c r="L11" i="33"/>
  <c r="K11" i="33"/>
  <c r="J11" i="33"/>
  <c r="R10" i="33"/>
  <c r="R15" i="59" s="1"/>
  <c r="Q10" i="33"/>
  <c r="P10" i="33"/>
  <c r="O10" i="33"/>
  <c r="N10" i="33"/>
  <c r="N19" i="33" s="1"/>
  <c r="M10" i="33"/>
  <c r="M19" i="33" s="1"/>
  <c r="L10" i="33"/>
  <c r="K10" i="33"/>
  <c r="J10" i="33"/>
  <c r="J15" i="59" s="1"/>
  <c r="I10" i="33"/>
  <c r="H10" i="33"/>
  <c r="H15" i="59" s="1"/>
  <c r="G10" i="33"/>
  <c r="F10" i="33"/>
  <c r="F19" i="33" s="1"/>
  <c r="E10" i="33"/>
  <c r="E19" i="33" s="1"/>
  <c r="D10" i="33"/>
  <c r="D19" i="33" s="1"/>
  <c r="L61" i="49"/>
  <c r="K61" i="49"/>
  <c r="J61" i="49"/>
  <c r="P60" i="49"/>
  <c r="O60" i="49"/>
  <c r="N60" i="49"/>
  <c r="M60" i="49"/>
  <c r="L60" i="49"/>
  <c r="K60" i="49"/>
  <c r="J60" i="49"/>
  <c r="I60" i="49"/>
  <c r="H60" i="49"/>
  <c r="G60" i="49"/>
  <c r="F60" i="49"/>
  <c r="P59" i="49"/>
  <c r="O59" i="49"/>
  <c r="N59" i="49"/>
  <c r="M59" i="49"/>
  <c r="L59" i="49"/>
  <c r="K59" i="49"/>
  <c r="J59" i="49"/>
  <c r="I59" i="49"/>
  <c r="H59" i="49"/>
  <c r="G59" i="49"/>
  <c r="F59" i="49"/>
  <c r="M45" i="49"/>
  <c r="R44" i="49"/>
  <c r="L44" i="49"/>
  <c r="F44" i="49"/>
  <c r="P43" i="49"/>
  <c r="O43" i="49"/>
  <c r="N43" i="49"/>
  <c r="M43" i="49"/>
  <c r="L43" i="49"/>
  <c r="K43" i="49"/>
  <c r="J43" i="49"/>
  <c r="I43" i="49"/>
  <c r="H43" i="49"/>
  <c r="G43" i="49"/>
  <c r="F43" i="49"/>
  <c r="E43" i="49"/>
  <c r="D43" i="49"/>
  <c r="M37" i="49"/>
  <c r="L37" i="49"/>
  <c r="E37" i="49"/>
  <c r="R36" i="49"/>
  <c r="R31" i="59" s="1"/>
  <c r="N36" i="49"/>
  <c r="L36" i="49"/>
  <c r="L31" i="59" s="1"/>
  <c r="J36" i="49"/>
  <c r="J31" i="59" s="1"/>
  <c r="F36" i="49"/>
  <c r="D36" i="49"/>
  <c r="D31" i="59" s="1"/>
  <c r="G26" i="49"/>
  <c r="R12" i="49"/>
  <c r="S12" i="49" s="1"/>
  <c r="M12" i="49"/>
  <c r="J12" i="49"/>
  <c r="E12" i="49"/>
  <c r="R11" i="49"/>
  <c r="Q11" i="49"/>
  <c r="Q12" i="49" s="1"/>
  <c r="P11" i="49"/>
  <c r="O11" i="49"/>
  <c r="N11" i="49"/>
  <c r="N12" i="49" s="1"/>
  <c r="N37" i="49" s="1"/>
  <c r="M11" i="49"/>
  <c r="L11" i="49"/>
  <c r="L12" i="49" s="1"/>
  <c r="K11" i="49"/>
  <c r="J11" i="49"/>
  <c r="I11" i="49"/>
  <c r="I12" i="49" s="1"/>
  <c r="H11" i="49"/>
  <c r="G11" i="49"/>
  <c r="F11" i="49"/>
  <c r="F12" i="49" s="1"/>
  <c r="F37" i="49" s="1"/>
  <c r="E11" i="49"/>
  <c r="D11" i="49"/>
  <c r="D12" i="49" s="1"/>
  <c r="D37" i="49" s="1"/>
  <c r="R10" i="49"/>
  <c r="Q10" i="49"/>
  <c r="P10" i="49"/>
  <c r="O10" i="49"/>
  <c r="O36" i="49" s="1"/>
  <c r="N10" i="49"/>
  <c r="M10" i="49"/>
  <c r="M36" i="49" s="1"/>
  <c r="L10" i="49"/>
  <c r="K10" i="49"/>
  <c r="J10" i="49"/>
  <c r="I10" i="49"/>
  <c r="H10" i="49"/>
  <c r="G10" i="49"/>
  <c r="F10" i="49"/>
  <c r="E10" i="49"/>
  <c r="E36" i="49" s="1"/>
  <c r="D10" i="49"/>
  <c r="L46" i="30"/>
  <c r="G46" i="30"/>
  <c r="F46" i="30"/>
  <c r="AE45" i="30"/>
  <c r="X45" i="30"/>
  <c r="U45" i="30"/>
  <c r="S45" i="30"/>
  <c r="N45" i="30"/>
  <c r="AE44" i="30"/>
  <c r="AD44" i="30"/>
  <c r="AC43" i="30"/>
  <c r="AB43" i="30"/>
  <c r="AE42" i="30"/>
  <c r="AD42"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AE35" i="30"/>
  <c r="AD35" i="30"/>
  <c r="AE34" i="30"/>
  <c r="AD34" i="30"/>
  <c r="O34" i="30"/>
  <c r="N34" i="30"/>
  <c r="AE33" i="30"/>
  <c r="AD33" i="30"/>
  <c r="O33" i="30"/>
  <c r="AE32" i="30"/>
  <c r="AD32" i="30"/>
  <c r="AE31" i="30"/>
  <c r="AD31" i="30"/>
  <c r="AE30" i="30"/>
  <c r="AD30" i="30"/>
  <c r="AE29" i="30"/>
  <c r="AD29" i="30"/>
  <c r="AE28" i="30"/>
  <c r="AD28" i="30"/>
  <c r="AD27" i="30"/>
  <c r="AE27" i="30"/>
  <c r="AD26" i="30"/>
  <c r="AC26" i="30"/>
  <c r="AB26" i="30"/>
  <c r="AA26" i="30"/>
  <c r="Z26" i="30"/>
  <c r="Y26" i="30"/>
  <c r="X26" i="30"/>
  <c r="W26" i="30"/>
  <c r="V26" i="30"/>
  <c r="U26" i="30"/>
  <c r="T26" i="30"/>
  <c r="S26" i="30"/>
  <c r="AE26" i="30" s="1"/>
  <c r="AE25" i="30"/>
  <c r="AD25" i="30"/>
  <c r="AC25" i="30"/>
  <c r="AB25" i="30"/>
  <c r="AA25" i="30"/>
  <c r="Z25" i="30"/>
  <c r="Y25" i="30"/>
  <c r="X25" i="30"/>
  <c r="W25" i="30"/>
  <c r="V25" i="30"/>
  <c r="U25" i="30"/>
  <c r="T25" i="30"/>
  <c r="O25" i="30"/>
  <c r="AC24" i="30"/>
  <c r="AB24" i="30"/>
  <c r="AD23" i="30"/>
  <c r="S23" i="30"/>
  <c r="AE23" i="30" s="1"/>
  <c r="R23" i="30"/>
  <c r="Q23" i="30"/>
  <c r="P23" i="30"/>
  <c r="O23" i="30"/>
  <c r="N23" i="30"/>
  <c r="AE22" i="30"/>
  <c r="R22" i="30"/>
  <c r="AD22" i="30" s="1"/>
  <c r="Q22" i="30"/>
  <c r="P22" i="30"/>
  <c r="O22" i="30"/>
  <c r="N22" i="30"/>
  <c r="AD21" i="30"/>
  <c r="R21" i="30"/>
  <c r="S21" i="30" s="1"/>
  <c r="AE21" i="30" s="1"/>
  <c r="Q21" i="30"/>
  <c r="P21" i="30"/>
  <c r="O21" i="30"/>
  <c r="N21" i="30"/>
  <c r="M21" i="30"/>
  <c r="L21" i="30"/>
  <c r="K21" i="30"/>
  <c r="J21" i="30"/>
  <c r="I21" i="30"/>
  <c r="H21" i="30"/>
  <c r="AD20" i="30"/>
  <c r="AC20" i="30"/>
  <c r="AB20" i="30"/>
  <c r="AA20" i="30"/>
  <c r="Z20" i="30"/>
  <c r="Y20" i="30"/>
  <c r="R20" i="30"/>
  <c r="Q20" i="30"/>
  <c r="P20" i="30"/>
  <c r="O20" i="30"/>
  <c r="N20" i="30"/>
  <c r="M20" i="30"/>
  <c r="L20" i="30"/>
  <c r="K20" i="30"/>
  <c r="J20" i="30"/>
  <c r="I20" i="30"/>
  <c r="H20" i="30"/>
  <c r="AD19" i="30"/>
  <c r="T19" i="30"/>
  <c r="R19" i="30"/>
  <c r="Q19" i="30"/>
  <c r="P19" i="30"/>
  <c r="O19" i="30"/>
  <c r="N19" i="30"/>
  <c r="M19" i="30"/>
  <c r="L19" i="30"/>
  <c r="K19" i="30"/>
  <c r="J19" i="30"/>
  <c r="I19" i="30"/>
  <c r="H19" i="30"/>
  <c r="AD18" i="30"/>
  <c r="AC18" i="30"/>
  <c r="AB18" i="30"/>
  <c r="AA18" i="30"/>
  <c r="Z18" i="30"/>
  <c r="Y18" i="30"/>
  <c r="X18" i="30"/>
  <c r="W18" i="30"/>
  <c r="V18" i="30"/>
  <c r="U18" i="30"/>
  <c r="T18" i="30"/>
  <c r="S18" i="30"/>
  <c r="AE18" i="30" s="1"/>
  <c r="R18" i="30"/>
  <c r="Q18" i="30"/>
  <c r="P18" i="30"/>
  <c r="O18" i="30"/>
  <c r="N18" i="30"/>
  <c r="M18" i="30"/>
  <c r="L18" i="30"/>
  <c r="K18" i="30"/>
  <c r="J18" i="30"/>
  <c r="I18" i="30"/>
  <c r="H18" i="30"/>
  <c r="AD17" i="30"/>
  <c r="S17" i="30"/>
  <c r="R17" i="30"/>
  <c r="Q17" i="30"/>
  <c r="P17" i="30"/>
  <c r="O17" i="30"/>
  <c r="N17" i="30"/>
  <c r="M17" i="30"/>
  <c r="L17" i="30"/>
  <c r="K17" i="30"/>
  <c r="J17" i="30"/>
  <c r="I17" i="30"/>
  <c r="H17" i="30"/>
  <c r="AE16" i="30"/>
  <c r="R16" i="30"/>
  <c r="Q16" i="30"/>
  <c r="P16" i="30"/>
  <c r="O16" i="30"/>
  <c r="N16" i="30"/>
  <c r="M16" i="30"/>
  <c r="L16" i="30"/>
  <c r="L13" i="30" s="1"/>
  <c r="K16" i="30"/>
  <c r="J16" i="30"/>
  <c r="J13" i="30" s="1"/>
  <c r="I16" i="30"/>
  <c r="H16" i="30"/>
  <c r="N15" i="30"/>
  <c r="I15" i="30"/>
  <c r="H15" i="30"/>
  <c r="AE14" i="30"/>
  <c r="AD14" i="30"/>
  <c r="R14" i="30"/>
  <c r="Q14" i="30"/>
  <c r="P14" i="30"/>
  <c r="O14" i="30"/>
  <c r="N14" i="30"/>
  <c r="N13" i="30" s="1"/>
  <c r="N12" i="30" s="1"/>
  <c r="M14" i="30"/>
  <c r="M13" i="30" s="1"/>
  <c r="M12" i="30" s="1"/>
  <c r="L14" i="30"/>
  <c r="K14" i="30"/>
  <c r="J14" i="30"/>
  <c r="I14" i="30"/>
  <c r="H14" i="30"/>
  <c r="I13" i="30"/>
  <c r="H13" i="30"/>
  <c r="I12" i="30"/>
  <c r="G12" i="30"/>
  <c r="F12" i="30"/>
  <c r="R11" i="30"/>
  <c r="Q11" i="30"/>
  <c r="P11" i="30"/>
  <c r="O11" i="30"/>
  <c r="N11" i="30"/>
  <c r="M11" i="30"/>
  <c r="L11" i="30"/>
  <c r="L12" i="30" s="1"/>
  <c r="K11" i="30"/>
  <c r="K46" i="30" s="1"/>
  <c r="J11" i="30"/>
  <c r="I11" i="30"/>
  <c r="I46" i="30" s="1"/>
  <c r="H11" i="30"/>
  <c r="AT89" i="20"/>
  <c r="AS89" i="20"/>
  <c r="AR89" i="20"/>
  <c r="AQ89" i="20"/>
  <c r="AP89" i="20"/>
  <c r="AO89" i="20"/>
  <c r="M81" i="20"/>
  <c r="U69" i="20"/>
  <c r="T69" i="20"/>
  <c r="S69" i="20"/>
  <c r="R69" i="20"/>
  <c r="Q69" i="20"/>
  <c r="P69" i="20"/>
  <c r="O69" i="20"/>
  <c r="N69" i="20"/>
  <c r="M69" i="20"/>
  <c r="L69" i="20"/>
  <c r="K69" i="20"/>
  <c r="J69" i="20"/>
  <c r="I69" i="20"/>
  <c r="H69" i="20"/>
  <c r="G69" i="20"/>
  <c r="F69" i="20"/>
  <c r="E69" i="20"/>
  <c r="D69" i="20"/>
  <c r="U68" i="20"/>
  <c r="T68" i="20"/>
  <c r="S68" i="20"/>
  <c r="R68" i="20"/>
  <c r="Q68" i="20"/>
  <c r="P68" i="20"/>
  <c r="O68" i="20"/>
  <c r="N68" i="20"/>
  <c r="M68" i="20"/>
  <c r="L68" i="20"/>
  <c r="K68" i="20"/>
  <c r="J68" i="20"/>
  <c r="I68" i="20"/>
  <c r="H68" i="20"/>
  <c r="G68" i="20"/>
  <c r="F68" i="20"/>
  <c r="E68" i="20"/>
  <c r="D68" i="20"/>
  <c r="U67" i="20"/>
  <c r="T67" i="20"/>
  <c r="S67" i="20"/>
  <c r="R67" i="20"/>
  <c r="Q67" i="20"/>
  <c r="P67" i="20"/>
  <c r="O67" i="20"/>
  <c r="N67" i="20"/>
  <c r="M67" i="20"/>
  <c r="L67" i="20"/>
  <c r="K67" i="20"/>
  <c r="J67" i="20"/>
  <c r="I67" i="20"/>
  <c r="H67" i="20"/>
  <c r="G67" i="20"/>
  <c r="F67" i="20"/>
  <c r="E67" i="20"/>
  <c r="D67" i="20"/>
  <c r="AB44" i="20"/>
  <c r="AA44" i="20"/>
  <c r="R42" i="20"/>
  <c r="R45" i="20" s="1"/>
  <c r="R55" i="20" s="1"/>
  <c r="Q42" i="20"/>
  <c r="Q45" i="20" s="1"/>
  <c r="Q55" i="20" s="1"/>
  <c r="P42" i="20"/>
  <c r="O42" i="20"/>
  <c r="O45" i="20" s="1"/>
  <c r="O55" i="20" s="1"/>
  <c r="N42" i="20"/>
  <c r="N45" i="20" s="1"/>
  <c r="N55" i="20" s="1"/>
  <c r="M42" i="20"/>
  <c r="M45" i="20" s="1"/>
  <c r="L42" i="20"/>
  <c r="K42" i="20"/>
  <c r="K45" i="20" s="1"/>
  <c r="K55" i="20" s="1"/>
  <c r="J42" i="20"/>
  <c r="J45" i="20" s="1"/>
  <c r="J55" i="20" s="1"/>
  <c r="I42" i="20"/>
  <c r="I45" i="20" s="1"/>
  <c r="I55" i="20" s="1"/>
  <c r="H42" i="20"/>
  <c r="R13" i="20"/>
  <c r="R24" i="20" s="1"/>
  <c r="Q13" i="20"/>
  <c r="Q24" i="20" s="1"/>
  <c r="P13" i="20"/>
  <c r="P24" i="20" s="1"/>
  <c r="O13" i="20"/>
  <c r="O24" i="20" s="1"/>
  <c r="N13" i="20"/>
  <c r="N24" i="20" s="1"/>
  <c r="M13" i="20"/>
  <c r="M24" i="20" s="1"/>
  <c r="L13" i="20"/>
  <c r="L24" i="20" s="1"/>
  <c r="K13" i="20"/>
  <c r="K24" i="20" s="1"/>
  <c r="J13" i="20"/>
  <c r="J24" i="20" s="1"/>
  <c r="I13" i="20"/>
  <c r="I24" i="20" s="1"/>
  <c r="H13" i="20"/>
  <c r="H24" i="20" s="1"/>
  <c r="R12" i="20"/>
  <c r="S9" i="20"/>
  <c r="S12" i="20" s="1"/>
  <c r="Q141" i="26"/>
  <c r="Q81" i="20" s="1"/>
  <c r="P141" i="26"/>
  <c r="P81" i="20" s="1"/>
  <c r="O141" i="26"/>
  <c r="O81" i="20" s="1"/>
  <c r="N141" i="26"/>
  <c r="N81" i="20" s="1"/>
  <c r="M141" i="26"/>
  <c r="L141" i="26"/>
  <c r="L81" i="20" s="1"/>
  <c r="K141" i="26"/>
  <c r="K81" i="20" s="1"/>
  <c r="J141" i="26"/>
  <c r="J81" i="20" s="1"/>
  <c r="I141" i="26"/>
  <c r="I81" i="20" s="1"/>
  <c r="H141" i="26"/>
  <c r="AD106" i="26"/>
  <c r="P105" i="26"/>
  <c r="AC100" i="26"/>
  <c r="AB100" i="26"/>
  <c r="AA100" i="26"/>
  <c r="Z100" i="26"/>
  <c r="Y100" i="26"/>
  <c r="W99" i="26"/>
  <c r="C91" i="26"/>
  <c r="C90" i="26"/>
  <c r="C89" i="26"/>
  <c r="C88" i="26"/>
  <c r="C87" i="26"/>
  <c r="C85" i="26"/>
  <c r="C84" i="26"/>
  <c r="C83" i="26"/>
  <c r="C82" i="26"/>
  <c r="C81" i="26"/>
  <c r="C80" i="26" s="1"/>
  <c r="C76" i="26"/>
  <c r="C73" i="26"/>
  <c r="C71" i="26"/>
  <c r="C70" i="26"/>
  <c r="C69" i="26"/>
  <c r="C68" i="26"/>
  <c r="Z61" i="26"/>
  <c r="Z17" i="26" s="1"/>
  <c r="W61" i="26"/>
  <c r="U61" i="26"/>
  <c r="Z59" i="26"/>
  <c r="R59" i="26"/>
  <c r="P59" i="26"/>
  <c r="Q58" i="26"/>
  <c r="N58" i="26"/>
  <c r="AD58" i="26" s="1"/>
  <c r="AE19" i="26" s="1"/>
  <c r="X56" i="26"/>
  <c r="W56" i="26"/>
  <c r="V56" i="26"/>
  <c r="U56" i="26"/>
  <c r="T56" i="26"/>
  <c r="S56" i="26"/>
  <c r="S16" i="26" s="1"/>
  <c r="S101" i="26" s="1"/>
  <c r="R56" i="26"/>
  <c r="R16" i="26" s="1"/>
  <c r="R101" i="26" s="1"/>
  <c r="Q56" i="26"/>
  <c r="P56" i="26"/>
  <c r="O56" i="26"/>
  <c r="N56" i="26"/>
  <c r="M56" i="26"/>
  <c r="X55" i="26"/>
  <c r="X16" i="26" s="1"/>
  <c r="X101" i="26" s="1"/>
  <c r="W55" i="26"/>
  <c r="W16" i="26" s="1"/>
  <c r="W101" i="26" s="1"/>
  <c r="V55" i="26"/>
  <c r="U55" i="26"/>
  <c r="T55" i="26"/>
  <c r="S55" i="26"/>
  <c r="R55" i="26"/>
  <c r="Q55" i="26"/>
  <c r="P55" i="26"/>
  <c r="P16" i="26" s="1"/>
  <c r="P101" i="26" s="1"/>
  <c r="O55" i="26"/>
  <c r="O16" i="26" s="1"/>
  <c r="O101" i="26" s="1"/>
  <c r="N55" i="26"/>
  <c r="M55" i="26"/>
  <c r="X54" i="26"/>
  <c r="W54" i="26"/>
  <c r="V54" i="26"/>
  <c r="U54" i="26"/>
  <c r="T54" i="26"/>
  <c r="S54" i="26"/>
  <c r="R54" i="26"/>
  <c r="Q54" i="26"/>
  <c r="P54" i="26"/>
  <c r="O54" i="26"/>
  <c r="N54" i="26"/>
  <c r="M54" i="26"/>
  <c r="AD53" i="26"/>
  <c r="N53" i="26"/>
  <c r="M53" i="26"/>
  <c r="M52" i="26"/>
  <c r="M100" i="26" s="1"/>
  <c r="AC51" i="26"/>
  <c r="AB51" i="26"/>
  <c r="AA51" i="26"/>
  <c r="Z51" i="26"/>
  <c r="Y51" i="26"/>
  <c r="AD50" i="26"/>
  <c r="AD49" i="26"/>
  <c r="AD48" i="26"/>
  <c r="J48" i="26"/>
  <c r="P47" i="26"/>
  <c r="O47" i="26"/>
  <c r="N47" i="26"/>
  <c r="M47" i="26"/>
  <c r="L47" i="26"/>
  <c r="K47" i="26"/>
  <c r="J47" i="26"/>
  <c r="AE32" i="26"/>
  <c r="AD32" i="26"/>
  <c r="AD30" i="26"/>
  <c r="AE29" i="26"/>
  <c r="AD29" i="26"/>
  <c r="AE28" i="26"/>
  <c r="AD28" i="26"/>
  <c r="AE27" i="26"/>
  <c r="AD27" i="26"/>
  <c r="AE26" i="26"/>
  <c r="AD26" i="26"/>
  <c r="AD25" i="26"/>
  <c r="AC19" i="26"/>
  <c r="AB19" i="26"/>
  <c r="AA19" i="26"/>
  <c r="Z19" i="26"/>
  <c r="Y19" i="26"/>
  <c r="X19" i="26"/>
  <c r="W19" i="26"/>
  <c r="V19" i="26"/>
  <c r="U19" i="26"/>
  <c r="T19" i="26"/>
  <c r="S19" i="26"/>
  <c r="R19" i="26"/>
  <c r="Q19" i="26"/>
  <c r="P19" i="26"/>
  <c r="O19" i="26"/>
  <c r="N19" i="26"/>
  <c r="M19" i="26"/>
  <c r="L19" i="26"/>
  <c r="K19" i="26"/>
  <c r="S18" i="26"/>
  <c r="Q18" i="26"/>
  <c r="P18" i="26"/>
  <c r="W17" i="26"/>
  <c r="U17" i="26"/>
  <c r="AC16" i="26"/>
  <c r="AC101" i="26" s="1"/>
  <c r="AB16" i="26"/>
  <c r="AB101" i="26" s="1"/>
  <c r="AA16" i="26"/>
  <c r="AA101" i="26" s="1"/>
  <c r="Z16" i="26"/>
  <c r="Z101" i="26" s="1"/>
  <c r="Y16" i="26"/>
  <c r="Y101" i="26" s="1"/>
  <c r="V16" i="26"/>
  <c r="V101" i="26" s="1"/>
  <c r="U16" i="26"/>
  <c r="U101" i="26" s="1"/>
  <c r="T16" i="26"/>
  <c r="T101" i="26" s="1"/>
  <c r="Q16" i="26"/>
  <c r="Q101" i="26" s="1"/>
  <c r="N16" i="26"/>
  <c r="N101" i="26" s="1"/>
  <c r="M16" i="26"/>
  <c r="M101" i="26" s="1"/>
  <c r="AC15" i="26"/>
  <c r="AB15" i="26"/>
  <c r="AA15" i="26"/>
  <c r="Z15" i="26"/>
  <c r="Y15" i="26"/>
  <c r="AC14" i="26"/>
  <c r="AC99" i="26" s="1"/>
  <c r="AB14" i="26"/>
  <c r="AB99" i="26" s="1"/>
  <c r="AA14" i="26"/>
  <c r="AA99" i="26" s="1"/>
  <c r="Z14" i="26"/>
  <c r="Z99" i="26" s="1"/>
  <c r="Y14" i="26"/>
  <c r="Y99" i="26" s="1"/>
  <c r="X14" i="26"/>
  <c r="X99" i="26" s="1"/>
  <c r="W14" i="26"/>
  <c r="V14" i="26"/>
  <c r="V99" i="26" s="1"/>
  <c r="U14" i="26"/>
  <c r="U99" i="26" s="1"/>
  <c r="T14" i="26"/>
  <c r="T99" i="26" s="1"/>
  <c r="R14" i="26"/>
  <c r="R99" i="26" s="1"/>
  <c r="Q14" i="26"/>
  <c r="Q99" i="26" s="1"/>
  <c r="P14" i="26"/>
  <c r="P99" i="26" s="1"/>
  <c r="O14" i="26"/>
  <c r="O99" i="26" s="1"/>
  <c r="N14" i="26"/>
  <c r="N99" i="26" s="1"/>
  <c r="M14" i="26"/>
  <c r="M99" i="26" s="1"/>
  <c r="L14" i="26"/>
  <c r="L99" i="26" s="1"/>
  <c r="K14" i="26"/>
  <c r="K99" i="26" s="1"/>
  <c r="J14" i="26"/>
  <c r="R13" i="26"/>
  <c r="R105" i="26" s="1"/>
  <c r="Q13" i="26"/>
  <c r="Q105" i="26" s="1"/>
  <c r="P13" i="26"/>
  <c r="O13" i="26"/>
  <c r="O105" i="26" s="1"/>
  <c r="N13" i="26"/>
  <c r="N105" i="26" s="1"/>
  <c r="M13" i="26"/>
  <c r="M105" i="26" s="1"/>
  <c r="L13" i="26"/>
  <c r="L105" i="26" s="1"/>
  <c r="K13" i="26"/>
  <c r="K105" i="26" s="1"/>
  <c r="J13" i="26"/>
  <c r="AE12" i="26"/>
  <c r="AD12" i="26"/>
  <c r="J12" i="26"/>
  <c r="D68" i="26" s="1"/>
  <c r="Q11" i="26"/>
  <c r="P11" i="26"/>
  <c r="I11" i="26"/>
  <c r="I20" i="26" s="1"/>
  <c r="I102" i="26" s="1"/>
  <c r="I97" i="26" s="1"/>
  <c r="H11" i="26"/>
  <c r="H20" i="26" s="1"/>
  <c r="H102" i="26" s="1"/>
  <c r="H97" i="26" s="1"/>
  <c r="R10" i="26"/>
  <c r="Q10" i="26"/>
  <c r="P10" i="26"/>
  <c r="O10" i="26"/>
  <c r="N10" i="26"/>
  <c r="M10" i="26"/>
  <c r="L10" i="26"/>
  <c r="K10" i="26"/>
  <c r="J10" i="26"/>
  <c r="I10" i="26"/>
  <c r="H10" i="26"/>
  <c r="G10" i="26"/>
  <c r="F10" i="26"/>
  <c r="E10" i="26"/>
  <c r="D10" i="26"/>
  <c r="R9" i="26"/>
  <c r="Q9" i="26"/>
  <c r="P9" i="26"/>
  <c r="O9" i="26"/>
  <c r="O11" i="26" s="1"/>
  <c r="N9" i="26"/>
  <c r="N11" i="26" s="1"/>
  <c r="M9" i="26"/>
  <c r="M11" i="26" s="1"/>
  <c r="L9" i="26"/>
  <c r="L11" i="26" s="1"/>
  <c r="K9" i="26"/>
  <c r="K11" i="26" s="1"/>
  <c r="J9" i="26"/>
  <c r="I9" i="26"/>
  <c r="H9" i="26"/>
  <c r="G9" i="26"/>
  <c r="G11" i="26" s="1"/>
  <c r="G20" i="26" s="1"/>
  <c r="F9" i="26"/>
  <c r="F11" i="26" s="1"/>
  <c r="F20" i="26" s="1"/>
  <c r="E9" i="26"/>
  <c r="E11" i="26" s="1"/>
  <c r="E20" i="26" s="1"/>
  <c r="D9" i="26"/>
  <c r="D11" i="26" s="1"/>
  <c r="D20" i="26" s="1"/>
  <c r="D66" i="25"/>
  <c r="D63" i="25"/>
  <c r="D60" i="25"/>
  <c r="D57" i="25"/>
  <c r="D54" i="25"/>
  <c r="D51" i="25"/>
  <c r="D48" i="25"/>
  <c r="N22" i="25" s="1"/>
  <c r="D45" i="25"/>
  <c r="M22" i="25" s="1"/>
  <c r="R22" i="25"/>
  <c r="Q22" i="25"/>
  <c r="P22" i="25"/>
  <c r="O22" i="25"/>
  <c r="L20" i="25"/>
  <c r="E20" i="25"/>
  <c r="D20"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M13" i="25" s="1"/>
  <c r="M20" i="25" s="1"/>
  <c r="L17" i="25"/>
  <c r="L13" i="25" s="1"/>
  <c r="K17" i="25"/>
  <c r="J17" i="25"/>
  <c r="I17" i="25"/>
  <c r="H17" i="25"/>
  <c r="G17" i="25"/>
  <c r="F17" i="25"/>
  <c r="E17" i="25"/>
  <c r="D17" i="25"/>
  <c r="V16" i="25"/>
  <c r="W16" i="25" s="1"/>
  <c r="X16" i="25" s="1"/>
  <c r="Y16" i="25" s="1"/>
  <c r="Z16" i="25" s="1"/>
  <c r="AA16" i="25" s="1"/>
  <c r="AB16" i="25" s="1"/>
  <c r="AC16" i="25" s="1"/>
  <c r="R16" i="25"/>
  <c r="S16" i="25" s="1"/>
  <c r="T16" i="25" s="1"/>
  <c r="U16" i="25" s="1"/>
  <c r="Q16" i="25"/>
  <c r="P16" i="25"/>
  <c r="O16" i="25"/>
  <c r="O13" i="25" s="1"/>
  <c r="N16" i="25"/>
  <c r="N13" i="25" s="1"/>
  <c r="M16" i="25"/>
  <c r="L16" i="25"/>
  <c r="K16" i="25"/>
  <c r="J16" i="25"/>
  <c r="I16" i="25"/>
  <c r="H16" i="25"/>
  <c r="G16" i="25"/>
  <c r="F16" i="25"/>
  <c r="E16" i="25"/>
  <c r="D16" i="25"/>
  <c r="X15" i="25"/>
  <c r="Y15" i="25" s="1"/>
  <c r="Z15" i="25" s="1"/>
  <c r="AA15" i="25" s="1"/>
  <c r="AB15" i="25" s="1"/>
  <c r="AC15" i="25" s="1"/>
  <c r="R15" i="25"/>
  <c r="S15" i="25" s="1"/>
  <c r="T15" i="25" s="1"/>
  <c r="U15" i="25" s="1"/>
  <c r="V15" i="25" s="1"/>
  <c r="W15" i="25" s="1"/>
  <c r="Q15" i="25"/>
  <c r="P15" i="25"/>
  <c r="P13" i="25" s="1"/>
  <c r="O15" i="25"/>
  <c r="N15" i="25"/>
  <c r="M15" i="25"/>
  <c r="L15" i="25"/>
  <c r="K15" i="25"/>
  <c r="J15" i="25"/>
  <c r="I15" i="25"/>
  <c r="I13" i="25" s="1"/>
  <c r="H15" i="25"/>
  <c r="H13" i="25" s="1"/>
  <c r="G15" i="25"/>
  <c r="F15" i="25"/>
  <c r="E15" i="25"/>
  <c r="D15" i="25"/>
  <c r="R14" i="25"/>
  <c r="R13" i="25" s="1"/>
  <c r="Q14" i="25"/>
  <c r="P14" i="25"/>
  <c r="O14" i="25"/>
  <c r="N14" i="25"/>
  <c r="M14" i="25"/>
  <c r="L14" i="25"/>
  <c r="K14" i="25"/>
  <c r="J14" i="25"/>
  <c r="J13" i="25" s="1"/>
  <c r="I14" i="25"/>
  <c r="H14" i="25"/>
  <c r="G14" i="25"/>
  <c r="F14" i="25"/>
  <c r="E14" i="25"/>
  <c r="D14" i="25"/>
  <c r="K13" i="25"/>
  <c r="R12" i="25"/>
  <c r="S12" i="25" s="1"/>
  <c r="Q12" i="25"/>
  <c r="P12" i="25"/>
  <c r="O12" i="25"/>
  <c r="N12" i="25"/>
  <c r="M12" i="25"/>
  <c r="L12" i="25"/>
  <c r="K12" i="25"/>
  <c r="J12" i="25"/>
  <c r="I12" i="25"/>
  <c r="H12" i="25"/>
  <c r="G12" i="25"/>
  <c r="F12" i="25"/>
  <c r="E12" i="25"/>
  <c r="D12" i="25"/>
  <c r="R11" i="25"/>
  <c r="Q11" i="25"/>
  <c r="P11" i="25"/>
  <c r="O11" i="25"/>
  <c r="N11" i="25"/>
  <c r="M11" i="25"/>
  <c r="M19" i="25" s="1"/>
  <c r="L11" i="25"/>
  <c r="L19" i="25" s="1"/>
  <c r="K11" i="25"/>
  <c r="K20" i="25" s="1"/>
  <c r="J11" i="25"/>
  <c r="I11" i="25"/>
  <c r="H11" i="25"/>
  <c r="G11" i="25"/>
  <c r="F11" i="25"/>
  <c r="E11" i="25"/>
  <c r="E19" i="25" s="1"/>
  <c r="D11" i="25"/>
  <c r="D19" i="25" s="1"/>
  <c r="O14" i="56"/>
  <c r="O13" i="56"/>
  <c r="O12" i="56"/>
  <c r="O11" i="56"/>
  <c r="O10" i="56"/>
  <c r="O9" i="56"/>
  <c r="O8" i="56"/>
  <c r="O7" i="56"/>
  <c r="O6" i="56"/>
  <c r="O5" i="56"/>
  <c r="O4" i="56"/>
  <c r="D2" i="56"/>
  <c r="E2" i="56" s="1"/>
  <c r="F2" i="56" s="1"/>
  <c r="G2" i="56" s="1"/>
  <c r="H2" i="56" s="1"/>
  <c r="I2" i="56" s="1"/>
  <c r="J2" i="56" s="1"/>
  <c r="K2" i="56" s="1"/>
  <c r="L2" i="56" s="1"/>
  <c r="M2" i="56" s="1"/>
  <c r="N2" i="56" s="1"/>
  <c r="P14" i="40"/>
  <c r="O14" i="40"/>
  <c r="R13" i="40"/>
  <c r="R14" i="40" s="1"/>
  <c r="Q13" i="40"/>
  <c r="Q14" i="40" s="1"/>
  <c r="P13" i="40"/>
  <c r="P17" i="40" s="1"/>
  <c r="O13" i="40"/>
  <c r="O17" i="40" s="1"/>
  <c r="N13" i="40"/>
  <c r="N14" i="40" s="1"/>
  <c r="M13" i="40"/>
  <c r="M14" i="40" s="1"/>
  <c r="M15" i="40" s="1"/>
  <c r="L13" i="40"/>
  <c r="L14" i="40" s="1"/>
  <c r="K13" i="40"/>
  <c r="J13" i="40"/>
  <c r="J14" i="40" s="1"/>
  <c r="R12" i="40"/>
  <c r="Q12" i="40"/>
  <c r="P12" i="40"/>
  <c r="P16" i="40" s="1"/>
  <c r="O12" i="40"/>
  <c r="O16" i="40" s="1"/>
  <c r="N12" i="40"/>
  <c r="M12" i="40"/>
  <c r="L12" i="40"/>
  <c r="L16" i="40" s="1"/>
  <c r="K12" i="40"/>
  <c r="J12" i="40"/>
  <c r="T11" i="40"/>
  <c r="T19" i="59" s="1"/>
  <c r="R11" i="40"/>
  <c r="R19" i="59" s="1"/>
  <c r="Q11" i="40"/>
  <c r="Q19" i="59" s="1"/>
  <c r="P11" i="40"/>
  <c r="P19" i="59" s="1"/>
  <c r="O11" i="40"/>
  <c r="O19" i="59" s="1"/>
  <c r="N11" i="40"/>
  <c r="M11" i="40"/>
  <c r="M19" i="59" s="1"/>
  <c r="L11" i="40"/>
  <c r="L19" i="59" s="1"/>
  <c r="L24" i="59" s="1"/>
  <c r="K11" i="40"/>
  <c r="J11" i="40"/>
  <c r="J19" i="59" s="1"/>
  <c r="J24" i="59" s="1"/>
  <c r="L65" i="38"/>
  <c r="I65" i="38"/>
  <c r="L64" i="38"/>
  <c r="L67" i="38" s="1"/>
  <c r="P55" i="38"/>
  <c r="L55" i="38"/>
  <c r="P54" i="38"/>
  <c r="O54" i="38"/>
  <c r="O55" i="38" s="1"/>
  <c r="K67" i="38" s="1"/>
  <c r="N54" i="38"/>
  <c r="M54" i="38"/>
  <c r="M55" i="38" s="1"/>
  <c r="L54" i="38"/>
  <c r="K54" i="38"/>
  <c r="K55" i="38" s="1"/>
  <c r="J54" i="38"/>
  <c r="J55" i="38" s="1"/>
  <c r="J56" i="38" s="1"/>
  <c r="P53" i="38"/>
  <c r="P22" i="59" s="1"/>
  <c r="O53" i="38"/>
  <c r="O22" i="59" s="1"/>
  <c r="N53" i="38"/>
  <c r="M53" i="38"/>
  <c r="M22" i="59" s="1"/>
  <c r="L53" i="38"/>
  <c r="L56" i="38" s="1"/>
  <c r="K53" i="38"/>
  <c r="K22" i="59" s="1"/>
  <c r="J53" i="38"/>
  <c r="J22" i="59" s="1"/>
  <c r="N48" i="38"/>
  <c r="M48" i="38"/>
  <c r="J45" i="38"/>
  <c r="Q44" i="38"/>
  <c r="J44" i="38"/>
  <c r="J43" i="38"/>
  <c r="Q42" i="38"/>
  <c r="J42" i="38"/>
  <c r="S41" i="38"/>
  <c r="S42" i="38" s="1"/>
  <c r="S43" i="38" s="1"/>
  <c r="S44" i="38" s="1"/>
  <c r="S45" i="38" s="1"/>
  <c r="J41" i="38"/>
  <c r="Q40" i="38"/>
  <c r="J40" i="38"/>
  <c r="J39" i="38"/>
  <c r="T38" i="38"/>
  <c r="T39" i="38" s="1"/>
  <c r="S38" i="38"/>
  <c r="S39" i="38" s="1"/>
  <c r="S40" i="38" s="1"/>
  <c r="Q38" i="38"/>
  <c r="J38" i="38"/>
  <c r="Q37" i="38"/>
  <c r="R37" i="38" s="1"/>
  <c r="J37" i="38"/>
  <c r="P37" i="38" s="1"/>
  <c r="J36" i="38"/>
  <c r="P35" i="38"/>
  <c r="J35" i="38"/>
  <c r="J34" i="38"/>
  <c r="P33" i="38"/>
  <c r="J33" i="38"/>
  <c r="J32" i="38"/>
  <c r="P31" i="38"/>
  <c r="J31" i="38"/>
  <c r="S30" i="38"/>
  <c r="J30" i="38"/>
  <c r="P29" i="38"/>
  <c r="Q29" i="38" s="1"/>
  <c r="J29" i="38"/>
  <c r="T28" i="38"/>
  <c r="T29" i="38" s="1"/>
  <c r="T30" i="38" s="1"/>
  <c r="T31" i="38" s="1"/>
  <c r="T32" i="38" s="1"/>
  <c r="T33" i="38" s="1"/>
  <c r="T34" i="38" s="1"/>
  <c r="T35" i="38" s="1"/>
  <c r="T36" i="38" s="1"/>
  <c r="S28" i="38"/>
  <c r="S29" i="38" s="1"/>
  <c r="O29" i="38" s="1"/>
  <c r="J28" i="38"/>
  <c r="J27" i="38"/>
  <c r="N26" i="38"/>
  <c r="J26" i="38"/>
  <c r="N25" i="38"/>
  <c r="J25" i="38"/>
  <c r="S24" i="38"/>
  <c r="S25" i="38" s="1"/>
  <c r="J24" i="38"/>
  <c r="N24" i="38" s="1"/>
  <c r="S23" i="38"/>
  <c r="J23" i="38"/>
  <c r="J22" i="38"/>
  <c r="J21" i="38"/>
  <c r="M21" i="38" s="1"/>
  <c r="N21" i="38" s="1"/>
  <c r="J20" i="38"/>
  <c r="M20" i="38" s="1"/>
  <c r="J19" i="38"/>
  <c r="M18" i="38"/>
  <c r="J18" i="38"/>
  <c r="M17" i="38"/>
  <c r="J17" i="38"/>
  <c r="J16" i="38"/>
  <c r="S15" i="38"/>
  <c r="J15" i="38"/>
  <c r="S14" i="38"/>
  <c r="M14" i="38"/>
  <c r="L14" i="38"/>
  <c r="J14" i="38"/>
  <c r="M13" i="38"/>
  <c r="L13" i="38"/>
  <c r="J13" i="38"/>
  <c r="N13" i="38" s="1"/>
  <c r="M12" i="38"/>
  <c r="L12" i="38"/>
  <c r="J12" i="38"/>
  <c r="M11" i="38"/>
  <c r="L11" i="38"/>
  <c r="J11" i="38"/>
  <c r="N11" i="38" s="1"/>
  <c r="J9" i="50"/>
  <c r="I9" i="50"/>
  <c r="H9" i="50"/>
  <c r="G9" i="50"/>
  <c r="F9" i="50"/>
  <c r="E9" i="50"/>
  <c r="D9" i="50"/>
  <c r="C9" i="50"/>
  <c r="G6" i="50"/>
  <c r="E6" i="50"/>
  <c r="D6" i="50"/>
  <c r="C6" i="50"/>
  <c r="E5" i="50"/>
  <c r="C5" i="50"/>
  <c r="E4" i="50"/>
  <c r="D4" i="50"/>
  <c r="C4" i="50"/>
  <c r="K42" i="62"/>
  <c r="M23" i="35"/>
  <c r="L23" i="35"/>
  <c r="K23" i="35"/>
  <c r="J23" i="35"/>
  <c r="I23" i="35"/>
  <c r="H23" i="35"/>
  <c r="G23" i="35"/>
  <c r="E23" i="35"/>
  <c r="D23" i="35"/>
  <c r="C23" i="35"/>
  <c r="C21" i="35"/>
  <c r="K7" i="50" s="1"/>
  <c r="M16" i="35"/>
  <c r="N15" i="35"/>
  <c r="L15" i="35"/>
  <c r="D15" i="35"/>
  <c r="N14" i="35"/>
  <c r="M14" i="35"/>
  <c r="L14" i="35"/>
  <c r="K14" i="35"/>
  <c r="L16" i="55" s="1"/>
  <c r="L91" i="55" s="1"/>
  <c r="J14" i="35"/>
  <c r="I14" i="35"/>
  <c r="H14" i="35"/>
  <c r="I16" i="55" s="1"/>
  <c r="G14" i="35"/>
  <c r="F14" i="35"/>
  <c r="E14" i="35"/>
  <c r="D14" i="35"/>
  <c r="C14" i="35"/>
  <c r="D16" i="55" s="1"/>
  <c r="D91" i="55" s="1"/>
  <c r="N13" i="35"/>
  <c r="M13" i="35"/>
  <c r="L13" i="35"/>
  <c r="M15" i="55" s="1"/>
  <c r="K13" i="35"/>
  <c r="J13" i="35"/>
  <c r="I13" i="35"/>
  <c r="H13" i="35"/>
  <c r="G13" i="35"/>
  <c r="H15" i="55" s="1"/>
  <c r="H90" i="55" s="1"/>
  <c r="F13" i="35"/>
  <c r="E13" i="35"/>
  <c r="D13" i="35"/>
  <c r="E15" i="55" s="1"/>
  <c r="C13" i="35"/>
  <c r="C12" i="35"/>
  <c r="D14" i="55" s="1"/>
  <c r="D89" i="55" s="1"/>
  <c r="C11" i="35"/>
  <c r="N8" i="35"/>
  <c r="M8" i="35"/>
  <c r="L8" i="35"/>
  <c r="K8" i="35"/>
  <c r="L10" i="55" s="1"/>
  <c r="L85" i="55" s="1"/>
  <c r="J8" i="35"/>
  <c r="I8" i="35"/>
  <c r="H8" i="35"/>
  <c r="G8" i="35"/>
  <c r="F8" i="35"/>
  <c r="E8" i="35"/>
  <c r="D8" i="35"/>
  <c r="I7" i="35"/>
  <c r="F7" i="35"/>
  <c r="D7" i="35"/>
  <c r="C4" i="35"/>
  <c r="D6" i="55" s="1"/>
  <c r="D81" i="55" s="1"/>
  <c r="I85" i="55"/>
  <c r="L66" i="55"/>
  <c r="D66" i="55"/>
  <c r="D64" i="55"/>
  <c r="L60" i="55"/>
  <c r="I60" i="55"/>
  <c r="O25" i="55"/>
  <c r="O100" i="55" s="1"/>
  <c r="N25" i="55"/>
  <c r="N100" i="55" s="1"/>
  <c r="M25" i="55"/>
  <c r="M100" i="55" s="1"/>
  <c r="L25" i="55"/>
  <c r="L100" i="55" s="1"/>
  <c r="K25" i="55"/>
  <c r="K100" i="55" s="1"/>
  <c r="J25" i="55"/>
  <c r="J100" i="55" s="1"/>
  <c r="I25" i="55"/>
  <c r="I100" i="55" s="1"/>
  <c r="H25" i="55"/>
  <c r="G25" i="55"/>
  <c r="G100" i="55" s="1"/>
  <c r="F25" i="55"/>
  <c r="F100" i="55" s="1"/>
  <c r="E25" i="55"/>
  <c r="E100" i="55" s="1"/>
  <c r="D25" i="55"/>
  <c r="D100" i="55" s="1"/>
  <c r="C25" i="55"/>
  <c r="B25" i="55"/>
  <c r="C24" i="55"/>
  <c r="B24" i="55"/>
  <c r="D23" i="55"/>
  <c r="C23" i="55"/>
  <c r="B23" i="55"/>
  <c r="C22" i="55"/>
  <c r="B22" i="55"/>
  <c r="C21" i="55"/>
  <c r="B21" i="55"/>
  <c r="C20" i="55"/>
  <c r="B20" i="55"/>
  <c r="C19" i="55"/>
  <c r="B19" i="55"/>
  <c r="N18" i="55"/>
  <c r="N93" i="55" s="1"/>
  <c r="C18" i="55"/>
  <c r="B18" i="55"/>
  <c r="O17" i="55"/>
  <c r="O92" i="55" s="1"/>
  <c r="M17" i="55"/>
  <c r="M92" i="55" s="1"/>
  <c r="E17" i="55"/>
  <c r="E92" i="55" s="1"/>
  <c r="C17" i="55"/>
  <c r="B17" i="55"/>
  <c r="O16" i="55"/>
  <c r="O91" i="55" s="1"/>
  <c r="N16" i="55"/>
  <c r="M16" i="55"/>
  <c r="M91" i="55" s="1"/>
  <c r="K16" i="55"/>
  <c r="K91" i="55" s="1"/>
  <c r="J16" i="55"/>
  <c r="J91" i="55" s="1"/>
  <c r="H16" i="55"/>
  <c r="H91" i="55" s="1"/>
  <c r="G16" i="55"/>
  <c r="G91" i="55" s="1"/>
  <c r="F16" i="55"/>
  <c r="E16" i="55"/>
  <c r="E91" i="55" s="1"/>
  <c r="C16" i="55"/>
  <c r="B16" i="55"/>
  <c r="O15" i="55"/>
  <c r="O90" i="55" s="1"/>
  <c r="N15" i="55"/>
  <c r="N90" i="55" s="1"/>
  <c r="L15" i="55"/>
  <c r="K15" i="55"/>
  <c r="K90" i="55" s="1"/>
  <c r="J15" i="55"/>
  <c r="J90" i="55" s="1"/>
  <c r="I15" i="55"/>
  <c r="I90" i="55" s="1"/>
  <c r="G15" i="55"/>
  <c r="G90" i="55" s="1"/>
  <c r="F15" i="55"/>
  <c r="F90" i="55" s="1"/>
  <c r="D15" i="55"/>
  <c r="C15" i="55"/>
  <c r="B15" i="55"/>
  <c r="C14" i="55"/>
  <c r="B14" i="55"/>
  <c r="D13" i="55"/>
  <c r="D88" i="55" s="1"/>
  <c r="C13" i="55"/>
  <c r="B13" i="55"/>
  <c r="C12" i="55"/>
  <c r="B12" i="55"/>
  <c r="C11" i="55"/>
  <c r="B11" i="55"/>
  <c r="O10" i="55"/>
  <c r="O85" i="55" s="1"/>
  <c r="N10" i="55"/>
  <c r="N85" i="55" s="1"/>
  <c r="M10" i="55"/>
  <c r="M85" i="55" s="1"/>
  <c r="K10" i="55"/>
  <c r="K85" i="55" s="1"/>
  <c r="J10" i="55"/>
  <c r="I10" i="55"/>
  <c r="H10" i="55"/>
  <c r="H85" i="55" s="1"/>
  <c r="G10" i="55"/>
  <c r="G85" i="55" s="1"/>
  <c r="F10" i="55"/>
  <c r="F85" i="55" s="1"/>
  <c r="E10" i="55"/>
  <c r="E85" i="55" s="1"/>
  <c r="C10" i="55"/>
  <c r="B10" i="55"/>
  <c r="J9" i="55"/>
  <c r="J84" i="55" s="1"/>
  <c r="G9" i="55"/>
  <c r="G84" i="55" s="1"/>
  <c r="E9" i="55"/>
  <c r="E84" i="55" s="1"/>
  <c r="C9" i="55"/>
  <c r="B9" i="55"/>
  <c r="C8" i="55"/>
  <c r="B8" i="55"/>
  <c r="C7" i="55"/>
  <c r="B7" i="55"/>
  <c r="C6" i="55"/>
  <c r="B6" i="55"/>
  <c r="C5" i="55"/>
  <c r="B5" i="55"/>
  <c r="C4" i="55"/>
  <c r="B4" i="55"/>
  <c r="L3" i="55"/>
  <c r="K3" i="55"/>
  <c r="J3" i="55"/>
  <c r="I3" i="55"/>
  <c r="H3" i="55"/>
  <c r="G3" i="55"/>
  <c r="F3" i="55"/>
  <c r="E3" i="55"/>
  <c r="D3" i="55"/>
  <c r="C3" i="55"/>
  <c r="B3" i="55"/>
  <c r="G81" i="46"/>
  <c r="F81" i="46"/>
  <c r="E81" i="46"/>
  <c r="C81" i="46"/>
  <c r="E80" i="46"/>
  <c r="F80" i="46" s="1"/>
  <c r="G80" i="46" s="1"/>
  <c r="C80" i="46"/>
  <c r="G79" i="46"/>
  <c r="F79" i="46"/>
  <c r="E79" i="46"/>
  <c r="C79" i="46"/>
  <c r="E78" i="46"/>
  <c r="F78" i="46" s="1"/>
  <c r="G78" i="46" s="1"/>
  <c r="C78" i="46"/>
  <c r="G77" i="46"/>
  <c r="F77" i="46"/>
  <c r="E77" i="46"/>
  <c r="C77" i="46"/>
  <c r="E76" i="46"/>
  <c r="F76" i="46" s="1"/>
  <c r="G76" i="46" s="1"/>
  <c r="C76" i="46"/>
  <c r="G75" i="46"/>
  <c r="F75" i="46"/>
  <c r="E75" i="46"/>
  <c r="C75" i="46"/>
  <c r="E74" i="46"/>
  <c r="F74" i="46" s="1"/>
  <c r="G74" i="46" s="1"/>
  <c r="C74" i="46"/>
  <c r="G73" i="46"/>
  <c r="F73" i="46"/>
  <c r="E73" i="46"/>
  <c r="C73" i="46"/>
  <c r="E72" i="46"/>
  <c r="F72" i="46" s="1"/>
  <c r="G72" i="46" s="1"/>
  <c r="C72" i="46"/>
  <c r="G71" i="46"/>
  <c r="F71" i="46"/>
  <c r="E71" i="46"/>
  <c r="C71" i="46"/>
  <c r="E70" i="46"/>
  <c r="F70" i="46" s="1"/>
  <c r="G70" i="46" s="1"/>
  <c r="C70" i="46"/>
  <c r="G69" i="46"/>
  <c r="F69" i="46"/>
  <c r="E69" i="46"/>
  <c r="C69" i="46"/>
  <c r="E68" i="46"/>
  <c r="F68" i="46" s="1"/>
  <c r="G68" i="46" s="1"/>
  <c r="C68" i="46"/>
  <c r="G67" i="46"/>
  <c r="F67" i="46"/>
  <c r="E67" i="46"/>
  <c r="C67" i="46"/>
  <c r="E66" i="46"/>
  <c r="F66" i="46" s="1"/>
  <c r="G66" i="46" s="1"/>
  <c r="C66" i="46"/>
  <c r="G65" i="46"/>
  <c r="F65" i="46"/>
  <c r="E65" i="46"/>
  <c r="C65" i="46"/>
  <c r="E64" i="46"/>
  <c r="F64" i="46" s="1"/>
  <c r="G64" i="46" s="1"/>
  <c r="C64" i="46"/>
  <c r="G63" i="46"/>
  <c r="F63" i="46"/>
  <c r="E63" i="46"/>
  <c r="C63" i="46"/>
  <c r="E62" i="46"/>
  <c r="F62" i="46" s="1"/>
  <c r="G62" i="46" s="1"/>
  <c r="C62" i="46"/>
  <c r="G61" i="46"/>
  <c r="F61" i="46"/>
  <c r="E61" i="46"/>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G48" i="46"/>
  <c r="F48" i="46"/>
  <c r="E48" i="46"/>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G32" i="46"/>
  <c r="F32" i="46"/>
  <c r="E32" i="46"/>
  <c r="C32" i="46"/>
  <c r="F31" i="46"/>
  <c r="G31" i="46" s="1"/>
  <c r="E31" i="46"/>
  <c r="F30" i="46"/>
  <c r="G30" i="46" s="1"/>
  <c r="E30" i="46"/>
  <c r="F29" i="46"/>
  <c r="G29" i="46" s="1"/>
  <c r="E29" i="46"/>
  <c r="E28" i="46"/>
  <c r="F28" i="46" s="1"/>
  <c r="G28" i="46" s="1"/>
  <c r="G27" i="46"/>
  <c r="F27" i="46"/>
  <c r="E27" i="46"/>
  <c r="C27" i="46"/>
  <c r="F26" i="46"/>
  <c r="G26" i="46" s="1"/>
  <c r="E26" i="46"/>
  <c r="C26" i="46"/>
  <c r="G25" i="46"/>
  <c r="F25" i="46"/>
  <c r="E25" i="46"/>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G17" i="46"/>
  <c r="E17" i="46"/>
  <c r="F17" i="46" s="1"/>
  <c r="C17" i="46"/>
  <c r="F16" i="46"/>
  <c r="G16" i="46" s="1"/>
  <c r="E16" i="46"/>
  <c r="C16" i="46"/>
  <c r="E15" i="46"/>
  <c r="F15" i="46" s="1"/>
  <c r="G15" i="46" s="1"/>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E5" i="46"/>
  <c r="F5" i="46" s="1"/>
  <c r="C5" i="46"/>
  <c r="F4" i="46"/>
  <c r="G4" i="46" s="1"/>
  <c r="E4" i="46"/>
  <c r="C4" i="46"/>
  <c r="E3" i="46"/>
  <c r="F3" i="46" s="1"/>
  <c r="G3" i="46" s="1"/>
  <c r="C3" i="46"/>
  <c r="C2" i="46"/>
  <c r="M55" i="20" l="1"/>
  <c r="N44" i="20"/>
  <c r="AU89" i="20" s="1"/>
  <c r="D56" i="55"/>
  <c r="C5" i="35"/>
  <c r="D7" i="55" s="1"/>
  <c r="I28" i="33"/>
  <c r="J30" i="33" s="1"/>
  <c r="Y141" i="26"/>
  <c r="O194" i="65"/>
  <c r="AC19" i="48" s="1"/>
  <c r="AB19" i="48"/>
  <c r="O187" i="65"/>
  <c r="O184" i="65"/>
  <c r="X81" i="20"/>
  <c r="I3" i="35"/>
  <c r="J5" i="55" s="1"/>
  <c r="J80" i="55" s="1"/>
  <c r="D189" i="65"/>
  <c r="E189" i="65" s="1"/>
  <c r="F26" i="49"/>
  <c r="E191" i="65"/>
  <c r="E186" i="65"/>
  <c r="S13" i="20"/>
  <c r="S24" i="20" s="1"/>
  <c r="K186" i="65"/>
  <c r="E184" i="65"/>
  <c r="H187" i="65"/>
  <c r="G184" i="65"/>
  <c r="L184" i="65"/>
  <c r="G28" i="33"/>
  <c r="G30" i="33" s="1"/>
  <c r="V12" i="33" s="1"/>
  <c r="I30" i="33"/>
  <c r="X12" i="48"/>
  <c r="W141" i="26"/>
  <c r="I131" i="48"/>
  <c r="Q131" i="48"/>
  <c r="J21" i="48"/>
  <c r="J52" i="48" s="1"/>
  <c r="R21" i="48"/>
  <c r="F9" i="48"/>
  <c r="N9" i="48"/>
  <c r="I145" i="48"/>
  <c r="Q145" i="48"/>
  <c r="L132" i="48"/>
  <c r="M132" i="48"/>
  <c r="H114" i="48" s="1"/>
  <c r="L131" i="48"/>
  <c r="O132" i="48"/>
  <c r="L21" i="48"/>
  <c r="L53" i="48" s="1"/>
  <c r="L145" i="48"/>
  <c r="G146" i="48"/>
  <c r="O146" i="48"/>
  <c r="R52" i="48"/>
  <c r="C20" i="35"/>
  <c r="D22" i="55" s="1"/>
  <c r="D72" i="55" s="1"/>
  <c r="N21" i="48"/>
  <c r="N53" i="48" s="1"/>
  <c r="I134" i="48"/>
  <c r="R145" i="48"/>
  <c r="S145" i="48" s="1"/>
  <c r="I139" i="48"/>
  <c r="I144" i="48" s="1"/>
  <c r="J53" i="48"/>
  <c r="L134" i="48"/>
  <c r="L143" i="48" s="1"/>
  <c r="N132" i="48"/>
  <c r="I114" i="48" s="1"/>
  <c r="J114" i="48" s="1"/>
  <c r="K114" i="48" s="1"/>
  <c r="L114" i="48" s="1"/>
  <c r="F21" i="48"/>
  <c r="F53" i="48" s="1"/>
  <c r="G9" i="48"/>
  <c r="E111" i="48"/>
  <c r="E112" i="48"/>
  <c r="Q134" i="48"/>
  <c r="Q143" i="48" s="1"/>
  <c r="I84" i="48"/>
  <c r="I91" i="48" s="1"/>
  <c r="F112" i="48"/>
  <c r="S24" i="48"/>
  <c r="T144" i="48"/>
  <c r="U144" i="48" s="1"/>
  <c r="K144" i="48"/>
  <c r="C22" i="35"/>
  <c r="L9" i="48"/>
  <c r="K131" i="48"/>
  <c r="K21" i="48"/>
  <c r="M145" i="48"/>
  <c r="H146" i="48"/>
  <c r="P146" i="48"/>
  <c r="G54" i="48"/>
  <c r="I67" i="48"/>
  <c r="S17" i="48" s="1"/>
  <c r="D21" i="35" s="1"/>
  <c r="E23" i="55" s="1"/>
  <c r="H90" i="48"/>
  <c r="K130" i="48"/>
  <c r="I143" i="48"/>
  <c r="J54" i="48"/>
  <c r="J61" i="48"/>
  <c r="K61" i="48" s="1"/>
  <c r="L61" i="48" s="1"/>
  <c r="R9" i="48"/>
  <c r="C19" i="35" s="1"/>
  <c r="D21" i="55" s="1"/>
  <c r="D96" i="55" s="1"/>
  <c r="L130" i="48"/>
  <c r="O21" i="48"/>
  <c r="O54" i="48"/>
  <c r="K134" i="48"/>
  <c r="K129" i="48" s="1"/>
  <c r="F134" i="48"/>
  <c r="F143" i="48" s="1"/>
  <c r="N134" i="48"/>
  <c r="N143" i="48" s="1"/>
  <c r="G21" i="48"/>
  <c r="Q21" i="48"/>
  <c r="Q52" i="48" s="1"/>
  <c r="J145" i="48"/>
  <c r="R54" i="48"/>
  <c r="I64" i="48"/>
  <c r="S11" i="48" s="1"/>
  <c r="S10" i="48" s="1"/>
  <c r="F114" i="48"/>
  <c r="J134" i="48"/>
  <c r="J129" i="48" s="1"/>
  <c r="R134" i="48"/>
  <c r="R129" i="48" s="1"/>
  <c r="I21" i="48"/>
  <c r="I53" i="48" s="1"/>
  <c r="H144" i="48"/>
  <c r="P144" i="48"/>
  <c r="K145" i="48"/>
  <c r="F146" i="48"/>
  <c r="N146" i="48"/>
  <c r="F111" i="48"/>
  <c r="E114" i="48"/>
  <c r="J9" i="48"/>
  <c r="I129" i="48"/>
  <c r="J131" i="48"/>
  <c r="R131" i="48"/>
  <c r="R53" i="48"/>
  <c r="J60" i="48"/>
  <c r="J64" i="48" s="1"/>
  <c r="T11" i="48" s="1"/>
  <c r="I65" i="48"/>
  <c r="S13" i="48" s="1"/>
  <c r="H100" i="55"/>
  <c r="H75" i="55"/>
  <c r="L90" i="55"/>
  <c r="L65" i="55"/>
  <c r="D82" i="55"/>
  <c r="D57" i="55"/>
  <c r="D98" i="55"/>
  <c r="D73" i="55"/>
  <c r="H65" i="55"/>
  <c r="D90" i="55"/>
  <c r="D65" i="55"/>
  <c r="E90" i="55"/>
  <c r="E65" i="55"/>
  <c r="M90" i="55"/>
  <c r="M65" i="55"/>
  <c r="I91" i="55"/>
  <c r="I66" i="55"/>
  <c r="J85" i="55"/>
  <c r="J60" i="55"/>
  <c r="N91" i="55"/>
  <c r="N66" i="55"/>
  <c r="H82" i="20"/>
  <c r="H123" i="26"/>
  <c r="F91" i="55"/>
  <c r="F66" i="55"/>
  <c r="D97" i="55"/>
  <c r="H60" i="55"/>
  <c r="D63" i="55"/>
  <c r="H66" i="55"/>
  <c r="D75" i="55"/>
  <c r="L75" i="55"/>
  <c r="N14" i="38"/>
  <c r="T12" i="25"/>
  <c r="S14" i="25"/>
  <c r="S13" i="25" s="1"/>
  <c r="L20" i="26"/>
  <c r="L102" i="26" s="1"/>
  <c r="AD19" i="26"/>
  <c r="E59" i="55"/>
  <c r="E67" i="55"/>
  <c r="M67" i="55"/>
  <c r="E75" i="55"/>
  <c r="M75" i="55"/>
  <c r="L14" i="59"/>
  <c r="F65" i="55"/>
  <c r="N65" i="55"/>
  <c r="J66" i="55"/>
  <c r="F75" i="55"/>
  <c r="N75" i="55"/>
  <c r="N12" i="38"/>
  <c r="N23" i="38"/>
  <c r="O23" i="38" s="1"/>
  <c r="M23" i="38"/>
  <c r="Q16" i="40"/>
  <c r="I82" i="20"/>
  <c r="I83" i="20" s="1"/>
  <c r="I123" i="26"/>
  <c r="AD47" i="26"/>
  <c r="AD54" i="26"/>
  <c r="AD56" i="26"/>
  <c r="G59" i="55"/>
  <c r="K60" i="55"/>
  <c r="G65" i="55"/>
  <c r="O65" i="55"/>
  <c r="K66" i="55"/>
  <c r="O67" i="55"/>
  <c r="G75" i="55"/>
  <c r="O75" i="55"/>
  <c r="O26" i="38"/>
  <c r="S31" i="38"/>
  <c r="O30" i="38"/>
  <c r="T40" i="38"/>
  <c r="P39" i="38"/>
  <c r="Q43" i="38"/>
  <c r="J16" i="40"/>
  <c r="R16" i="40"/>
  <c r="S16" i="40" s="1"/>
  <c r="S12" i="40" s="1"/>
  <c r="S14" i="26" s="1"/>
  <c r="S99" i="26" s="1"/>
  <c r="Q17" i="40"/>
  <c r="M19" i="38"/>
  <c r="Q39" i="38"/>
  <c r="R39" i="38" s="1"/>
  <c r="O19" i="25"/>
  <c r="E60" i="55"/>
  <c r="M60" i="55"/>
  <c r="I65" i="55"/>
  <c r="E66" i="55"/>
  <c r="M66" i="55"/>
  <c r="I75" i="55"/>
  <c r="S16" i="38"/>
  <c r="L15" i="38"/>
  <c r="P28" i="38"/>
  <c r="Q28" i="38" s="1"/>
  <c r="O28" i="38"/>
  <c r="P36" i="38"/>
  <c r="O48" i="38"/>
  <c r="I67" i="38"/>
  <c r="L70" i="38"/>
  <c r="N19" i="59"/>
  <c r="N15" i="40"/>
  <c r="Z13" i="26"/>
  <c r="J59" i="55"/>
  <c r="F60" i="55"/>
  <c r="N60" i="55"/>
  <c r="J65" i="55"/>
  <c r="N68" i="55"/>
  <c r="J75" i="55"/>
  <c r="M16" i="38"/>
  <c r="S26" i="38"/>
  <c r="M26" i="38" s="1"/>
  <c r="M25" i="38"/>
  <c r="O25" i="38" s="1"/>
  <c r="P32" i="38"/>
  <c r="N55" i="38"/>
  <c r="L66" i="38"/>
  <c r="L71" i="38" s="1"/>
  <c r="M16" i="40"/>
  <c r="K14" i="40"/>
  <c r="V14" i="40" s="1"/>
  <c r="M14" i="59"/>
  <c r="K19" i="25"/>
  <c r="K14" i="59" s="1"/>
  <c r="K74" i="59" s="1"/>
  <c r="K75" i="59" s="1"/>
  <c r="J11" i="26"/>
  <c r="J20" i="26" s="1"/>
  <c r="J102" i="26" s="1"/>
  <c r="R11" i="26"/>
  <c r="AD16" i="26"/>
  <c r="AD55" i="26"/>
  <c r="G60" i="55"/>
  <c r="O60" i="55"/>
  <c r="K65" i="55"/>
  <c r="G66" i="55"/>
  <c r="O66" i="55"/>
  <c r="K75" i="55"/>
  <c r="N22" i="59"/>
  <c r="N56" i="38"/>
  <c r="J65" i="38"/>
  <c r="K69" i="38"/>
  <c r="K66" i="38"/>
  <c r="L69" i="38"/>
  <c r="N16" i="40"/>
  <c r="D14" i="59"/>
  <c r="K20" i="26"/>
  <c r="K102" i="26" s="1"/>
  <c r="K97" i="26" s="1"/>
  <c r="O31" i="59"/>
  <c r="O32" i="59" s="1"/>
  <c r="O44" i="49"/>
  <c r="J17" i="40"/>
  <c r="R17" i="40"/>
  <c r="S17" i="40" s="1"/>
  <c r="S13" i="40" s="1"/>
  <c r="S19" i="30" s="1"/>
  <c r="E14" i="59"/>
  <c r="D69" i="26"/>
  <c r="J105" i="26"/>
  <c r="L97" i="26"/>
  <c r="AB12" i="30"/>
  <c r="T12" i="30"/>
  <c r="H46" i="30"/>
  <c r="Z12" i="30"/>
  <c r="S12" i="30"/>
  <c r="H12" i="30"/>
  <c r="AC12" i="30"/>
  <c r="AA12" i="30"/>
  <c r="Y12" i="30"/>
  <c r="X12" i="30"/>
  <c r="W12" i="30"/>
  <c r="U12" i="30"/>
  <c r="V12" i="30"/>
  <c r="L45" i="49"/>
  <c r="L39" i="49"/>
  <c r="L38" i="49"/>
  <c r="L46" i="49" s="1"/>
  <c r="X19" i="48"/>
  <c r="K194" i="65"/>
  <c r="K56" i="38"/>
  <c r="O15" i="40"/>
  <c r="K17" i="40"/>
  <c r="F20" i="25"/>
  <c r="N20" i="25"/>
  <c r="N52" i="26"/>
  <c r="S141" i="26"/>
  <c r="AC45" i="20"/>
  <c r="R44" i="20"/>
  <c r="AY89" i="20" s="1"/>
  <c r="P38" i="38"/>
  <c r="R38" i="38" s="1"/>
  <c r="K65" i="38"/>
  <c r="K70" i="38" s="1"/>
  <c r="P15" i="40"/>
  <c r="L17" i="40"/>
  <c r="G20" i="25"/>
  <c r="G19" i="25" s="1"/>
  <c r="O20" i="25"/>
  <c r="E68" i="26"/>
  <c r="AA141" i="26"/>
  <c r="M56" i="38"/>
  <c r="Q15" i="40"/>
  <c r="M17" i="40"/>
  <c r="H20" i="25"/>
  <c r="P20" i="25"/>
  <c r="E69" i="26"/>
  <c r="L45" i="20"/>
  <c r="L55" i="20" s="1"/>
  <c r="D39" i="49"/>
  <c r="D38" i="49"/>
  <c r="D46" i="49" s="1"/>
  <c r="D45" i="49"/>
  <c r="O27" i="38"/>
  <c r="J15" i="40"/>
  <c r="R15" i="40"/>
  <c r="S15" i="40" s="1"/>
  <c r="S11" i="40" s="1"/>
  <c r="N17" i="40"/>
  <c r="I20" i="25"/>
  <c r="Q20" i="25"/>
  <c r="M15" i="26"/>
  <c r="M20" i="26" s="1"/>
  <c r="M102" i="26" s="1"/>
  <c r="M97" i="26" s="1"/>
  <c r="T141" i="26"/>
  <c r="AB141" i="26"/>
  <c r="M15" i="38"/>
  <c r="M46" i="38" s="1"/>
  <c r="M47" i="38" s="1"/>
  <c r="M22" i="38"/>
  <c r="N22" i="38" s="1"/>
  <c r="M24" i="38"/>
  <c r="O24" i="38" s="1"/>
  <c r="P27" i="38"/>
  <c r="P30" i="38"/>
  <c r="Q30" i="38" s="1"/>
  <c r="P34" i="38"/>
  <c r="Q41" i="38"/>
  <c r="Q45" i="38"/>
  <c r="O56" i="38"/>
  <c r="J20" i="25"/>
  <c r="R20" i="25"/>
  <c r="K13" i="30"/>
  <c r="K12" i="30" s="1"/>
  <c r="P56" i="38"/>
  <c r="L15" i="40"/>
  <c r="J99" i="26"/>
  <c r="J97" i="26" s="1"/>
  <c r="D70" i="26"/>
  <c r="E70" i="26" s="1"/>
  <c r="M51" i="26"/>
  <c r="C72" i="26"/>
  <c r="E72" i="26" s="1"/>
  <c r="C86" i="26"/>
  <c r="C75" i="26" s="1"/>
  <c r="T12" i="20"/>
  <c r="O44" i="20"/>
  <c r="AV89" i="20" s="1"/>
  <c r="M44" i="20"/>
  <c r="R141" i="26"/>
  <c r="Z141" i="26"/>
  <c r="H45" i="20"/>
  <c r="H55" i="20" s="1"/>
  <c r="P45" i="20"/>
  <c r="AD16" i="30"/>
  <c r="K37" i="49"/>
  <c r="D28" i="49"/>
  <c r="D29" i="49" s="1"/>
  <c r="E39" i="49"/>
  <c r="E45" i="49"/>
  <c r="J15" i="30"/>
  <c r="E31" i="59"/>
  <c r="E32" i="59" s="1"/>
  <c r="E44" i="49"/>
  <c r="E38" i="49"/>
  <c r="E46" i="49" s="1"/>
  <c r="M31" i="59"/>
  <c r="M32" i="59" s="1"/>
  <c r="M44" i="49"/>
  <c r="M38" i="49"/>
  <c r="M46" i="49" s="1"/>
  <c r="F45" i="49"/>
  <c r="F39" i="49"/>
  <c r="N45" i="49"/>
  <c r="N39" i="49"/>
  <c r="N31" i="59"/>
  <c r="N32" i="59" s="1"/>
  <c r="N33" i="59" s="1"/>
  <c r="N44" i="49"/>
  <c r="N38" i="49"/>
  <c r="N46" i="49" s="1"/>
  <c r="M39" i="49"/>
  <c r="T146" i="48"/>
  <c r="S26" i="48"/>
  <c r="H191" i="65"/>
  <c r="U141" i="26"/>
  <c r="AC141" i="26"/>
  <c r="J46" i="30"/>
  <c r="J12" i="30"/>
  <c r="AD11" i="30"/>
  <c r="L15" i="30"/>
  <c r="O30" i="30"/>
  <c r="O29" i="30" s="1"/>
  <c r="N30" i="30"/>
  <c r="N29" i="30" s="1"/>
  <c r="T21" i="30"/>
  <c r="U21" i="30" s="1"/>
  <c r="V21" i="30" s="1"/>
  <c r="W21" i="30" s="1"/>
  <c r="X21" i="30" s="1"/>
  <c r="Y21" i="30" s="1"/>
  <c r="Z21" i="30" s="1"/>
  <c r="AA21" i="30" s="1"/>
  <c r="AB21" i="30" s="1"/>
  <c r="AC21" i="30" s="1"/>
  <c r="V141" i="26"/>
  <c r="H81" i="20"/>
  <c r="G12" i="49"/>
  <c r="G37" i="49"/>
  <c r="O12" i="49"/>
  <c r="O37" i="49"/>
  <c r="O38" i="49" s="1"/>
  <c r="O46" i="49" s="1"/>
  <c r="H12" i="49"/>
  <c r="P12" i="49"/>
  <c r="E28" i="49" s="1"/>
  <c r="E29" i="49" s="1"/>
  <c r="E30" i="49" s="1"/>
  <c r="T12" i="49"/>
  <c r="K15" i="59"/>
  <c r="K19" i="33"/>
  <c r="P12" i="33"/>
  <c r="S12" i="33"/>
  <c r="R12" i="33"/>
  <c r="S10" i="33" s="1"/>
  <c r="K15" i="30"/>
  <c r="AE17" i="30"/>
  <c r="H37" i="49"/>
  <c r="H36" i="49"/>
  <c r="P37" i="49"/>
  <c r="P36" i="49"/>
  <c r="T17" i="30"/>
  <c r="T23" i="30"/>
  <c r="U23" i="30" s="1"/>
  <c r="V23" i="30" s="1"/>
  <c r="W23" i="30" s="1"/>
  <c r="X23" i="30" s="1"/>
  <c r="Y23" i="30" s="1"/>
  <c r="Z23" i="30" s="1"/>
  <c r="AA23" i="30" s="1"/>
  <c r="AB23" i="30" s="1"/>
  <c r="AC23" i="30" s="1"/>
  <c r="I37" i="49"/>
  <c r="Q37" i="49"/>
  <c r="Q45" i="49" s="1"/>
  <c r="F31" i="59"/>
  <c r="F32" i="59" s="1"/>
  <c r="F33" i="59" s="1"/>
  <c r="F38" i="49"/>
  <c r="F46" i="49" s="1"/>
  <c r="N46" i="30"/>
  <c r="M15" i="30"/>
  <c r="J37" i="49"/>
  <c r="G36" i="49"/>
  <c r="F61" i="49"/>
  <c r="N190" i="65"/>
  <c r="O190" i="65" s="1"/>
  <c r="K12" i="49"/>
  <c r="J44" i="49"/>
  <c r="W12" i="33"/>
  <c r="U12" i="33"/>
  <c r="E15" i="59"/>
  <c r="J32" i="59"/>
  <c r="R32" i="59"/>
  <c r="D82" i="59"/>
  <c r="D83" i="59" s="1"/>
  <c r="L54" i="48"/>
  <c r="L146" i="48"/>
  <c r="G192" i="65"/>
  <c r="T12" i="48"/>
  <c r="I36" i="49"/>
  <c r="Q36" i="49"/>
  <c r="G61" i="49"/>
  <c r="T12" i="33"/>
  <c r="M24" i="59"/>
  <c r="F5" i="50" s="1"/>
  <c r="H61" i="49"/>
  <c r="C29" i="33"/>
  <c r="D32" i="59"/>
  <c r="L32" i="59"/>
  <c r="M21" i="48"/>
  <c r="K21" i="21"/>
  <c r="K36" i="49"/>
  <c r="S36" i="49"/>
  <c r="I61" i="49"/>
  <c r="E85" i="59"/>
  <c r="M15" i="59"/>
  <c r="H131" i="48"/>
  <c r="G62" i="48"/>
  <c r="K191" i="65"/>
  <c r="U51" i="21"/>
  <c r="U50" i="21"/>
  <c r="R37" i="49"/>
  <c r="D44" i="49"/>
  <c r="I15" i="59"/>
  <c r="D29" i="33"/>
  <c r="I19" i="33"/>
  <c r="Q15" i="59"/>
  <c r="Q19" i="33"/>
  <c r="R65" i="59"/>
  <c r="R20" i="59" s="1"/>
  <c r="L65" i="59"/>
  <c r="L20" i="59" s="1"/>
  <c r="K65" i="59"/>
  <c r="K20" i="59" s="1"/>
  <c r="J65" i="59"/>
  <c r="J20" i="59" s="1"/>
  <c r="M67" i="59"/>
  <c r="M65" i="59"/>
  <c r="M20" i="59" s="1"/>
  <c r="H130" i="48"/>
  <c r="H9" i="48"/>
  <c r="G61" i="48"/>
  <c r="P130" i="48"/>
  <c r="P9" i="48"/>
  <c r="E105" i="48"/>
  <c r="E90" i="48"/>
  <c r="K193" i="65"/>
  <c r="X16" i="48"/>
  <c r="R19" i="33"/>
  <c r="I54" i="48"/>
  <c r="I146" i="48"/>
  <c r="Q54" i="48"/>
  <c r="Q146" i="48"/>
  <c r="D85" i="59"/>
  <c r="F15" i="59"/>
  <c r="N15" i="59"/>
  <c r="I130" i="48"/>
  <c r="I9" i="48"/>
  <c r="Q130" i="48"/>
  <c r="Q9" i="48"/>
  <c r="G139" i="48"/>
  <c r="G144" i="48" s="1"/>
  <c r="G134" i="48"/>
  <c r="O139" i="48"/>
  <c r="O130" i="48" s="1"/>
  <c r="O134" i="48"/>
  <c r="O129" i="48" s="1"/>
  <c r="I194" i="65"/>
  <c r="W19" i="48" s="1"/>
  <c r="V19" i="48"/>
  <c r="C3" i="21"/>
  <c r="E25" i="33"/>
  <c r="P15" i="59"/>
  <c r="K9" i="48"/>
  <c r="Q144" i="48"/>
  <c r="M146" i="48"/>
  <c r="M54" i="48"/>
  <c r="T145" i="48"/>
  <c r="S25" i="48"/>
  <c r="O192" i="65"/>
  <c r="AC12" i="48" s="1"/>
  <c r="AB12" i="48"/>
  <c r="C8" i="21"/>
  <c r="I16" i="5"/>
  <c r="G5" i="21"/>
  <c r="Q17" i="59" s="1"/>
  <c r="J4" i="50" s="1"/>
  <c r="H5" i="21"/>
  <c r="R17" i="59" s="1"/>
  <c r="F5" i="21"/>
  <c r="L19" i="33"/>
  <c r="F25" i="33"/>
  <c r="E29" i="33"/>
  <c r="E76" i="59"/>
  <c r="E25" i="59" s="1"/>
  <c r="O67" i="59"/>
  <c r="O65" i="59"/>
  <c r="O20" i="59" s="1"/>
  <c r="G60" i="48"/>
  <c r="G63" i="48"/>
  <c r="I105" i="48"/>
  <c r="I62" i="48"/>
  <c r="G193" i="65"/>
  <c r="Q10" i="21"/>
  <c r="AA61" i="26" s="1"/>
  <c r="AA17" i="26" s="1"/>
  <c r="O10" i="21"/>
  <c r="Y61" i="26" s="1"/>
  <c r="Y17" i="26" s="1"/>
  <c r="N10" i="21"/>
  <c r="F14" i="5"/>
  <c r="M9" i="48"/>
  <c r="I132" i="48"/>
  <c r="Q132" i="48"/>
  <c r="K63" i="48"/>
  <c r="J84" i="48"/>
  <c r="J91" i="48" s="1"/>
  <c r="J67" i="48"/>
  <c r="Q4" i="21"/>
  <c r="AA18" i="59" s="1"/>
  <c r="AA24" i="59" s="1"/>
  <c r="O4" i="21"/>
  <c r="Y18" i="59" s="1"/>
  <c r="Y24" i="59" s="1"/>
  <c r="P4" i="21"/>
  <c r="Z18" i="59" s="1"/>
  <c r="Z24" i="59" s="1"/>
  <c r="N4" i="21"/>
  <c r="O12" i="21"/>
  <c r="N12" i="21"/>
  <c r="F82" i="21" s="1"/>
  <c r="P12" i="21"/>
  <c r="Q12" i="21"/>
  <c r="T9" i="21"/>
  <c r="S9" i="21"/>
  <c r="U9" i="21"/>
  <c r="O3" i="21"/>
  <c r="D21" i="21"/>
  <c r="U41" i="21"/>
  <c r="T41" i="21"/>
  <c r="S41" i="21"/>
  <c r="R41" i="21"/>
  <c r="Q41" i="21"/>
  <c r="P41" i="21"/>
  <c r="V41" i="21"/>
  <c r="I65" i="59"/>
  <c r="I20" i="59" s="1"/>
  <c r="Q67" i="59"/>
  <c r="Q65" i="59"/>
  <c r="Q20" i="59" s="1"/>
  <c r="R132" i="48"/>
  <c r="S18" i="48"/>
  <c r="M192" i="65"/>
  <c r="AA12" i="48" s="1"/>
  <c r="Z12" i="48"/>
  <c r="F5" i="5"/>
  <c r="C16" i="5"/>
  <c r="L23" i="21"/>
  <c r="V41" i="30" s="1"/>
  <c r="V24" i="30" s="1"/>
  <c r="K18" i="21"/>
  <c r="L24" i="21"/>
  <c r="K23" i="21"/>
  <c r="U41" i="30" s="1"/>
  <c r="U24" i="30" s="1"/>
  <c r="K20" i="21"/>
  <c r="U38" i="30" s="1"/>
  <c r="J18" i="21"/>
  <c r="K24" i="21"/>
  <c r="J23" i="21"/>
  <c r="T41" i="30" s="1"/>
  <c r="T24" i="30" s="1"/>
  <c r="J20" i="21"/>
  <c r="T38" i="30" s="1"/>
  <c r="J6" i="21"/>
  <c r="J24" i="21"/>
  <c r="M20" i="21"/>
  <c r="W38" i="30" s="1"/>
  <c r="M6" i="21"/>
  <c r="M18" i="21"/>
  <c r="L6" i="21"/>
  <c r="O5" i="21"/>
  <c r="Y17" i="59" s="1"/>
  <c r="J15" i="35" s="1"/>
  <c r="K17" i="55" s="1"/>
  <c r="P5" i="21"/>
  <c r="Z17" i="59" s="1"/>
  <c r="K15" i="35" s="1"/>
  <c r="L17" i="55" s="1"/>
  <c r="N5" i="21"/>
  <c r="R9" i="21"/>
  <c r="L129" i="48"/>
  <c r="N130" i="48"/>
  <c r="H112" i="48" s="1"/>
  <c r="I112" i="48" s="1"/>
  <c r="J112" i="48" s="1"/>
  <c r="K112" i="48" s="1"/>
  <c r="L112" i="48" s="1"/>
  <c r="N131" i="48"/>
  <c r="H113" i="48" s="1"/>
  <c r="H53" i="48"/>
  <c r="P53" i="48"/>
  <c r="J16" i="5"/>
  <c r="M19" i="21"/>
  <c r="W37" i="30" s="1"/>
  <c r="W20" i="30" s="1"/>
  <c r="L19" i="21"/>
  <c r="V37" i="30" s="1"/>
  <c r="V20" i="30" s="1"/>
  <c r="K19" i="21"/>
  <c r="U37" i="30" s="1"/>
  <c r="U20" i="30" s="1"/>
  <c r="J19" i="21"/>
  <c r="T37" i="30" s="1"/>
  <c r="T20" i="30" s="1"/>
  <c r="E7" i="5"/>
  <c r="R6" i="21"/>
  <c r="U6" i="21"/>
  <c r="T6" i="21"/>
  <c r="S6" i="21"/>
  <c r="AC45" i="30" s="1"/>
  <c r="N7" i="35" s="1"/>
  <c r="O9" i="55" s="1"/>
  <c r="M16" i="5"/>
  <c r="H3" i="21"/>
  <c r="P3" i="21"/>
  <c r="F54" i="48"/>
  <c r="N54" i="48"/>
  <c r="M139" i="48"/>
  <c r="M130" i="48" s="1"/>
  <c r="M134" i="48"/>
  <c r="M143" i="48" s="1"/>
  <c r="H134" i="48"/>
  <c r="H129" i="48" s="1"/>
  <c r="P134" i="48"/>
  <c r="P129" i="48" s="1"/>
  <c r="O48" i="21"/>
  <c r="G48" i="21"/>
  <c r="G47" i="21" s="1"/>
  <c r="V48" i="21"/>
  <c r="N48" i="21"/>
  <c r="F48" i="21"/>
  <c r="F47" i="21" s="1"/>
  <c r="P107" i="26" s="1"/>
  <c r="M48" i="21"/>
  <c r="E48" i="21"/>
  <c r="E47" i="21" s="1"/>
  <c r="O107" i="26" s="1"/>
  <c r="T48" i="21"/>
  <c r="L48" i="21"/>
  <c r="D48" i="21"/>
  <c r="D47" i="21" s="1"/>
  <c r="N107" i="26" s="1"/>
  <c r="S48" i="21"/>
  <c r="K48" i="21"/>
  <c r="R48" i="21"/>
  <c r="J48" i="21"/>
  <c r="H8" i="21"/>
  <c r="Q48" i="21"/>
  <c r="I48" i="21"/>
  <c r="P48" i="21"/>
  <c r="H48" i="21"/>
  <c r="L5" i="21"/>
  <c r="V17" i="59" s="1"/>
  <c r="G15" i="35" s="1"/>
  <c r="H17" i="55" s="1"/>
  <c r="J5" i="21"/>
  <c r="M5" i="21"/>
  <c r="W17" i="59" s="1"/>
  <c r="H15" i="35" s="1"/>
  <c r="I17" i="55" s="1"/>
  <c r="K5" i="21"/>
  <c r="U17" i="59" s="1"/>
  <c r="F15" i="35" s="1"/>
  <c r="G17" i="55" s="1"/>
  <c r="U7" i="21"/>
  <c r="R7" i="21"/>
  <c r="G77" i="21" s="1"/>
  <c r="T7" i="21"/>
  <c r="I3" i="21"/>
  <c r="Q3" i="21"/>
  <c r="V16" i="6"/>
  <c r="P31" i="21"/>
  <c r="G31" i="21"/>
  <c r="M31" i="21"/>
  <c r="S31" i="21"/>
  <c r="Q31" i="21"/>
  <c r="F144" i="48"/>
  <c r="N144" i="48"/>
  <c r="F145" i="48"/>
  <c r="N145" i="48"/>
  <c r="F90" i="48"/>
  <c r="F105" i="48"/>
  <c r="P33" i="21"/>
  <c r="V33" i="21"/>
  <c r="L33" i="21"/>
  <c r="R33" i="21"/>
  <c r="M7" i="21"/>
  <c r="J7" i="21"/>
  <c r="L7" i="21"/>
  <c r="K7" i="21"/>
  <c r="D3" i="21"/>
  <c r="G143" i="48"/>
  <c r="I4" i="21"/>
  <c r="S18" i="59" s="1"/>
  <c r="G4" i="21"/>
  <c r="Q18" i="59" s="1"/>
  <c r="Q24" i="59" s="1"/>
  <c r="J5" i="50" s="1"/>
  <c r="H4" i="21"/>
  <c r="R18" i="59" s="1"/>
  <c r="R24" i="59" s="1"/>
  <c r="F4" i="21"/>
  <c r="I10" i="21"/>
  <c r="S61" i="26" s="1"/>
  <c r="S17" i="26" s="1"/>
  <c r="G10" i="21"/>
  <c r="Q61" i="26" s="1"/>
  <c r="Q17" i="26" s="1"/>
  <c r="H10" i="21"/>
  <c r="R61" i="26" s="1"/>
  <c r="R17" i="26" s="1"/>
  <c r="F10" i="21"/>
  <c r="H31" i="21" s="1"/>
  <c r="T4" i="21"/>
  <c r="U4" i="21"/>
  <c r="S4" i="21"/>
  <c r="AC18" i="59" s="1"/>
  <c r="AC24" i="59" s="1"/>
  <c r="E3" i="21"/>
  <c r="D11" i="21"/>
  <c r="D9" i="21"/>
  <c r="D4" i="21"/>
  <c r="N18" i="59" s="1"/>
  <c r="D10" i="21"/>
  <c r="N61" i="26" s="1"/>
  <c r="D5" i="21"/>
  <c r="N17" i="59" s="1"/>
  <c r="G4" i="50" s="1"/>
  <c r="D7" i="21"/>
  <c r="E1" i="21"/>
  <c r="E6" i="21" s="1"/>
  <c r="K54" i="48"/>
  <c r="H16" i="5"/>
  <c r="G12" i="21"/>
  <c r="F12" i="21"/>
  <c r="D82" i="21" s="1"/>
  <c r="H12" i="21"/>
  <c r="I12" i="21"/>
  <c r="L9" i="21"/>
  <c r="M9" i="21"/>
  <c r="K9" i="21"/>
  <c r="J9" i="21"/>
  <c r="T5" i="21"/>
  <c r="R5" i="21"/>
  <c r="U5" i="21"/>
  <c r="I21" i="21"/>
  <c r="S7" i="21"/>
  <c r="I13" i="21"/>
  <c r="I14" i="21" s="1"/>
  <c r="H13" i="21"/>
  <c r="H14" i="21" s="1"/>
  <c r="G13" i="21"/>
  <c r="G14" i="21" s="1"/>
  <c r="F13" i="21"/>
  <c r="E16" i="5"/>
  <c r="Q17" i="6"/>
  <c r="Q7" i="21"/>
  <c r="F77" i="21" s="1"/>
  <c r="F19" i="21"/>
  <c r="P37" i="30" s="1"/>
  <c r="I18" i="21"/>
  <c r="I23" i="21"/>
  <c r="S41" i="30" s="1"/>
  <c r="I20" i="21"/>
  <c r="S38" i="30" s="1"/>
  <c r="AE38" i="30" s="1"/>
  <c r="I24" i="21"/>
  <c r="G18" i="21"/>
  <c r="G20" i="21"/>
  <c r="Q38" i="30" s="1"/>
  <c r="G6" i="21"/>
  <c r="G24" i="21" s="1"/>
  <c r="F20" i="21"/>
  <c r="P38" i="30" s="1"/>
  <c r="I19" i="21"/>
  <c r="S37" i="30" s="1"/>
  <c r="L10" i="21"/>
  <c r="V61" i="26" s="1"/>
  <c r="V17" i="26" s="1"/>
  <c r="J10" i="21"/>
  <c r="Q23" i="21"/>
  <c r="Q24" i="21"/>
  <c r="P24" i="21"/>
  <c r="O23" i="21"/>
  <c r="O6" i="21"/>
  <c r="Y45" i="30" s="1"/>
  <c r="J7" i="35" s="1"/>
  <c r="K9" i="55" s="1"/>
  <c r="O24" i="21"/>
  <c r="N23" i="21"/>
  <c r="X41" i="30" s="1"/>
  <c r="X24" i="30" s="1"/>
  <c r="N24" i="21"/>
  <c r="T10" i="21"/>
  <c r="R10" i="21"/>
  <c r="T3" i="21"/>
  <c r="S17" i="6"/>
  <c r="C6" i="21"/>
  <c r="P6" i="21"/>
  <c r="Z45" i="30" s="1"/>
  <c r="K7" i="35" s="1"/>
  <c r="L9" i="55" s="1"/>
  <c r="G7" i="21"/>
  <c r="D77" i="21" s="1"/>
  <c r="S10" i="21"/>
  <c r="AC61" i="26" s="1"/>
  <c r="AC17" i="26" s="1"/>
  <c r="M12" i="21"/>
  <c r="J12" i="21"/>
  <c r="E82" i="21" s="1"/>
  <c r="U12" i="21"/>
  <c r="T12" i="21"/>
  <c r="S12" i="21"/>
  <c r="R12" i="21"/>
  <c r="Q6" i="21"/>
  <c r="AA45" i="30" s="1"/>
  <c r="L7" i="35" s="1"/>
  <c r="M9" i="55" s="1"/>
  <c r="I7" i="21"/>
  <c r="U10" i="21"/>
  <c r="E13" i="21"/>
  <c r="E14" i="21" s="1"/>
  <c r="C13" i="21"/>
  <c r="R13" i="21"/>
  <c r="J13" i="21"/>
  <c r="Q13" i="21"/>
  <c r="Q14" i="21" s="1"/>
  <c r="P13" i="21"/>
  <c r="P14" i="21" s="1"/>
  <c r="O13" i="21"/>
  <c r="O14" i="21" s="1"/>
  <c r="V13" i="21"/>
  <c r="V14" i="21" s="1"/>
  <c r="V15" i="21" s="1"/>
  <c r="N13" i="21"/>
  <c r="U13" i="21"/>
  <c r="U14" i="21" s="1"/>
  <c r="U15" i="21" s="1"/>
  <c r="M13" i="21"/>
  <c r="M14" i="21" s="1"/>
  <c r="S13" i="21"/>
  <c r="S14" i="21" s="1"/>
  <c r="K13" i="21"/>
  <c r="K14" i="21" s="1"/>
  <c r="F3" i="21"/>
  <c r="N3" i="21"/>
  <c r="V3" i="21"/>
  <c r="F6" i="21"/>
  <c r="F24" i="21" s="1"/>
  <c r="D13" i="21"/>
  <c r="D14" i="21" s="1"/>
  <c r="D23" i="21"/>
  <c r="N41" i="30" s="1"/>
  <c r="D20" i="21"/>
  <c r="N38" i="30" s="1"/>
  <c r="C18" i="21"/>
  <c r="D24" i="21"/>
  <c r="N42" i="30" s="1"/>
  <c r="C23" i="21"/>
  <c r="M41" i="30" s="1"/>
  <c r="C20" i="21"/>
  <c r="M38" i="30" s="1"/>
  <c r="C24" i="21"/>
  <c r="M42" i="30" s="1"/>
  <c r="D19" i="21"/>
  <c r="N37" i="30" s="1"/>
  <c r="C19" i="21"/>
  <c r="M37" i="30" s="1"/>
  <c r="D18" i="21"/>
  <c r="I9" i="21"/>
  <c r="G9" i="21"/>
  <c r="N19" i="21"/>
  <c r="N9" i="21"/>
  <c r="Q9" i="21"/>
  <c r="O9" i="21"/>
  <c r="B16" i="5"/>
  <c r="H6" i="21"/>
  <c r="H19" i="21" s="1"/>
  <c r="R37" i="30" s="1"/>
  <c r="AD37" i="30" s="1"/>
  <c r="D81" i="21"/>
  <c r="F81" i="21"/>
  <c r="L13" i="21"/>
  <c r="L14" i="21" s="1"/>
  <c r="I46" i="20" l="1"/>
  <c r="I56" i="20" s="1"/>
  <c r="I14" i="20"/>
  <c r="I25" i="20" s="1"/>
  <c r="H83" i="20"/>
  <c r="Q44" i="20"/>
  <c r="AX89" i="20" s="1"/>
  <c r="P55" i="20"/>
  <c r="J55" i="55"/>
  <c r="Y81" i="20"/>
  <c r="J3" i="35"/>
  <c r="K5" i="55" s="1"/>
  <c r="M184" i="65"/>
  <c r="L186" i="65"/>
  <c r="H184" i="65"/>
  <c r="I187" i="65"/>
  <c r="Q129" i="48"/>
  <c r="N52" i="48"/>
  <c r="F52" i="48"/>
  <c r="Q53" i="48"/>
  <c r="L52" i="48"/>
  <c r="O144" i="48"/>
  <c r="O143" i="48"/>
  <c r="T24" i="48"/>
  <c r="P143" i="48"/>
  <c r="J65" i="48"/>
  <c r="T13" i="48" s="1"/>
  <c r="U13" i="48" s="1"/>
  <c r="V13" i="48" s="1"/>
  <c r="W13" i="48" s="1"/>
  <c r="X13" i="48" s="1"/>
  <c r="Y13" i="48" s="1"/>
  <c r="Z13" i="48" s="1"/>
  <c r="AA13" i="48" s="1"/>
  <c r="K65" i="48"/>
  <c r="I52" i="48"/>
  <c r="H143" i="48"/>
  <c r="N129" i="48"/>
  <c r="H111" i="48" s="1"/>
  <c r="I111" i="48" s="1"/>
  <c r="J111" i="48" s="1"/>
  <c r="K111" i="48" s="1"/>
  <c r="L111" i="48" s="1"/>
  <c r="D71" i="55"/>
  <c r="M129" i="48"/>
  <c r="E98" i="55"/>
  <c r="E73" i="55"/>
  <c r="F113" i="48"/>
  <c r="J82" i="48"/>
  <c r="J89" i="48" s="1"/>
  <c r="K8" i="50"/>
  <c r="D24" i="55"/>
  <c r="K82" i="48"/>
  <c r="K89" i="48" s="1"/>
  <c r="K143" i="48"/>
  <c r="K60" i="48"/>
  <c r="J81" i="48"/>
  <c r="J88" i="48" s="1"/>
  <c r="R143" i="48"/>
  <c r="S143" i="48" s="1"/>
  <c r="K52" i="48"/>
  <c r="K53" i="48"/>
  <c r="T17" i="48"/>
  <c r="E21" i="35" s="1"/>
  <c r="F23" i="55" s="1"/>
  <c r="F98" i="55" s="1"/>
  <c r="J143" i="48"/>
  <c r="O52" i="48"/>
  <c r="O53" i="48"/>
  <c r="G52" i="48"/>
  <c r="G53" i="48"/>
  <c r="K82" i="20"/>
  <c r="K83" i="20" s="1"/>
  <c r="K123" i="26"/>
  <c r="D2" i="50"/>
  <c r="M82" i="20"/>
  <c r="M83" i="20" s="1"/>
  <c r="M123" i="26"/>
  <c r="F2" i="50"/>
  <c r="E21" i="21"/>
  <c r="O45" i="30"/>
  <c r="E23" i="21"/>
  <c r="O41" i="30" s="1"/>
  <c r="E20" i="21"/>
  <c r="O38" i="30" s="1"/>
  <c r="E18" i="21"/>
  <c r="E24" i="21"/>
  <c r="O42" i="30" s="1"/>
  <c r="E19" i="21"/>
  <c r="O37" i="30" s="1"/>
  <c r="G75" i="21"/>
  <c r="AB17" i="59"/>
  <c r="M15" i="35" s="1"/>
  <c r="N17" i="55" s="1"/>
  <c r="I92" i="55"/>
  <c r="I67" i="55"/>
  <c r="L16" i="35"/>
  <c r="M18" i="55" s="1"/>
  <c r="H192" i="65"/>
  <c r="U12" i="48"/>
  <c r="K45" i="49"/>
  <c r="K39" i="49"/>
  <c r="L15" i="21"/>
  <c r="V60" i="26"/>
  <c r="N25" i="21"/>
  <c r="X43" i="30" s="1"/>
  <c r="X37" i="30"/>
  <c r="X20" i="30" s="1"/>
  <c r="M15" i="21"/>
  <c r="W60" i="26"/>
  <c r="R14" i="21"/>
  <c r="G83" i="21"/>
  <c r="V51" i="21"/>
  <c r="V50" i="21"/>
  <c r="O25" i="21"/>
  <c r="Y43" i="30" s="1"/>
  <c r="Y41" i="30"/>
  <c r="Y24" i="30" s="1"/>
  <c r="H24" i="21"/>
  <c r="S36" i="30"/>
  <c r="AE36" i="30" s="1"/>
  <c r="S33" i="21"/>
  <c r="H33" i="21"/>
  <c r="I31" i="21"/>
  <c r="T31" i="21"/>
  <c r="G92" i="55"/>
  <c r="G67" i="55"/>
  <c r="I47" i="21"/>
  <c r="S107" i="26" s="1"/>
  <c r="Q107" i="26"/>
  <c r="L21" i="21"/>
  <c r="V45" i="30"/>
  <c r="G7" i="35" s="1"/>
  <c r="H9" i="55" s="1"/>
  <c r="L20" i="21"/>
  <c r="V38" i="30" s="1"/>
  <c r="V44" i="21"/>
  <c r="U44" i="21"/>
  <c r="T44" i="21"/>
  <c r="S44" i="21"/>
  <c r="AC59" i="26"/>
  <c r="J16" i="35"/>
  <c r="K18" i="55" s="1"/>
  <c r="D75" i="21"/>
  <c r="P17" i="59"/>
  <c r="I4" i="50" s="1"/>
  <c r="U145" i="48"/>
  <c r="T25" i="48"/>
  <c r="L193" i="65"/>
  <c r="Y16" i="48"/>
  <c r="S19" i="59"/>
  <c r="S24" i="59" s="1"/>
  <c r="K46" i="62"/>
  <c r="O14" i="59"/>
  <c r="L194" i="65"/>
  <c r="Y19" i="48"/>
  <c r="AE12" i="30"/>
  <c r="K80" i="55"/>
  <c r="K55" i="55"/>
  <c r="S32" i="38"/>
  <c r="O31" i="38"/>
  <c r="Q31" i="38" s="1"/>
  <c r="P32" i="21"/>
  <c r="H32" i="21"/>
  <c r="O32" i="21"/>
  <c r="G32" i="21"/>
  <c r="V32" i="21"/>
  <c r="N32" i="21"/>
  <c r="U32" i="21"/>
  <c r="M32" i="21"/>
  <c r="T32" i="21"/>
  <c r="L32" i="21"/>
  <c r="S32" i="21"/>
  <c r="K32" i="21"/>
  <c r="R32" i="21"/>
  <c r="J32" i="21"/>
  <c r="Q32" i="21"/>
  <c r="I32" i="21"/>
  <c r="Q59" i="26"/>
  <c r="W3" i="21"/>
  <c r="L191" i="65"/>
  <c r="S34" i="21"/>
  <c r="K34" i="21"/>
  <c r="R34" i="21"/>
  <c r="J34" i="21"/>
  <c r="Q34" i="21"/>
  <c r="I34" i="21"/>
  <c r="P34" i="21"/>
  <c r="O34" i="21"/>
  <c r="V34" i="21"/>
  <c r="N34" i="21"/>
  <c r="U34" i="21"/>
  <c r="M34" i="21"/>
  <c r="T34" i="21"/>
  <c r="L34" i="21"/>
  <c r="S59" i="26"/>
  <c r="F21" i="21"/>
  <c r="D76" i="21"/>
  <c r="P45" i="30"/>
  <c r="F83" i="21"/>
  <c r="N14" i="21"/>
  <c r="E15" i="21"/>
  <c r="O60" i="26"/>
  <c r="G80" i="21"/>
  <c r="AB61" i="26"/>
  <c r="AB17" i="26" s="1"/>
  <c r="P23" i="21"/>
  <c r="F23" i="21"/>
  <c r="P41" i="30" s="1"/>
  <c r="P24" i="30" s="1"/>
  <c r="H20" i="21"/>
  <c r="R38" i="30" s="1"/>
  <c r="AD38" i="30" s="1"/>
  <c r="G19" i="21"/>
  <c r="Q37" i="30" s="1"/>
  <c r="G15" i="21"/>
  <c r="Q60" i="26"/>
  <c r="N17" i="26"/>
  <c r="D80" i="21"/>
  <c r="P61" i="26"/>
  <c r="P17" i="26" s="1"/>
  <c r="T33" i="21"/>
  <c r="I33" i="21"/>
  <c r="J31" i="21"/>
  <c r="U31" i="21"/>
  <c r="E75" i="21"/>
  <c r="T17" i="59"/>
  <c r="E15" i="35" s="1"/>
  <c r="F17" i="55" s="1"/>
  <c r="U52" i="21"/>
  <c r="M52" i="21"/>
  <c r="T52" i="21"/>
  <c r="L52" i="21"/>
  <c r="L47" i="21" s="1"/>
  <c r="V107" i="26" s="1"/>
  <c r="S52" i="21"/>
  <c r="K52" i="21"/>
  <c r="D78" i="21"/>
  <c r="R52" i="21"/>
  <c r="J52" i="21"/>
  <c r="Q52" i="21"/>
  <c r="Q47" i="21" s="1"/>
  <c r="AA107" i="26" s="1"/>
  <c r="I52" i="21"/>
  <c r="P52" i="21"/>
  <c r="H52" i="21"/>
  <c r="O52" i="21"/>
  <c r="V52" i="21"/>
  <c r="N52" i="21"/>
  <c r="R43" i="21"/>
  <c r="G79" i="21"/>
  <c r="V43" i="21"/>
  <c r="U43" i="21"/>
  <c r="T43" i="21"/>
  <c r="S43" i="21"/>
  <c r="AB59" i="26"/>
  <c r="M21" i="21"/>
  <c r="W45" i="30"/>
  <c r="H7" i="35" s="1"/>
  <c r="I9" i="55" s="1"/>
  <c r="M24" i="21"/>
  <c r="U16" i="48"/>
  <c r="H193" i="65"/>
  <c r="E113" i="48"/>
  <c r="M53" i="48"/>
  <c r="M52" i="48"/>
  <c r="F3" i="35"/>
  <c r="G5" i="55" s="1"/>
  <c r="U81" i="20"/>
  <c r="M33" i="59"/>
  <c r="Z81" i="20"/>
  <c r="K3" i="35"/>
  <c r="L5" i="55" s="1"/>
  <c r="AA81" i="20"/>
  <c r="L3" i="35"/>
  <c r="M5" i="55" s="1"/>
  <c r="N5" i="35"/>
  <c r="O7" i="55" s="1"/>
  <c r="L82" i="20"/>
  <c r="L83" i="20" s="1"/>
  <c r="L123" i="26"/>
  <c r="E2" i="50"/>
  <c r="O33" i="59"/>
  <c r="P48" i="38"/>
  <c r="J67" i="38"/>
  <c r="N15" i="38"/>
  <c r="D15" i="21"/>
  <c r="N60" i="26"/>
  <c r="AO95" i="20"/>
  <c r="AO96" i="20"/>
  <c r="AO97" i="20"/>
  <c r="H14" i="20"/>
  <c r="H25" i="20" s="1"/>
  <c r="G14" i="59"/>
  <c r="N36" i="30"/>
  <c r="H23" i="21"/>
  <c r="R41" i="30" s="1"/>
  <c r="H15" i="21"/>
  <c r="R60" i="26"/>
  <c r="R57" i="26" s="1"/>
  <c r="V35" i="21"/>
  <c r="N35" i="21"/>
  <c r="U35" i="21"/>
  <c r="M35" i="21"/>
  <c r="T35" i="21"/>
  <c r="L35" i="21"/>
  <c r="S35" i="21"/>
  <c r="K35" i="21"/>
  <c r="R35" i="21"/>
  <c r="J35" i="21"/>
  <c r="E79" i="21"/>
  <c r="Q35" i="21"/>
  <c r="P35" i="21"/>
  <c r="O35" i="21"/>
  <c r="T59" i="26"/>
  <c r="N24" i="59"/>
  <c r="G5" i="50" s="1"/>
  <c r="E77" i="21"/>
  <c r="M33" i="21"/>
  <c r="Q33" i="21"/>
  <c r="R31" i="21"/>
  <c r="F31" i="21"/>
  <c r="H92" i="55"/>
  <c r="H67" i="55"/>
  <c r="J47" i="21"/>
  <c r="T107" i="26" s="1"/>
  <c r="M47" i="21"/>
  <c r="W107" i="26" s="1"/>
  <c r="L18" i="21"/>
  <c r="T36" i="30"/>
  <c r="I83" i="48"/>
  <c r="I90" i="48" s="1"/>
  <c r="I66" i="48"/>
  <c r="S15" i="48" s="1"/>
  <c r="J62" i="48"/>
  <c r="S37" i="49"/>
  <c r="S38" i="49" s="1"/>
  <c r="S46" i="49" s="1"/>
  <c r="T36" i="49"/>
  <c r="S31" i="59"/>
  <c r="S44" i="49"/>
  <c r="D11" i="35"/>
  <c r="M144" i="48"/>
  <c r="P44" i="49"/>
  <c r="P31" i="59"/>
  <c r="P32" i="59" s="1"/>
  <c r="P33" i="59" s="1"/>
  <c r="P38" i="49"/>
  <c r="P46" i="49" s="1"/>
  <c r="W81" i="20"/>
  <c r="H3" i="35"/>
  <c r="I5" i="55" s="1"/>
  <c r="C28" i="49"/>
  <c r="C29" i="49" s="1"/>
  <c r="D30" i="49" s="1"/>
  <c r="R81" i="20"/>
  <c r="K9" i="50"/>
  <c r="C3" i="35"/>
  <c r="D5" i="55" s="1"/>
  <c r="J70" i="38"/>
  <c r="I69" i="38"/>
  <c r="I66" i="38"/>
  <c r="I70" i="38"/>
  <c r="AD14" i="26"/>
  <c r="AP96" i="20"/>
  <c r="AP95" i="20"/>
  <c r="AP97" i="20"/>
  <c r="K15" i="40"/>
  <c r="L74" i="59"/>
  <c r="L75" i="59" s="1"/>
  <c r="Q36" i="30"/>
  <c r="W36" i="30"/>
  <c r="S20" i="25"/>
  <c r="C9" i="35"/>
  <c r="D11" i="55" s="1"/>
  <c r="O15" i="21"/>
  <c r="Y60" i="26"/>
  <c r="Q25" i="21"/>
  <c r="AA43" i="30" s="1"/>
  <c r="AA41" i="30"/>
  <c r="AA24" i="30" s="1"/>
  <c r="G21" i="21"/>
  <c r="Q45" i="30"/>
  <c r="I15" i="21"/>
  <c r="S60" i="26"/>
  <c r="R36" i="21"/>
  <c r="Q36" i="21"/>
  <c r="P36" i="21"/>
  <c r="O36" i="21"/>
  <c r="V36" i="21"/>
  <c r="N36" i="21"/>
  <c r="U36" i="21"/>
  <c r="M36" i="21"/>
  <c r="T36" i="21"/>
  <c r="L36" i="21"/>
  <c r="S36" i="21"/>
  <c r="K36" i="21"/>
  <c r="U59" i="26"/>
  <c r="S29" i="21"/>
  <c r="K29" i="21"/>
  <c r="R29" i="21"/>
  <c r="J29" i="21"/>
  <c r="Q29" i="21"/>
  <c r="I29" i="21"/>
  <c r="P29" i="21"/>
  <c r="H29" i="21"/>
  <c r="O29" i="21"/>
  <c r="G29" i="21"/>
  <c r="V29" i="21"/>
  <c r="N29" i="21"/>
  <c r="F29" i="21"/>
  <c r="U29" i="21"/>
  <c r="M29" i="21"/>
  <c r="E29" i="21"/>
  <c r="T29" i="21"/>
  <c r="L29" i="21"/>
  <c r="D29" i="21"/>
  <c r="D28" i="21" s="1"/>
  <c r="N59" i="26"/>
  <c r="U33" i="21"/>
  <c r="D79" i="21"/>
  <c r="N31" i="21"/>
  <c r="R47" i="21"/>
  <c r="AB107" i="26" s="1"/>
  <c r="U48" i="21"/>
  <c r="U47" i="21" s="1"/>
  <c r="F76" i="21"/>
  <c r="G76" i="21"/>
  <c r="AB45" i="30"/>
  <c r="M7" i="35" s="1"/>
  <c r="N9" i="55" s="1"/>
  <c r="C5" i="21"/>
  <c r="F16" i="5"/>
  <c r="D22" i="21"/>
  <c r="N40" i="30" s="1"/>
  <c r="N39" i="30"/>
  <c r="L63" i="48"/>
  <c r="K84" i="48"/>
  <c r="K91" i="48" s="1"/>
  <c r="K67" i="48"/>
  <c r="E28" i="59"/>
  <c r="C78" i="21"/>
  <c r="W8" i="21"/>
  <c r="R45" i="49"/>
  <c r="R38" i="49"/>
  <c r="R46" i="49" s="1"/>
  <c r="C10" i="35"/>
  <c r="D12" i="55" s="1"/>
  <c r="H66" i="48"/>
  <c r="G83" i="48"/>
  <c r="G90" i="48" s="1"/>
  <c r="G113" i="48" s="1"/>
  <c r="K31" i="59"/>
  <c r="K32" i="59" s="1"/>
  <c r="K33" i="59" s="1"/>
  <c r="K44" i="49"/>
  <c r="K38" i="49"/>
  <c r="K46" i="49" s="1"/>
  <c r="G31" i="59"/>
  <c r="G32" i="59" s="1"/>
  <c r="G33" i="59" s="1"/>
  <c r="G44" i="49"/>
  <c r="G38" i="49"/>
  <c r="G46" i="49" s="1"/>
  <c r="P39" i="49"/>
  <c r="P45" i="49"/>
  <c r="S15" i="59"/>
  <c r="S19" i="33"/>
  <c r="T10" i="33"/>
  <c r="D12" i="35"/>
  <c r="O45" i="49"/>
  <c r="O39" i="49"/>
  <c r="I191" i="65"/>
  <c r="F14" i="59"/>
  <c r="D74" i="59"/>
  <c r="D75" i="59" s="1"/>
  <c r="D78" i="59" s="1"/>
  <c r="D23" i="59" s="1"/>
  <c r="D76" i="59"/>
  <c r="D25" i="59" s="1"/>
  <c r="S17" i="38"/>
  <c r="L16" i="38"/>
  <c r="N16" i="38" s="1"/>
  <c r="D83" i="21"/>
  <c r="F14" i="21"/>
  <c r="O84" i="55"/>
  <c r="O59" i="55"/>
  <c r="D71" i="26"/>
  <c r="E71" i="26" s="1"/>
  <c r="E67" i="26" s="1"/>
  <c r="H21" i="21"/>
  <c r="R45" i="30"/>
  <c r="T40" i="21"/>
  <c r="S40" i="21"/>
  <c r="R40" i="21"/>
  <c r="Q40" i="21"/>
  <c r="P40" i="21"/>
  <c r="O40" i="21"/>
  <c r="V40" i="21"/>
  <c r="U40" i="21"/>
  <c r="Y59" i="26"/>
  <c r="M36" i="30"/>
  <c r="P15" i="21"/>
  <c r="Z60" i="26"/>
  <c r="Z57" i="26" s="1"/>
  <c r="M84" i="55"/>
  <c r="M59" i="55"/>
  <c r="E80" i="21"/>
  <c r="T61" i="26"/>
  <c r="T17" i="26" s="1"/>
  <c r="F18" i="21"/>
  <c r="H18" i="21"/>
  <c r="U38" i="21"/>
  <c r="M38" i="21"/>
  <c r="T38" i="21"/>
  <c r="S38" i="21"/>
  <c r="R38" i="21"/>
  <c r="Q38" i="21"/>
  <c r="P38" i="21"/>
  <c r="O38" i="21"/>
  <c r="V38" i="21"/>
  <c r="N38" i="21"/>
  <c r="W59" i="26"/>
  <c r="J33" i="21"/>
  <c r="N33" i="21"/>
  <c r="K31" i="21"/>
  <c r="V31" i="21"/>
  <c r="C80" i="21"/>
  <c r="K47" i="21"/>
  <c r="U107" i="26" s="1"/>
  <c r="L4" i="21"/>
  <c r="V18" i="59" s="1"/>
  <c r="V24" i="59" s="1"/>
  <c r="K4" i="21"/>
  <c r="U18" i="59" s="1"/>
  <c r="U24" i="59" s="1"/>
  <c r="J4" i="21"/>
  <c r="M4" i="21"/>
  <c r="W18" i="59" s="1"/>
  <c r="W24" i="59" s="1"/>
  <c r="F75" i="21"/>
  <c r="X17" i="59"/>
  <c r="I15" i="35" s="1"/>
  <c r="J17" i="55" s="1"/>
  <c r="M23" i="21"/>
  <c r="W41" i="30" s="1"/>
  <c r="W24" i="30" s="1"/>
  <c r="H67" i="48"/>
  <c r="G84" i="48"/>
  <c r="G91" i="48" s="1"/>
  <c r="G114" i="48" s="1"/>
  <c r="G82" i="48"/>
  <c r="G89" i="48" s="1"/>
  <c r="G112" i="48" s="1"/>
  <c r="H65" i="48"/>
  <c r="G74" i="21"/>
  <c r="Q31" i="59"/>
  <c r="Q32" i="59" s="1"/>
  <c r="Q33" i="59" s="1"/>
  <c r="Q44" i="49"/>
  <c r="Q38" i="49"/>
  <c r="Q46" i="49" s="1"/>
  <c r="J45" i="49"/>
  <c r="J39" i="49"/>
  <c r="J38" i="49"/>
  <c r="J46" i="49" s="1"/>
  <c r="I45" i="49"/>
  <c r="I39" i="49"/>
  <c r="H44" i="49"/>
  <c r="H38" i="49"/>
  <c r="H46" i="49" s="1"/>
  <c r="H31" i="59"/>
  <c r="H32" i="59" s="1"/>
  <c r="H33" i="59" s="1"/>
  <c r="V81" i="20"/>
  <c r="G3" i="35"/>
  <c r="H5" i="55" s="1"/>
  <c r="S54" i="48"/>
  <c r="D22" i="35"/>
  <c r="E24" i="55" s="1"/>
  <c r="E33" i="59"/>
  <c r="D4" i="35"/>
  <c r="E6" i="55" s="1"/>
  <c r="H14" i="59"/>
  <c r="C67" i="26"/>
  <c r="S81" i="20"/>
  <c r="D3" i="35"/>
  <c r="E5" i="55" s="1"/>
  <c r="E74" i="59"/>
  <c r="E75" i="59" s="1"/>
  <c r="E78" i="59" s="1"/>
  <c r="E23" i="59" s="1"/>
  <c r="R19" i="25"/>
  <c r="C8" i="35" s="1"/>
  <c r="D10" i="55" s="1"/>
  <c r="Q19" i="25"/>
  <c r="Q14" i="59" s="1"/>
  <c r="Q74" i="59" s="1"/>
  <c r="Q75" i="59" s="1"/>
  <c r="P19" i="25"/>
  <c r="P14" i="59" s="1"/>
  <c r="P74" i="59" s="1"/>
  <c r="P75" i="59" s="1"/>
  <c r="N19" i="25"/>
  <c r="N14" i="59" s="1"/>
  <c r="N74" i="59" s="1"/>
  <c r="N75" i="59" s="1"/>
  <c r="P40" i="38"/>
  <c r="R40" i="38" s="1"/>
  <c r="T41" i="38"/>
  <c r="S11" i="25"/>
  <c r="K16" i="40"/>
  <c r="K4" i="50"/>
  <c r="C15" i="35"/>
  <c r="D17" i="55" s="1"/>
  <c r="U12" i="49"/>
  <c r="V12" i="49" s="1"/>
  <c r="W12" i="49" s="1"/>
  <c r="X12" i="49" s="1"/>
  <c r="V42" i="21"/>
  <c r="U42" i="21"/>
  <c r="T42" i="21"/>
  <c r="S42" i="21"/>
  <c r="R42" i="21"/>
  <c r="Q42" i="21"/>
  <c r="AA59" i="26"/>
  <c r="K15" i="21"/>
  <c r="U60" i="26"/>
  <c r="G82" i="21"/>
  <c r="O37" i="21"/>
  <c r="V37" i="21"/>
  <c r="N37" i="21"/>
  <c r="U37" i="21"/>
  <c r="M37" i="21"/>
  <c r="T37" i="21"/>
  <c r="L37" i="21"/>
  <c r="S37" i="21"/>
  <c r="R37" i="21"/>
  <c r="Q37" i="21"/>
  <c r="P37" i="21"/>
  <c r="V59" i="26"/>
  <c r="D74" i="21"/>
  <c r="P18" i="59"/>
  <c r="P24" i="59" s="1"/>
  <c r="I5" i="50" s="1"/>
  <c r="H47" i="21"/>
  <c r="R107" i="26" s="1"/>
  <c r="S47" i="21"/>
  <c r="AC107" i="26" s="1"/>
  <c r="N47" i="21"/>
  <c r="X107" i="26" s="1"/>
  <c r="U11" i="48"/>
  <c r="T10" i="48"/>
  <c r="L92" i="55"/>
  <c r="L67" i="55"/>
  <c r="F74" i="21"/>
  <c r="X18" i="59"/>
  <c r="X24" i="59" s="1"/>
  <c r="H64" i="48"/>
  <c r="G81" i="48"/>
  <c r="G88" i="48" s="1"/>
  <c r="G111" i="48" s="1"/>
  <c r="K22" i="21"/>
  <c r="U40" i="30" s="1"/>
  <c r="U39" i="30"/>
  <c r="I38" i="49"/>
  <c r="I46" i="49" s="1"/>
  <c r="I31" i="59"/>
  <c r="I32" i="59" s="1"/>
  <c r="I33" i="59" s="1"/>
  <c r="I44" i="49"/>
  <c r="S32" i="59"/>
  <c r="R33" i="59"/>
  <c r="C18" i="35"/>
  <c r="D20" i="55" s="1"/>
  <c r="H45" i="49"/>
  <c r="H39" i="49"/>
  <c r="G45" i="49"/>
  <c r="G39" i="49"/>
  <c r="U146" i="48"/>
  <c r="T26" i="48"/>
  <c r="P44" i="20"/>
  <c r="AW89" i="20" s="1"/>
  <c r="U12" i="20"/>
  <c r="T13" i="20"/>
  <c r="T24" i="20" s="1"/>
  <c r="AB81" i="20"/>
  <c r="M3" i="35"/>
  <c r="N5" i="55" s="1"/>
  <c r="AE19" i="30"/>
  <c r="S13" i="30"/>
  <c r="AE13" i="30" s="1"/>
  <c r="J19" i="25"/>
  <c r="J14" i="59" s="1"/>
  <c r="J74" i="59" s="1"/>
  <c r="J75" i="59" s="1"/>
  <c r="I19" i="25"/>
  <c r="I14" i="59" s="1"/>
  <c r="H19" i="25"/>
  <c r="F19" i="25"/>
  <c r="U12" i="25"/>
  <c r="T14" i="25"/>
  <c r="T13" i="25" s="1"/>
  <c r="C14" i="21"/>
  <c r="C83" i="21"/>
  <c r="W13" i="21"/>
  <c r="O47" i="21"/>
  <c r="Y107" i="26" s="1"/>
  <c r="L65" i="48"/>
  <c r="L82" i="48"/>
  <c r="L33" i="59"/>
  <c r="AC81" i="20"/>
  <c r="N3" i="35"/>
  <c r="O5" i="55" s="1"/>
  <c r="K71" i="38"/>
  <c r="K73" i="38"/>
  <c r="H46" i="20"/>
  <c r="H56" i="20" s="1"/>
  <c r="Q15" i="21"/>
  <c r="AA60" i="26"/>
  <c r="L84" i="55"/>
  <c r="L59" i="55"/>
  <c r="T39" i="21"/>
  <c r="S39" i="21"/>
  <c r="R39" i="21"/>
  <c r="Q39" i="21"/>
  <c r="F79" i="21"/>
  <c r="P39" i="21"/>
  <c r="O39" i="21"/>
  <c r="V39" i="21"/>
  <c r="N39" i="21"/>
  <c r="U39" i="21"/>
  <c r="X59" i="26"/>
  <c r="S15" i="21"/>
  <c r="AC60" i="26"/>
  <c r="E83" i="21"/>
  <c r="J14" i="21"/>
  <c r="W6" i="21"/>
  <c r="C76" i="21"/>
  <c r="C21" i="21"/>
  <c r="M39" i="30" s="1"/>
  <c r="M45" i="30"/>
  <c r="K84" i="55"/>
  <c r="K59" i="55"/>
  <c r="S20" i="30"/>
  <c r="AE37" i="30"/>
  <c r="G23" i="21"/>
  <c r="Q41" i="30" s="1"/>
  <c r="Q24" i="30" s="1"/>
  <c r="AE41" i="30"/>
  <c r="S24" i="30"/>
  <c r="AE24" i="30" s="1"/>
  <c r="T51" i="21"/>
  <c r="T50" i="21"/>
  <c r="T47" i="21" s="1"/>
  <c r="V17" i="6"/>
  <c r="I22" i="21"/>
  <c r="S40" i="30" s="1"/>
  <c r="AE40" i="30" s="1"/>
  <c r="S39" i="30"/>
  <c r="AE39" i="30" s="1"/>
  <c r="E12" i="21"/>
  <c r="E7" i="21"/>
  <c r="C77" i="21" s="1"/>
  <c r="E11" i="21"/>
  <c r="E10" i="21"/>
  <c r="O61" i="26" s="1"/>
  <c r="O17" i="26" s="1"/>
  <c r="E9" i="21"/>
  <c r="E4" i="21"/>
  <c r="O18" i="59" s="1"/>
  <c r="O24" i="59" s="1"/>
  <c r="H5" i="50" s="1"/>
  <c r="E5" i="21"/>
  <c r="O17" i="59" s="1"/>
  <c r="H4" i="50" s="1"/>
  <c r="N16" i="35"/>
  <c r="O18" i="55" s="1"/>
  <c r="K5" i="50"/>
  <c r="C16" i="35"/>
  <c r="D18" i="55" s="1"/>
  <c r="K33" i="21"/>
  <c r="O33" i="21"/>
  <c r="L31" i="21"/>
  <c r="O31" i="21"/>
  <c r="P47" i="21"/>
  <c r="Z107" i="26" s="1"/>
  <c r="V47" i="21"/>
  <c r="K92" i="55"/>
  <c r="K67" i="55"/>
  <c r="E76" i="21"/>
  <c r="J21" i="21"/>
  <c r="T45" i="30"/>
  <c r="E7" i="35" s="1"/>
  <c r="F9" i="55" s="1"/>
  <c r="K25" i="21"/>
  <c r="U36" i="30"/>
  <c r="T18" i="48"/>
  <c r="U18" i="48" s="1"/>
  <c r="K16" i="35"/>
  <c r="L18" i="55" s="1"/>
  <c r="F80" i="21"/>
  <c r="X61" i="26"/>
  <c r="X17" i="26" s="1"/>
  <c r="J33" i="59"/>
  <c r="T13" i="30"/>
  <c r="T11" i="30" s="1"/>
  <c r="T46" i="30" s="1"/>
  <c r="E6" i="35" s="1"/>
  <c r="F8" i="55" s="1"/>
  <c r="U17" i="30"/>
  <c r="T15" i="30"/>
  <c r="V144" i="48"/>
  <c r="U24" i="48"/>
  <c r="E82" i="59"/>
  <c r="E83" i="59" s="1"/>
  <c r="J82" i="20"/>
  <c r="J83" i="20" s="1"/>
  <c r="J123" i="26"/>
  <c r="C2" i="50"/>
  <c r="T81" i="20"/>
  <c r="E3" i="35"/>
  <c r="F5" i="55" s="1"/>
  <c r="N15" i="26"/>
  <c r="N20" i="26" s="1"/>
  <c r="N102" i="26" s="1"/>
  <c r="O52" i="26"/>
  <c r="N100" i="26"/>
  <c r="N97" i="26" s="1"/>
  <c r="N51" i="26"/>
  <c r="Q27" i="38"/>
  <c r="I184" i="65" l="1"/>
  <c r="M186" i="65"/>
  <c r="AB13" i="48"/>
  <c r="AC13" i="48" s="1"/>
  <c r="K81" i="48"/>
  <c r="K88" i="48" s="1"/>
  <c r="K64" i="48"/>
  <c r="L60" i="48"/>
  <c r="F73" i="55"/>
  <c r="D99" i="55"/>
  <c r="D74" i="55"/>
  <c r="T143" i="48"/>
  <c r="S23" i="48"/>
  <c r="S21" i="48" s="1"/>
  <c r="F83" i="55"/>
  <c r="F58" i="55"/>
  <c r="I74" i="59"/>
  <c r="I75" i="59" s="1"/>
  <c r="I76" i="59"/>
  <c r="T32" i="59"/>
  <c r="D18" i="35"/>
  <c r="E20" i="55" s="1"/>
  <c r="H80" i="55"/>
  <c r="H55" i="55"/>
  <c r="W144" i="48"/>
  <c r="V24" i="48"/>
  <c r="Q30" i="21"/>
  <c r="I30" i="21"/>
  <c r="P30" i="21"/>
  <c r="H30" i="21"/>
  <c r="H28" i="21" s="1"/>
  <c r="O30" i="21"/>
  <c r="O28" i="21" s="1"/>
  <c r="Y105" i="26" s="1"/>
  <c r="G30" i="21"/>
  <c r="V30" i="21"/>
  <c r="N30" i="21"/>
  <c r="F30" i="21"/>
  <c r="U30" i="21"/>
  <c r="M30" i="21"/>
  <c r="E30" i="21"/>
  <c r="E28" i="21" s="1"/>
  <c r="T30" i="21"/>
  <c r="L30" i="21"/>
  <c r="S30" i="21"/>
  <c r="K30" i="21"/>
  <c r="R30" i="21"/>
  <c r="J30" i="21"/>
  <c r="O59" i="26"/>
  <c r="O57" i="26" s="1"/>
  <c r="V146" i="48"/>
  <c r="U26" i="48"/>
  <c r="J92" i="55"/>
  <c r="J67" i="55"/>
  <c r="R36" i="30"/>
  <c r="AD36" i="30" s="1"/>
  <c r="D28" i="59"/>
  <c r="I113" i="48"/>
  <c r="N84" i="55"/>
  <c r="N59" i="55"/>
  <c r="W4" i="21"/>
  <c r="U28" i="21"/>
  <c r="I28" i="21"/>
  <c r="I80" i="55"/>
  <c r="I55" i="55"/>
  <c r="AS97" i="20"/>
  <c r="AS96" i="20"/>
  <c r="AS95" i="20"/>
  <c r="L14" i="20"/>
  <c r="L25" i="20" s="1"/>
  <c r="L46" i="20"/>
  <c r="L56" i="20" s="1"/>
  <c r="I193" i="65"/>
  <c r="W16" i="48" s="1"/>
  <c r="V16" i="48"/>
  <c r="S57" i="26"/>
  <c r="S13" i="26"/>
  <c r="M191" i="65"/>
  <c r="M193" i="65"/>
  <c r="AA16" i="48" s="1"/>
  <c r="Z16" i="48"/>
  <c r="AC57" i="26"/>
  <c r="AC13" i="26"/>
  <c r="O100" i="26"/>
  <c r="O15" i="26"/>
  <c r="P52" i="26"/>
  <c r="O51" i="26"/>
  <c r="F80" i="55"/>
  <c r="F55" i="55"/>
  <c r="L93" i="55"/>
  <c r="L68" i="55"/>
  <c r="F6" i="50"/>
  <c r="M46" i="30"/>
  <c r="X13" i="26"/>
  <c r="N80" i="55"/>
  <c r="N55" i="55"/>
  <c r="D85" i="55"/>
  <c r="D60" i="55"/>
  <c r="E81" i="55"/>
  <c r="E56" i="55"/>
  <c r="P36" i="30"/>
  <c r="C25" i="21"/>
  <c r="M43" i="30" s="1"/>
  <c r="D87" i="55"/>
  <c r="D62" i="55"/>
  <c r="F28" i="21"/>
  <c r="Q28" i="21"/>
  <c r="AA105" i="26" s="1"/>
  <c r="D25" i="21"/>
  <c r="O74" i="59"/>
  <c r="O75" i="59" s="1"/>
  <c r="V12" i="25"/>
  <c r="U14" i="25"/>
  <c r="U13" i="25" s="1"/>
  <c r="V11" i="48"/>
  <c r="U10" i="48"/>
  <c r="U15" i="30"/>
  <c r="V17" i="30"/>
  <c r="U13" i="30"/>
  <c r="U11" i="30" s="1"/>
  <c r="U46" i="30" s="1"/>
  <c r="F6" i="35" s="1"/>
  <c r="G8" i="55" s="1"/>
  <c r="D93" i="55"/>
  <c r="D68" i="55"/>
  <c r="C81" i="21"/>
  <c r="W11" i="21"/>
  <c r="I16" i="35"/>
  <c r="J18" i="55" s="1"/>
  <c r="H16" i="35"/>
  <c r="I18" i="55" s="1"/>
  <c r="C74" i="21"/>
  <c r="Y57" i="26"/>
  <c r="Y13" i="26"/>
  <c r="AD59" i="26"/>
  <c r="AE13" i="26" s="1"/>
  <c r="N57" i="26"/>
  <c r="N28" i="21"/>
  <c r="X105" i="26" s="1"/>
  <c r="J28" i="21"/>
  <c r="T105" i="26" s="1"/>
  <c r="T31" i="59"/>
  <c r="U36" i="49"/>
  <c r="T44" i="49"/>
  <c r="T37" i="49"/>
  <c r="E11" i="35"/>
  <c r="F13" i="55" s="1"/>
  <c r="L25" i="21"/>
  <c r="V36" i="30"/>
  <c r="O82" i="55"/>
  <c r="O57" i="55"/>
  <c r="N15" i="21"/>
  <c r="F85" i="21" s="1"/>
  <c r="F84" i="21"/>
  <c r="X60" i="26"/>
  <c r="X57" i="26" s="1"/>
  <c r="D16" i="35"/>
  <c r="E18" i="55" s="1"/>
  <c r="S11" i="30"/>
  <c r="W47" i="21"/>
  <c r="N92" i="55"/>
  <c r="N67" i="55"/>
  <c r="AR96" i="20"/>
  <c r="AR95" i="20"/>
  <c r="K46" i="20"/>
  <c r="K56" i="20" s="1"/>
  <c r="AR97" i="20"/>
  <c r="K14" i="20"/>
  <c r="K25" i="20" s="1"/>
  <c r="V18" i="48"/>
  <c r="U17" i="48"/>
  <c r="F21" i="35" s="1"/>
  <c r="G23" i="55" s="1"/>
  <c r="E4" i="35"/>
  <c r="F6" i="55" s="1"/>
  <c r="E74" i="21"/>
  <c r="T18" i="59"/>
  <c r="T24" i="59" s="1"/>
  <c r="AD45" i="30"/>
  <c r="K6" i="50"/>
  <c r="C7" i="35"/>
  <c r="D9" i="55" s="1"/>
  <c r="R46" i="30"/>
  <c r="F15" i="21"/>
  <c r="D85" i="21" s="1"/>
  <c r="D87" i="21" s="1"/>
  <c r="D84" i="21"/>
  <c r="P60" i="26"/>
  <c r="P57" i="26" s="1"/>
  <c r="K29" i="62"/>
  <c r="E14" i="55"/>
  <c r="L84" i="48"/>
  <c r="L67" i="48"/>
  <c r="V28" i="21"/>
  <c r="R28" i="21"/>
  <c r="AB105" i="26" s="1"/>
  <c r="S45" i="49"/>
  <c r="S10" i="26"/>
  <c r="D10" i="35"/>
  <c r="E12" i="55" s="1"/>
  <c r="W7" i="21"/>
  <c r="G74" i="59"/>
  <c r="G75" i="59" s="1"/>
  <c r="G76" i="59"/>
  <c r="G25" i="59" s="1"/>
  <c r="J69" i="38"/>
  <c r="J66" i="38"/>
  <c r="G80" i="55"/>
  <c r="G55" i="55"/>
  <c r="I84" i="55"/>
  <c r="I59" i="55"/>
  <c r="F87" i="21"/>
  <c r="Q57" i="26"/>
  <c r="V145" i="48"/>
  <c r="U25" i="48"/>
  <c r="G84" i="21"/>
  <c r="G87" i="21" s="1"/>
  <c r="R15" i="21"/>
  <c r="G85" i="21" s="1"/>
  <c r="AB60" i="26"/>
  <c r="O36" i="30"/>
  <c r="O93" i="55"/>
  <c r="O68" i="55"/>
  <c r="O80" i="55"/>
  <c r="O55" i="55"/>
  <c r="V12" i="20"/>
  <c r="U13" i="20"/>
  <c r="U24" i="20" s="1"/>
  <c r="F16" i="35"/>
  <c r="G18" i="55" s="1"/>
  <c r="H22" i="21"/>
  <c r="R40" i="30" s="1"/>
  <c r="AD40" i="30" s="1"/>
  <c r="R39" i="30"/>
  <c r="AD39" i="30" s="1"/>
  <c r="F74" i="59"/>
  <c r="F75" i="59" s="1"/>
  <c r="F78" i="59" s="1"/>
  <c r="F23" i="59" s="1"/>
  <c r="F76" i="59"/>
  <c r="F25" i="59" s="1"/>
  <c r="L28" i="21"/>
  <c r="V105" i="26" s="1"/>
  <c r="G28" i="21"/>
  <c r="K28" i="21"/>
  <c r="U105" i="26" s="1"/>
  <c r="D86" i="55"/>
  <c r="D61" i="55"/>
  <c r="I71" i="38"/>
  <c r="I73" i="38"/>
  <c r="D80" i="55"/>
  <c r="D55" i="55"/>
  <c r="M80" i="55"/>
  <c r="M55" i="55"/>
  <c r="M22" i="21"/>
  <c r="W40" i="30" s="1"/>
  <c r="W39" i="30"/>
  <c r="P15" i="30"/>
  <c r="P13" i="30"/>
  <c r="P12" i="30" s="1"/>
  <c r="I6" i="50"/>
  <c r="P46" i="30"/>
  <c r="M194" i="65"/>
  <c r="AA19" i="48" s="1"/>
  <c r="Z19" i="48"/>
  <c r="I25" i="21"/>
  <c r="Q15" i="30"/>
  <c r="Q13" i="30"/>
  <c r="Q12" i="30" s="1"/>
  <c r="C15" i="21"/>
  <c r="C84" i="21"/>
  <c r="W14" i="21"/>
  <c r="G28" i="49"/>
  <c r="G29" i="49" s="1"/>
  <c r="Y12" i="49"/>
  <c r="Z12" i="49" s="1"/>
  <c r="AA12" i="49" s="1"/>
  <c r="AB12" i="49" s="1"/>
  <c r="AC12" i="49" s="1"/>
  <c r="E80" i="55"/>
  <c r="E55" i="55"/>
  <c r="AQ96" i="20"/>
  <c r="AQ97" i="20"/>
  <c r="AQ95" i="20"/>
  <c r="J46" i="20"/>
  <c r="J56" i="20" s="1"/>
  <c r="J14" i="20"/>
  <c r="J25" i="20" s="1"/>
  <c r="U43" i="30"/>
  <c r="K26" i="21"/>
  <c r="E84" i="21"/>
  <c r="E87" i="21" s="1"/>
  <c r="J15" i="21"/>
  <c r="E85" i="21" s="1"/>
  <c r="T60" i="26"/>
  <c r="D95" i="55"/>
  <c r="D70" i="55"/>
  <c r="V13" i="26"/>
  <c r="V57" i="26"/>
  <c r="F28" i="49"/>
  <c r="F29" i="49" s="1"/>
  <c r="E99" i="55"/>
  <c r="E74" i="55"/>
  <c r="G16" i="35"/>
  <c r="H18" i="55" s="1"/>
  <c r="W13" i="26"/>
  <c r="W57" i="26"/>
  <c r="W10" i="21"/>
  <c r="T28" i="21"/>
  <c r="S28" i="21"/>
  <c r="AC105" i="26" s="1"/>
  <c r="J6" i="50"/>
  <c r="Q46" i="30"/>
  <c r="S14" i="59"/>
  <c r="T20" i="25"/>
  <c r="D9" i="35"/>
  <c r="J83" i="48"/>
  <c r="J90" i="48" s="1"/>
  <c r="K62" i="48"/>
  <c r="J66" i="48"/>
  <c r="T15" i="48" s="1"/>
  <c r="W9" i="21"/>
  <c r="P25" i="21"/>
  <c r="Z43" i="30" s="1"/>
  <c r="Z41" i="30"/>
  <c r="Z24" i="30" s="1"/>
  <c r="S33" i="38"/>
  <c r="O32" i="38"/>
  <c r="Q32" i="38" s="1"/>
  <c r="D67" i="26"/>
  <c r="I192" i="65"/>
  <c r="W12" i="48" s="1"/>
  <c r="V12" i="48"/>
  <c r="O24" i="30"/>
  <c r="C82" i="21"/>
  <c r="W12" i="21"/>
  <c r="AA57" i="26"/>
  <c r="AA13" i="26"/>
  <c r="T42" i="38"/>
  <c r="P41" i="38"/>
  <c r="R41" i="38" s="1"/>
  <c r="T19" i="33"/>
  <c r="T15" i="59"/>
  <c r="U10" i="33"/>
  <c r="E12" i="35"/>
  <c r="F14" i="55" s="1"/>
  <c r="N123" i="26"/>
  <c r="N82" i="20"/>
  <c r="N83" i="20" s="1"/>
  <c r="G2" i="50"/>
  <c r="F84" i="55"/>
  <c r="F59" i="55"/>
  <c r="AE20" i="30"/>
  <c r="S15" i="30"/>
  <c r="AE15" i="30" s="1"/>
  <c r="D92" i="55"/>
  <c r="D67" i="55"/>
  <c r="S18" i="38"/>
  <c r="L17" i="38"/>
  <c r="N17" i="38" s="1"/>
  <c r="U57" i="26"/>
  <c r="U13" i="26"/>
  <c r="G22" i="21"/>
  <c r="Q39" i="30"/>
  <c r="R14" i="59"/>
  <c r="R74" i="59" s="1"/>
  <c r="R75" i="59" s="1"/>
  <c r="K32" i="62"/>
  <c r="E13" i="55"/>
  <c r="S14" i="48"/>
  <c r="S9" i="48" s="1"/>
  <c r="D19" i="35" s="1"/>
  <c r="E21" i="55" s="1"/>
  <c r="T57" i="26"/>
  <c r="T13" i="26"/>
  <c r="AB57" i="26"/>
  <c r="AB13" i="26"/>
  <c r="F92" i="55"/>
  <c r="F67" i="55"/>
  <c r="AD17" i="26"/>
  <c r="F22" i="21"/>
  <c r="P40" i="30" s="1"/>
  <c r="P39" i="30"/>
  <c r="K93" i="55"/>
  <c r="K68" i="55"/>
  <c r="H84" i="55"/>
  <c r="H59" i="55"/>
  <c r="M93" i="55"/>
  <c r="M68" i="55"/>
  <c r="J113" i="48"/>
  <c r="K113" i="48" s="1"/>
  <c r="L113" i="48" s="1"/>
  <c r="H6" i="50"/>
  <c r="O46" i="30"/>
  <c r="AT95" i="20"/>
  <c r="AT97" i="20"/>
  <c r="AT96" i="20"/>
  <c r="M46" i="20"/>
  <c r="M56" i="20" s="1"/>
  <c r="M14" i="20"/>
  <c r="M25" i="20" s="1"/>
  <c r="C79" i="21"/>
  <c r="J22" i="21"/>
  <c r="T40" i="30" s="1"/>
  <c r="T39" i="30"/>
  <c r="T54" i="48"/>
  <c r="E22" i="35"/>
  <c r="F24" i="55" s="1"/>
  <c r="H74" i="59"/>
  <c r="H75" i="59" s="1"/>
  <c r="H78" i="59" s="1"/>
  <c r="H23" i="59" s="1"/>
  <c r="H76" i="59"/>
  <c r="H25" i="59" s="1"/>
  <c r="W5" i="21"/>
  <c r="C75" i="21"/>
  <c r="M17" i="59"/>
  <c r="M28" i="21"/>
  <c r="W105" i="26" s="1"/>
  <c r="P28" i="21"/>
  <c r="Z105" i="26" s="1"/>
  <c r="AD41" i="30"/>
  <c r="R24" i="30"/>
  <c r="L80" i="55"/>
  <c r="L55" i="55"/>
  <c r="AD61" i="26"/>
  <c r="L22" i="21"/>
  <c r="V40" i="30" s="1"/>
  <c r="V39" i="30"/>
  <c r="E22" i="21"/>
  <c r="O40" i="30" s="1"/>
  <c r="O39" i="30"/>
  <c r="G30" i="49" l="1"/>
  <c r="S52" i="48"/>
  <c r="S53" i="48"/>
  <c r="D20" i="35"/>
  <c r="E22" i="55" s="1"/>
  <c r="U143" i="48"/>
  <c r="T23" i="48"/>
  <c r="T21" i="48" s="1"/>
  <c r="L81" i="48"/>
  <c r="L64" i="48"/>
  <c r="O33" i="38"/>
  <c r="S34" i="38"/>
  <c r="AD46" i="30"/>
  <c r="C6" i="35"/>
  <c r="D8" i="55" s="1"/>
  <c r="F88" i="55"/>
  <c r="F63" i="55"/>
  <c r="W146" i="48"/>
  <c r="V26" i="48"/>
  <c r="S19" i="38"/>
  <c r="L18" i="38"/>
  <c r="N18" i="38" s="1"/>
  <c r="S43" i="30"/>
  <c r="AE43" i="30" s="1"/>
  <c r="I26" i="21"/>
  <c r="W145" i="48"/>
  <c r="V25" i="48"/>
  <c r="J71" i="38"/>
  <c r="J73" i="38"/>
  <c r="F81" i="55"/>
  <c r="F56" i="55"/>
  <c r="E93" i="55"/>
  <c r="E68" i="55"/>
  <c r="G83" i="55"/>
  <c r="G58" i="55"/>
  <c r="W12" i="25"/>
  <c r="V14" i="25"/>
  <c r="V13" i="25" s="1"/>
  <c r="AD60" i="26"/>
  <c r="AE14" i="26" s="1"/>
  <c r="G93" i="55"/>
  <c r="G68" i="55"/>
  <c r="D84" i="55"/>
  <c r="D59" i="55"/>
  <c r="T14" i="48"/>
  <c r="T9" i="48" s="1"/>
  <c r="E19" i="35" s="1"/>
  <c r="F21" i="55" s="1"/>
  <c r="U15" i="48"/>
  <c r="AU95" i="20"/>
  <c r="AU97" i="20"/>
  <c r="AU96" i="20"/>
  <c r="N14" i="20"/>
  <c r="N25" i="20" s="1"/>
  <c r="N46" i="20"/>
  <c r="T14" i="59"/>
  <c r="U20" i="25"/>
  <c r="E9" i="35"/>
  <c r="F11" i="55" s="1"/>
  <c r="T11" i="25"/>
  <c r="E25" i="21"/>
  <c r="G78" i="59"/>
  <c r="G23" i="59" s="1"/>
  <c r="T45" i="49"/>
  <c r="T10" i="26"/>
  <c r="E10" i="35"/>
  <c r="F12" i="55" s="1"/>
  <c r="N43" i="30"/>
  <c r="D26" i="21"/>
  <c r="F25" i="21"/>
  <c r="H25" i="21"/>
  <c r="U32" i="59"/>
  <c r="E18" i="35"/>
  <c r="F20" i="55" s="1"/>
  <c r="J76" i="59"/>
  <c r="I25" i="59"/>
  <c r="F4" i="35"/>
  <c r="G6" i="55" s="1"/>
  <c r="E89" i="55"/>
  <c r="E64" i="55"/>
  <c r="G98" i="55"/>
  <c r="G73" i="55"/>
  <c r="T38" i="49"/>
  <c r="T46" i="49" s="1"/>
  <c r="P100" i="26"/>
  <c r="P97" i="26" s="1"/>
  <c r="Q52" i="26"/>
  <c r="P51" i="26"/>
  <c r="P15" i="26"/>
  <c r="P20" i="26" s="1"/>
  <c r="P102" i="26" s="1"/>
  <c r="I78" i="59"/>
  <c r="I23" i="59" s="1"/>
  <c r="J93" i="55"/>
  <c r="J68" i="55"/>
  <c r="Q40" i="30"/>
  <c r="G25" i="21"/>
  <c r="O15" i="30"/>
  <c r="O13" i="30"/>
  <c r="O12" i="30" s="1"/>
  <c r="E95" i="55"/>
  <c r="E70" i="55"/>
  <c r="E96" i="55"/>
  <c r="E71" i="55"/>
  <c r="H28" i="59"/>
  <c r="E88" i="55"/>
  <c r="E63" i="55"/>
  <c r="F89" i="55"/>
  <c r="F64" i="55"/>
  <c r="T43" i="38"/>
  <c r="P42" i="38"/>
  <c r="H93" i="55"/>
  <c r="H68" i="55"/>
  <c r="C85" i="21"/>
  <c r="C87" i="21" s="1"/>
  <c r="W15" i="21"/>
  <c r="F28" i="59"/>
  <c r="V13" i="20"/>
  <c r="V24" i="20" s="1"/>
  <c r="W12" i="20"/>
  <c r="E87" i="55"/>
  <c r="E62" i="55"/>
  <c r="E16" i="35"/>
  <c r="F18" i="55" s="1"/>
  <c r="W18" i="48"/>
  <c r="V17" i="48"/>
  <c r="G21" i="35" s="1"/>
  <c r="H23" i="55" s="1"/>
  <c r="W11" i="48"/>
  <c r="V10" i="48"/>
  <c r="O20" i="26"/>
  <c r="O102" i="26" s="1"/>
  <c r="V43" i="30"/>
  <c r="L26" i="21"/>
  <c r="V13" i="30"/>
  <c r="V11" i="30" s="1"/>
  <c r="V46" i="30" s="1"/>
  <c r="G6" i="35" s="1"/>
  <c r="H8" i="55" s="1"/>
  <c r="W17" i="30"/>
  <c r="V15" i="30"/>
  <c r="F4" i="50"/>
  <c r="M74" i="59"/>
  <c r="M75" i="59" s="1"/>
  <c r="E11" i="55"/>
  <c r="K33" i="62"/>
  <c r="G28" i="59"/>
  <c r="AD57" i="26"/>
  <c r="AD24" i="30"/>
  <c r="R15" i="30"/>
  <c r="AD15" i="30" s="1"/>
  <c r="R13" i="30"/>
  <c r="U31" i="59"/>
  <c r="U44" i="49"/>
  <c r="V36" i="49"/>
  <c r="U37" i="49"/>
  <c r="F11" i="35"/>
  <c r="G13" i="55" s="1"/>
  <c r="O97" i="26"/>
  <c r="AD13" i="26"/>
  <c r="J25" i="21"/>
  <c r="U54" i="48"/>
  <c r="F22" i="35"/>
  <c r="G24" i="55" s="1"/>
  <c r="M25" i="21"/>
  <c r="AE25" i="26"/>
  <c r="AE16" i="26"/>
  <c r="U19" i="33"/>
  <c r="V10" i="33"/>
  <c r="U15" i="59"/>
  <c r="F12" i="35"/>
  <c r="G14" i="55" s="1"/>
  <c r="F99" i="55"/>
  <c r="F74" i="55"/>
  <c r="K66" i="48"/>
  <c r="L62" i="48"/>
  <c r="K83" i="48"/>
  <c r="K90" i="48" s="1"/>
  <c r="S46" i="30"/>
  <c r="AE11" i="30"/>
  <c r="I93" i="55"/>
  <c r="I68" i="55"/>
  <c r="X144" i="48"/>
  <c r="W24" i="48"/>
  <c r="N48" i="20" l="1"/>
  <c r="N56" i="20"/>
  <c r="E20" i="35"/>
  <c r="F22" i="55" s="1"/>
  <c r="T53" i="48"/>
  <c r="T52" i="48"/>
  <c r="V143" i="48"/>
  <c r="U23" i="48"/>
  <c r="U21" i="48" s="1"/>
  <c r="E72" i="55"/>
  <c r="E97" i="55"/>
  <c r="P43" i="30"/>
  <c r="F26" i="21"/>
  <c r="X146" i="48"/>
  <c r="W26" i="48"/>
  <c r="V19" i="33"/>
  <c r="W10" i="33"/>
  <c r="G25" i="33" s="1"/>
  <c r="V15" i="59"/>
  <c r="G12" i="35"/>
  <c r="H14" i="55" s="1"/>
  <c r="F85" i="59"/>
  <c r="E86" i="55"/>
  <c r="E61" i="55"/>
  <c r="X145" i="48"/>
  <c r="W25" i="48"/>
  <c r="S35" i="38"/>
  <c r="O34" i="38"/>
  <c r="Q34" i="38" s="1"/>
  <c r="X24" i="48"/>
  <c r="Y144" i="48"/>
  <c r="O123" i="26"/>
  <c r="O82" i="20"/>
  <c r="O83" i="20" s="1"/>
  <c r="H2" i="50"/>
  <c r="Q43" i="30"/>
  <c r="G26" i="21"/>
  <c r="I28" i="59"/>
  <c r="Q33" i="38"/>
  <c r="G88" i="55"/>
  <c r="G63" i="55"/>
  <c r="AD13" i="30"/>
  <c r="R12" i="30"/>
  <c r="AD12" i="30" s="1"/>
  <c r="R42" i="38"/>
  <c r="K76" i="59"/>
  <c r="J25" i="59"/>
  <c r="J78" i="59"/>
  <c r="J23" i="59" s="1"/>
  <c r="F87" i="55"/>
  <c r="F62" i="55"/>
  <c r="F93" i="55"/>
  <c r="F68" i="55"/>
  <c r="AE46" i="30"/>
  <c r="D6" i="35"/>
  <c r="E8" i="55" s="1"/>
  <c r="W43" i="30"/>
  <c r="M26" i="21"/>
  <c r="U45" i="49"/>
  <c r="U10" i="26"/>
  <c r="F10" i="35"/>
  <c r="G12" i="55" s="1"/>
  <c r="W13" i="20"/>
  <c r="W24" i="20" s="1"/>
  <c r="X12" i="20"/>
  <c r="T44" i="38"/>
  <c r="P43" i="38"/>
  <c r="R43" i="38" s="1"/>
  <c r="Q100" i="26"/>
  <c r="R52" i="26"/>
  <c r="Q51" i="26"/>
  <c r="Q15" i="26"/>
  <c r="F95" i="55"/>
  <c r="F70" i="55"/>
  <c r="F86" i="55"/>
  <c r="F61" i="55"/>
  <c r="G4" i="35"/>
  <c r="H6" i="55" s="1"/>
  <c r="G81" i="55"/>
  <c r="G56" i="55"/>
  <c r="V32" i="59"/>
  <c r="F18" i="35"/>
  <c r="G20" i="55" s="1"/>
  <c r="U14" i="59"/>
  <c r="V20" i="25"/>
  <c r="F9" i="35"/>
  <c r="G11" i="55" s="1"/>
  <c r="U11" i="25"/>
  <c r="U14" i="48"/>
  <c r="U9" i="48" s="1"/>
  <c r="F19" i="35" s="1"/>
  <c r="G21" i="55" s="1"/>
  <c r="V15" i="48"/>
  <c r="S20" i="38"/>
  <c r="L20" i="38" s="1"/>
  <c r="L19" i="38"/>
  <c r="N19" i="38" s="1"/>
  <c r="F82" i="59"/>
  <c r="F83" i="59" s="1"/>
  <c r="V31" i="59"/>
  <c r="V44" i="49"/>
  <c r="V37" i="49"/>
  <c r="V38" i="49" s="1"/>
  <c r="V46" i="49" s="1"/>
  <c r="W36" i="49"/>
  <c r="G11" i="35"/>
  <c r="H13" i="55" s="1"/>
  <c r="W10" i="48"/>
  <c r="X11" i="48"/>
  <c r="L66" i="48"/>
  <c r="L83" i="48"/>
  <c r="G89" i="55"/>
  <c r="G64" i="55"/>
  <c r="U38" i="49"/>
  <c r="U46" i="49" s="1"/>
  <c r="H83" i="55"/>
  <c r="H58" i="55"/>
  <c r="H73" i="55"/>
  <c r="H98" i="55"/>
  <c r="R43" i="30"/>
  <c r="AD43" i="30" s="1"/>
  <c r="H26" i="21"/>
  <c r="F96" i="55"/>
  <c r="F71" i="55"/>
  <c r="G99" i="55"/>
  <c r="G74" i="55"/>
  <c r="W15" i="30"/>
  <c r="X17" i="30"/>
  <c r="W13" i="30"/>
  <c r="W11" i="30" s="1"/>
  <c r="W46" i="30" s="1"/>
  <c r="H6" i="35" s="1"/>
  <c r="I8" i="55" s="1"/>
  <c r="P82" i="20"/>
  <c r="P83" i="20" s="1"/>
  <c r="P123" i="26"/>
  <c r="I2" i="50"/>
  <c r="T43" i="30"/>
  <c r="J26" i="21"/>
  <c r="X18" i="48"/>
  <c r="W17" i="48"/>
  <c r="H21" i="35" s="1"/>
  <c r="I23" i="55" s="1"/>
  <c r="O43" i="30"/>
  <c r="E26" i="21"/>
  <c r="X12" i="25"/>
  <c r="W14" i="25"/>
  <c r="W13" i="25" s="1"/>
  <c r="V54" i="48"/>
  <c r="G22" i="35"/>
  <c r="H24" i="55" s="1"/>
  <c r="D83" i="55"/>
  <c r="D58" i="55"/>
  <c r="U53" i="48" l="1"/>
  <c r="U52" i="48"/>
  <c r="F20" i="35"/>
  <c r="G22" i="55" s="1"/>
  <c r="W143" i="48"/>
  <c r="V23" i="48"/>
  <c r="V21" i="48" s="1"/>
  <c r="F97" i="55"/>
  <c r="F72" i="55"/>
  <c r="X13" i="20"/>
  <c r="X24" i="20" s="1"/>
  <c r="Y12" i="20"/>
  <c r="W31" i="59"/>
  <c r="W44" i="49"/>
  <c r="W37" i="49"/>
  <c r="W38" i="49" s="1"/>
  <c r="W46" i="49" s="1"/>
  <c r="X36" i="49"/>
  <c r="H11" i="35"/>
  <c r="I13" i="55" s="1"/>
  <c r="W15" i="48"/>
  <c r="V14" i="48"/>
  <c r="V9" i="48" s="1"/>
  <c r="G19" i="35" s="1"/>
  <c r="H21" i="55" s="1"/>
  <c r="P44" i="38"/>
  <c r="T45" i="38"/>
  <c r="P45" i="38" s="1"/>
  <c r="R45" i="38" s="1"/>
  <c r="X25" i="48"/>
  <c r="Y145" i="48"/>
  <c r="W54" i="48"/>
  <c r="H22" i="35"/>
  <c r="I24" i="55" s="1"/>
  <c r="X14" i="25"/>
  <c r="X13" i="25" s="1"/>
  <c r="Y12" i="25"/>
  <c r="H81" i="55"/>
  <c r="H56" i="55"/>
  <c r="H4" i="35"/>
  <c r="I6" i="55" s="1"/>
  <c r="J28" i="59"/>
  <c r="C3" i="50" s="1"/>
  <c r="Y146" i="48"/>
  <c r="X26" i="48"/>
  <c r="I22" i="35" s="1"/>
  <c r="J24" i="55" s="1"/>
  <c r="V45" i="49"/>
  <c r="V10" i="26"/>
  <c r="G10" i="35"/>
  <c r="H12" i="55" s="1"/>
  <c r="G86" i="55"/>
  <c r="G61" i="55"/>
  <c r="Q20" i="26"/>
  <c r="Q102" i="26" s="1"/>
  <c r="Q97" i="26" s="1"/>
  <c r="L76" i="59"/>
  <c r="K25" i="59"/>
  <c r="K78" i="59"/>
  <c r="K23" i="59" s="1"/>
  <c r="Z144" i="48"/>
  <c r="Y24" i="48"/>
  <c r="AW95" i="20"/>
  <c r="AW96" i="20"/>
  <c r="AW97" i="20"/>
  <c r="P14" i="20"/>
  <c r="P25" i="20" s="1"/>
  <c r="P46" i="20"/>
  <c r="V14" i="59"/>
  <c r="W20" i="25"/>
  <c r="G9" i="35"/>
  <c r="H11" i="55" s="1"/>
  <c r="V11" i="25"/>
  <c r="G87" i="55"/>
  <c r="G62" i="55"/>
  <c r="AV95" i="20"/>
  <c r="AV97" i="20"/>
  <c r="AV96" i="20"/>
  <c r="O46" i="20"/>
  <c r="O14" i="20"/>
  <c r="O25" i="20" s="1"/>
  <c r="I98" i="55"/>
  <c r="I73" i="55"/>
  <c r="I83" i="55"/>
  <c r="I58" i="55"/>
  <c r="X10" i="48"/>
  <c r="Y11" i="48"/>
  <c r="R100" i="26"/>
  <c r="S52" i="26"/>
  <c r="R51" i="26"/>
  <c r="R15" i="26"/>
  <c r="R20" i="26" s="1"/>
  <c r="H89" i="55"/>
  <c r="H64" i="55"/>
  <c r="E83" i="55"/>
  <c r="E58" i="55"/>
  <c r="H99" i="55"/>
  <c r="H74" i="55"/>
  <c r="Y18" i="48"/>
  <c r="X17" i="48"/>
  <c r="I21" i="35" s="1"/>
  <c r="J23" i="55" s="1"/>
  <c r="Y17" i="30"/>
  <c r="X13" i="30"/>
  <c r="X11" i="30" s="1"/>
  <c r="X46" i="30" s="1"/>
  <c r="I6" i="35" s="1"/>
  <c r="J8" i="55" s="1"/>
  <c r="X15" i="30"/>
  <c r="G95" i="55"/>
  <c r="G70" i="55"/>
  <c r="S36" i="38"/>
  <c r="O36" i="38" s="1"/>
  <c r="Q36" i="38" s="1"/>
  <c r="O35" i="38"/>
  <c r="G96" i="55"/>
  <c r="G71" i="55"/>
  <c r="H88" i="55"/>
  <c r="H63" i="55"/>
  <c r="N20" i="38"/>
  <c r="N46" i="38" s="1"/>
  <c r="N47" i="38" s="1"/>
  <c r="L46" i="38"/>
  <c r="L47" i="38" s="1"/>
  <c r="W32" i="59"/>
  <c r="G18" i="35"/>
  <c r="H20" i="55" s="1"/>
  <c r="X10" i="33"/>
  <c r="W19" i="33"/>
  <c r="W15" i="59"/>
  <c r="H12" i="35"/>
  <c r="I14" i="55" s="1"/>
  <c r="P48" i="20" l="1"/>
  <c r="P56" i="20"/>
  <c r="O56" i="20"/>
  <c r="O48" i="20"/>
  <c r="X143" i="48"/>
  <c r="W23" i="48"/>
  <c r="W21" i="48" s="1"/>
  <c r="V53" i="48"/>
  <c r="V52" i="48"/>
  <c r="G20" i="35"/>
  <c r="H22" i="55" s="1"/>
  <c r="G97" i="55"/>
  <c r="G72" i="55"/>
  <c r="Q82" i="20"/>
  <c r="Q83" i="20" s="1"/>
  <c r="Q123" i="26"/>
  <c r="J2" i="50"/>
  <c r="Z18" i="48"/>
  <c r="Y17" i="48"/>
  <c r="J21" i="35" s="1"/>
  <c r="K23" i="55" s="1"/>
  <c r="R102" i="26"/>
  <c r="S20" i="26"/>
  <c r="H86" i="55"/>
  <c r="H61" i="55"/>
  <c r="Y26" i="48"/>
  <c r="J22" i="35" s="1"/>
  <c r="K24" i="55" s="1"/>
  <c r="Z146" i="48"/>
  <c r="X44" i="49"/>
  <c r="X37" i="49"/>
  <c r="Y36" i="49"/>
  <c r="X31" i="59"/>
  <c r="I11" i="35"/>
  <c r="J13" i="55" s="1"/>
  <c r="W14" i="59"/>
  <c r="X20" i="25"/>
  <c r="X11" i="25" s="1"/>
  <c r="H9" i="35"/>
  <c r="I11" i="55" s="1"/>
  <c r="I89" i="55"/>
  <c r="I64" i="55"/>
  <c r="S100" i="26"/>
  <c r="S51" i="26"/>
  <c r="S15" i="26"/>
  <c r="S11" i="26" s="1"/>
  <c r="S9" i="26" s="1"/>
  <c r="T52" i="26"/>
  <c r="I81" i="55"/>
  <c r="I56" i="55"/>
  <c r="R97" i="26"/>
  <c r="AA144" i="48"/>
  <c r="Z24" i="48"/>
  <c r="Y14" i="25"/>
  <c r="Y13" i="25" s="1"/>
  <c r="Z12" i="25"/>
  <c r="H87" i="55"/>
  <c r="H62" i="55"/>
  <c r="I99" i="55"/>
  <c r="I74" i="55"/>
  <c r="R44" i="38"/>
  <c r="R46" i="38" s="1"/>
  <c r="R47" i="38" s="1"/>
  <c r="P46" i="38"/>
  <c r="P47" i="38" s="1"/>
  <c r="X15" i="59"/>
  <c r="Y10" i="33"/>
  <c r="X19" i="33"/>
  <c r="I12" i="35"/>
  <c r="J14" i="55" s="1"/>
  <c r="J83" i="55"/>
  <c r="J58" i="55"/>
  <c r="Y10" i="48"/>
  <c r="Z11" i="48"/>
  <c r="H96" i="55"/>
  <c r="H71" i="55"/>
  <c r="Z12" i="20"/>
  <c r="Y13" i="20"/>
  <c r="Z145" i="48"/>
  <c r="Y25" i="48"/>
  <c r="H95" i="55"/>
  <c r="H70" i="55"/>
  <c r="Q35" i="38"/>
  <c r="Q46" i="38" s="1"/>
  <c r="Q47" i="38" s="1"/>
  <c r="O46" i="38"/>
  <c r="O47" i="38" s="1"/>
  <c r="Z17" i="30"/>
  <c r="Y13" i="30"/>
  <c r="Y11" i="30" s="1"/>
  <c r="Y46" i="30" s="1"/>
  <c r="J6" i="35" s="1"/>
  <c r="K8" i="55" s="1"/>
  <c r="Y15" i="30"/>
  <c r="K28" i="59"/>
  <c r="D3" i="50" s="1"/>
  <c r="X15" i="48"/>
  <c r="W14" i="48"/>
  <c r="W9" i="48" s="1"/>
  <c r="H19" i="35" s="1"/>
  <c r="I21" i="55" s="1"/>
  <c r="I4" i="35"/>
  <c r="J6" i="55" s="1"/>
  <c r="W45" i="49"/>
  <c r="W10" i="26"/>
  <c r="H10" i="35"/>
  <c r="I12" i="55" s="1"/>
  <c r="X32" i="59"/>
  <c r="H18" i="35"/>
  <c r="I20" i="55" s="1"/>
  <c r="J98" i="55"/>
  <c r="J73" i="55"/>
  <c r="M76" i="59"/>
  <c r="L25" i="59"/>
  <c r="L78" i="59"/>
  <c r="L23" i="59" s="1"/>
  <c r="J99" i="55"/>
  <c r="J74" i="55"/>
  <c r="I88" i="55"/>
  <c r="I63" i="55"/>
  <c r="W11" i="25"/>
  <c r="H72" i="55" l="1"/>
  <c r="H97" i="55"/>
  <c r="W52" i="48"/>
  <c r="W53" i="48"/>
  <c r="H20" i="35"/>
  <c r="I22" i="55" s="1"/>
  <c r="Y143" i="48"/>
  <c r="X23" i="48"/>
  <c r="X21" i="48" s="1"/>
  <c r="Z10" i="48"/>
  <c r="AA11" i="48"/>
  <c r="AB144" i="48"/>
  <c r="AA24" i="48"/>
  <c r="J88" i="55"/>
  <c r="J63" i="55"/>
  <c r="AA145" i="48"/>
  <c r="Z25" i="48"/>
  <c r="Y44" i="49"/>
  <c r="Y37" i="49"/>
  <c r="Z36" i="49"/>
  <c r="Y31" i="59"/>
  <c r="J11" i="35"/>
  <c r="K13" i="55" s="1"/>
  <c r="AA18" i="48"/>
  <c r="Z17" i="48"/>
  <c r="K21" i="35" s="1"/>
  <c r="L23" i="55" s="1"/>
  <c r="K83" i="55"/>
  <c r="K58" i="55"/>
  <c r="J4" i="35"/>
  <c r="K6" i="55" s="1"/>
  <c r="AA12" i="25"/>
  <c r="Z14" i="25"/>
  <c r="Z13" i="25" s="1"/>
  <c r="X45" i="49"/>
  <c r="X10" i="26"/>
  <c r="I10" i="35"/>
  <c r="J12" i="55" s="1"/>
  <c r="K98" i="55"/>
  <c r="K73" i="55"/>
  <c r="I95" i="55"/>
  <c r="I70" i="55"/>
  <c r="I96" i="55"/>
  <c r="I71" i="55"/>
  <c r="Z13" i="30"/>
  <c r="Z11" i="30" s="1"/>
  <c r="Z46" i="30" s="1"/>
  <c r="K6" i="35" s="1"/>
  <c r="L8" i="55" s="1"/>
  <c r="Z15" i="30"/>
  <c r="AA17" i="30"/>
  <c r="AA12" i="20"/>
  <c r="Z13" i="20"/>
  <c r="J89" i="55"/>
  <c r="J64" i="55"/>
  <c r="X38" i="49"/>
  <c r="X46" i="49" s="1"/>
  <c r="Y32" i="59"/>
  <c r="I18" i="35"/>
  <c r="J20" i="55" s="1"/>
  <c r="Y15" i="48"/>
  <c r="X14" i="48"/>
  <c r="X9" i="48" s="1"/>
  <c r="I19" i="35" s="1"/>
  <c r="J21" i="55" s="1"/>
  <c r="I86" i="55"/>
  <c r="I61" i="55"/>
  <c r="J81" i="55"/>
  <c r="J56" i="55"/>
  <c r="R82" i="20"/>
  <c r="R83" i="20" s="1"/>
  <c r="R123" i="26"/>
  <c r="K2" i="50"/>
  <c r="C2" i="35"/>
  <c r="D4" i="55" s="1"/>
  <c r="L28" i="59"/>
  <c r="E3" i="50" s="1"/>
  <c r="I87" i="55"/>
  <c r="I62" i="55"/>
  <c r="Y15" i="59"/>
  <c r="Y19" i="33"/>
  <c r="Z10" i="33"/>
  <c r="J12" i="35"/>
  <c r="K14" i="55" s="1"/>
  <c r="X14" i="59"/>
  <c r="Y20" i="25"/>
  <c r="I9" i="35"/>
  <c r="J11" i="55" s="1"/>
  <c r="AA146" i="48"/>
  <c r="Z26" i="48"/>
  <c r="K22" i="35" s="1"/>
  <c r="L24" i="55" s="1"/>
  <c r="AX97" i="20"/>
  <c r="AX96" i="20"/>
  <c r="AX95" i="20"/>
  <c r="Q46" i="20"/>
  <c r="Q14" i="20"/>
  <c r="Q25" i="20" s="1"/>
  <c r="N76" i="59"/>
  <c r="M25" i="59"/>
  <c r="M28" i="59" s="1"/>
  <c r="F3" i="50" s="1"/>
  <c r="M78" i="59"/>
  <c r="M23" i="59" s="1"/>
  <c r="T100" i="26"/>
  <c r="T51" i="26"/>
  <c r="T15" i="26"/>
  <c r="T11" i="26" s="1"/>
  <c r="T9" i="26" s="1"/>
  <c r="U52" i="26"/>
  <c r="K99" i="55"/>
  <c r="K74" i="55"/>
  <c r="S102" i="26"/>
  <c r="S97" i="26" s="1"/>
  <c r="T20" i="26"/>
  <c r="Q48" i="20" l="1"/>
  <c r="Q56" i="20"/>
  <c r="X53" i="48"/>
  <c r="I20" i="35"/>
  <c r="J22" i="55" s="1"/>
  <c r="I97" i="55"/>
  <c r="I72" i="55"/>
  <c r="Z143" i="48"/>
  <c r="Y23" i="48"/>
  <c r="Y21" i="48" s="1"/>
  <c r="J20" i="35" s="1"/>
  <c r="K22" i="55" s="1"/>
  <c r="S82" i="20"/>
  <c r="S83" i="20" s="1"/>
  <c r="S123" i="26"/>
  <c r="D2" i="35"/>
  <c r="E4" i="55" s="1"/>
  <c r="K89" i="55"/>
  <c r="K64" i="55"/>
  <c r="D79" i="55"/>
  <c r="D54" i="55"/>
  <c r="J96" i="55"/>
  <c r="J71" i="55"/>
  <c r="Y45" i="49"/>
  <c r="Y10" i="26"/>
  <c r="J10" i="35"/>
  <c r="K12" i="55" s="1"/>
  <c r="Z15" i="59"/>
  <c r="AA10" i="33"/>
  <c r="Z19" i="33"/>
  <c r="K12" i="35"/>
  <c r="L14" i="55" s="1"/>
  <c r="G82" i="59"/>
  <c r="G83" i="59" s="1"/>
  <c r="G85" i="59"/>
  <c r="H25" i="33"/>
  <c r="Z15" i="48"/>
  <c r="Y14" i="48"/>
  <c r="Y9" i="48" s="1"/>
  <c r="J19" i="35" s="1"/>
  <c r="K21" i="55" s="1"/>
  <c r="J95" i="55"/>
  <c r="J70" i="55"/>
  <c r="K4" i="35"/>
  <c r="L6" i="55" s="1"/>
  <c r="Y38" i="49"/>
  <c r="Y46" i="49" s="1"/>
  <c r="AC144" i="48"/>
  <c r="AC24" i="48" s="1"/>
  <c r="AB24" i="48"/>
  <c r="L74" i="55"/>
  <c r="L99" i="55"/>
  <c r="AY96" i="20"/>
  <c r="AY97" i="20"/>
  <c r="AY95" i="20"/>
  <c r="R46" i="20"/>
  <c r="R14" i="20"/>
  <c r="R25" i="20" s="1"/>
  <c r="Z32" i="59"/>
  <c r="J18" i="35"/>
  <c r="K20" i="55" s="1"/>
  <c r="AB12" i="20"/>
  <c r="AA13" i="20"/>
  <c r="AB12" i="25"/>
  <c r="AA14" i="25"/>
  <c r="AA13" i="25" s="1"/>
  <c r="L98" i="55"/>
  <c r="L73" i="55"/>
  <c r="AA10" i="48"/>
  <c r="AB11" i="48"/>
  <c r="U100" i="26"/>
  <c r="U51" i="26"/>
  <c r="U15" i="26"/>
  <c r="V52" i="26"/>
  <c r="N25" i="59"/>
  <c r="N28" i="59" s="1"/>
  <c r="G3" i="50" s="1"/>
  <c r="O76" i="59"/>
  <c r="N78" i="59"/>
  <c r="N23" i="59" s="1"/>
  <c r="AA26" i="48"/>
  <c r="L22" i="35" s="1"/>
  <c r="M24" i="55" s="1"/>
  <c r="AB146" i="48"/>
  <c r="AA15" i="30"/>
  <c r="AA13" i="30"/>
  <c r="AA11" i="30" s="1"/>
  <c r="AA46" i="30" s="1"/>
  <c r="L6" i="35" s="1"/>
  <c r="M8" i="55" s="1"/>
  <c r="AB17" i="30"/>
  <c r="AB18" i="48"/>
  <c r="AA17" i="48"/>
  <c r="L21" i="35" s="1"/>
  <c r="M23" i="55" s="1"/>
  <c r="J86" i="55"/>
  <c r="J61" i="55"/>
  <c r="K81" i="55"/>
  <c r="K56" i="55"/>
  <c r="K88" i="55"/>
  <c r="K63" i="55"/>
  <c r="AA25" i="48"/>
  <c r="AB145" i="48"/>
  <c r="Y14" i="59"/>
  <c r="Z20" i="25"/>
  <c r="J9" i="35"/>
  <c r="K11" i="55" s="1"/>
  <c r="Y11" i="25"/>
  <c r="L83" i="55"/>
  <c r="L58" i="55"/>
  <c r="T102" i="26"/>
  <c r="U20" i="26"/>
  <c r="T97" i="26"/>
  <c r="J87" i="55"/>
  <c r="J62" i="55"/>
  <c r="Z31" i="59"/>
  <c r="Z44" i="49"/>
  <c r="Z37" i="49"/>
  <c r="AA36" i="49"/>
  <c r="K11" i="35"/>
  <c r="L13" i="55" s="1"/>
  <c r="R56" i="20" l="1"/>
  <c r="R48" i="20"/>
  <c r="K97" i="55"/>
  <c r="K72" i="55"/>
  <c r="AA143" i="48"/>
  <c r="Z23" i="48"/>
  <c r="Z21" i="48" s="1"/>
  <c r="K20" i="35" s="1"/>
  <c r="L22" i="55" s="1"/>
  <c r="J97" i="55"/>
  <c r="J72" i="55"/>
  <c r="Z14" i="48"/>
  <c r="Z9" i="48" s="1"/>
  <c r="K19" i="35" s="1"/>
  <c r="L21" i="55" s="1"/>
  <c r="AA15" i="48"/>
  <c r="K87" i="55"/>
  <c r="K62" i="55"/>
  <c r="AC145" i="48"/>
  <c r="AC25" i="48" s="1"/>
  <c r="AB25" i="48"/>
  <c r="V15" i="26"/>
  <c r="W52" i="26"/>
  <c r="V100" i="26"/>
  <c r="V51" i="26"/>
  <c r="U11" i="26"/>
  <c r="U9" i="26" s="1"/>
  <c r="L81" i="55"/>
  <c r="L56" i="55"/>
  <c r="AC12" i="25"/>
  <c r="AB14" i="25"/>
  <c r="AB13" i="25" s="1"/>
  <c r="AA44" i="49"/>
  <c r="AA37" i="49"/>
  <c r="AA38" i="49" s="1"/>
  <c r="AA46" i="49" s="1"/>
  <c r="AB36" i="49"/>
  <c r="AA31" i="59"/>
  <c r="L11" i="35"/>
  <c r="M13" i="55" s="1"/>
  <c r="Z45" i="49"/>
  <c r="K10" i="35"/>
  <c r="L12" i="55" s="1"/>
  <c r="Z10" i="26"/>
  <c r="AC146" i="48"/>
  <c r="AC26" i="48" s="1"/>
  <c r="N22" i="35" s="1"/>
  <c r="O24" i="55" s="1"/>
  <c r="AB26" i="48"/>
  <c r="M22" i="35" s="1"/>
  <c r="N24" i="55" s="1"/>
  <c r="L4" i="35"/>
  <c r="M6" i="55" s="1"/>
  <c r="L89" i="55"/>
  <c r="L64" i="55"/>
  <c r="E79" i="55"/>
  <c r="E54" i="55"/>
  <c r="M83" i="55"/>
  <c r="M58" i="55"/>
  <c r="M98" i="55"/>
  <c r="M73" i="55"/>
  <c r="M99" i="55"/>
  <c r="M74" i="55"/>
  <c r="AC11" i="48"/>
  <c r="AC10" i="48" s="1"/>
  <c r="AB10" i="48"/>
  <c r="AC12" i="20"/>
  <c r="AC13" i="20" s="1"/>
  <c r="AB13" i="20"/>
  <c r="T82" i="20"/>
  <c r="T83" i="20" s="1"/>
  <c r="T123" i="26"/>
  <c r="E2" i="35"/>
  <c r="F4" i="55" s="1"/>
  <c r="U102" i="26"/>
  <c r="U97" i="26" s="1"/>
  <c r="V20" i="26"/>
  <c r="L88" i="55"/>
  <c r="L63" i="55"/>
  <c r="K86" i="55"/>
  <c r="K61" i="55"/>
  <c r="AC18" i="48"/>
  <c r="AC17" i="48" s="1"/>
  <c r="N21" i="35" s="1"/>
  <c r="O23" i="55" s="1"/>
  <c r="AB17" i="48"/>
  <c r="M21" i="35" s="1"/>
  <c r="N23" i="55" s="1"/>
  <c r="K95" i="55"/>
  <c r="K70" i="55"/>
  <c r="AA15" i="59"/>
  <c r="AB10" i="33"/>
  <c r="L12" i="35"/>
  <c r="M14" i="55" s="1"/>
  <c r="AZ97" i="20"/>
  <c r="AZ96" i="20"/>
  <c r="AZ95" i="20"/>
  <c r="S14" i="20"/>
  <c r="S25" i="20" s="1"/>
  <c r="Z38" i="49"/>
  <c r="Z46" i="49" s="1"/>
  <c r="Z14" i="59"/>
  <c r="AA20" i="25"/>
  <c r="K9" i="35"/>
  <c r="L11" i="55" s="1"/>
  <c r="AB13" i="30"/>
  <c r="AB11" i="30" s="1"/>
  <c r="AB46" i="30" s="1"/>
  <c r="M6" i="35" s="1"/>
  <c r="N8" i="55" s="1"/>
  <c r="AB15" i="30"/>
  <c r="AC17" i="30"/>
  <c r="O25" i="59"/>
  <c r="P76" i="59"/>
  <c r="O78" i="59"/>
  <c r="O23" i="59" s="1"/>
  <c r="AA32" i="59"/>
  <c r="K18" i="35"/>
  <c r="L20" i="55" s="1"/>
  <c r="K96" i="55"/>
  <c r="K71" i="55"/>
  <c r="Z11" i="25"/>
  <c r="L97" i="55" l="1"/>
  <c r="L72" i="55"/>
  <c r="AB143" i="48"/>
  <c r="AA23" i="48"/>
  <c r="AA21" i="48" s="1"/>
  <c r="L20" i="35" s="1"/>
  <c r="M22" i="55" s="1"/>
  <c r="U82" i="20"/>
  <c r="U83" i="20" s="1"/>
  <c r="U123" i="26"/>
  <c r="F2" i="35"/>
  <c r="G4" i="55" s="1"/>
  <c r="AB32" i="59"/>
  <c r="L18" i="35"/>
  <c r="M20" i="55" s="1"/>
  <c r="N98" i="55"/>
  <c r="N73" i="55"/>
  <c r="O98" i="55"/>
  <c r="O73" i="55"/>
  <c r="Q76" i="59"/>
  <c r="P25" i="59"/>
  <c r="P78" i="59"/>
  <c r="P23" i="59" s="1"/>
  <c r="AA14" i="59"/>
  <c r="AB20" i="25"/>
  <c r="L9" i="35"/>
  <c r="M11" i="55" s="1"/>
  <c r="AA11" i="25"/>
  <c r="M89" i="55"/>
  <c r="M64" i="55"/>
  <c r="M81" i="55"/>
  <c r="M56" i="55"/>
  <c r="F79" i="55"/>
  <c r="F54" i="55"/>
  <c r="O28" i="59"/>
  <c r="H3" i="50" s="1"/>
  <c r="AC10" i="33"/>
  <c r="I25" i="33"/>
  <c r="AB15" i="59"/>
  <c r="M12" i="35"/>
  <c r="N14" i="55" s="1"/>
  <c r="BA97" i="20"/>
  <c r="BA96" i="20"/>
  <c r="BA95" i="20"/>
  <c r="T14" i="20"/>
  <c r="T25" i="20" s="1"/>
  <c r="M88" i="55"/>
  <c r="M63" i="55"/>
  <c r="AC14" i="25"/>
  <c r="AC13" i="25" s="1"/>
  <c r="AA14" i="48"/>
  <c r="AA9" i="48" s="1"/>
  <c r="L19" i="35" s="1"/>
  <c r="M21" i="55" s="1"/>
  <c r="AB15" i="48"/>
  <c r="AC15" i="30"/>
  <c r="AC13" i="30"/>
  <c r="AC11" i="30" s="1"/>
  <c r="AC46" i="30" s="1"/>
  <c r="N6" i="35" s="1"/>
  <c r="O8" i="55" s="1"/>
  <c r="D86" i="59"/>
  <c r="M4" i="35"/>
  <c r="N6" i="55" s="1"/>
  <c r="W100" i="26"/>
  <c r="W15" i="26"/>
  <c r="X52" i="26"/>
  <c r="W51" i="26"/>
  <c r="L96" i="55"/>
  <c r="L71" i="55"/>
  <c r="N4" i="35"/>
  <c r="O6" i="55" s="1"/>
  <c r="N99" i="55"/>
  <c r="N74" i="55"/>
  <c r="V11" i="26"/>
  <c r="V9" i="26" s="1"/>
  <c r="L86" i="55"/>
  <c r="L61" i="55"/>
  <c r="N83" i="55"/>
  <c r="N58" i="55"/>
  <c r="O99" i="55"/>
  <c r="O74" i="55"/>
  <c r="AB31" i="59"/>
  <c r="AC36" i="49"/>
  <c r="AB37" i="49"/>
  <c r="AB38" i="49" s="1"/>
  <c r="AB46" i="49" s="1"/>
  <c r="AB44" i="49"/>
  <c r="M11" i="35"/>
  <c r="N13" i="55" s="1"/>
  <c r="L87" i="55"/>
  <c r="L62" i="55"/>
  <c r="L95" i="55"/>
  <c r="L70" i="55"/>
  <c r="V102" i="26"/>
  <c r="V97" i="26" s="1"/>
  <c r="W20" i="26"/>
  <c r="AA45" i="49"/>
  <c r="AA10" i="26"/>
  <c r="L10" i="35"/>
  <c r="M12" i="55" s="1"/>
  <c r="M72" i="55" l="1"/>
  <c r="M97" i="55"/>
  <c r="AC143" i="48"/>
  <c r="AC23" i="48" s="1"/>
  <c r="AC21" i="48" s="1"/>
  <c r="N20" i="35" s="1"/>
  <c r="O22" i="55" s="1"/>
  <c r="AB23" i="48"/>
  <c r="AB21" i="48" s="1"/>
  <c r="M20" i="35" s="1"/>
  <c r="N22" i="55" s="1"/>
  <c r="V123" i="26"/>
  <c r="V82" i="20"/>
  <c r="V83" i="20" s="1"/>
  <c r="G2" i="35"/>
  <c r="H4" i="55" s="1"/>
  <c r="M96" i="55"/>
  <c r="M71" i="55"/>
  <c r="AB14" i="59"/>
  <c r="AC20" i="25"/>
  <c r="M9" i="35"/>
  <c r="N11" i="55" s="1"/>
  <c r="AB11" i="25"/>
  <c r="AC31" i="59"/>
  <c r="AC37" i="49"/>
  <c r="AC38" i="49" s="1"/>
  <c r="N11" i="35"/>
  <c r="O13" i="55" s="1"/>
  <c r="N81" i="55"/>
  <c r="N56" i="55"/>
  <c r="N89" i="55"/>
  <c r="N64" i="55"/>
  <c r="M95" i="55"/>
  <c r="M70" i="55"/>
  <c r="AB45" i="49"/>
  <c r="AB10" i="26"/>
  <c r="M10" i="35"/>
  <c r="N12" i="55" s="1"/>
  <c r="W102" i="26"/>
  <c r="W97" i="26" s="1"/>
  <c r="X20" i="26"/>
  <c r="P28" i="59"/>
  <c r="I3" i="50" s="1"/>
  <c r="AC32" i="59"/>
  <c r="N18" i="35" s="1"/>
  <c r="O20" i="55" s="1"/>
  <c r="M18" i="35"/>
  <c r="N20" i="55" s="1"/>
  <c r="X100" i="26"/>
  <c r="X51" i="26"/>
  <c r="AD51" i="26" s="1"/>
  <c r="X15" i="26"/>
  <c r="AD52" i="26"/>
  <c r="AE15" i="26" s="1"/>
  <c r="O83" i="55"/>
  <c r="O58" i="55"/>
  <c r="R76" i="59"/>
  <c r="Q25" i="59"/>
  <c r="Q78" i="59"/>
  <c r="Q23" i="59" s="1"/>
  <c r="G79" i="55"/>
  <c r="G54" i="55"/>
  <c r="O81" i="55"/>
  <c r="O56" i="55"/>
  <c r="N88" i="55"/>
  <c r="N63" i="55"/>
  <c r="W11" i="26"/>
  <c r="W9" i="26" s="1"/>
  <c r="AC15" i="59"/>
  <c r="N12" i="35"/>
  <c r="O14" i="55" s="1"/>
  <c r="M87" i="55"/>
  <c r="M62" i="55"/>
  <c r="M86" i="55"/>
  <c r="M61" i="55"/>
  <c r="AB14" i="48"/>
  <c r="AB9" i="48" s="1"/>
  <c r="M19" i="35" s="1"/>
  <c r="N21" i="55" s="1"/>
  <c r="AC15" i="48"/>
  <c r="AC14" i="48" s="1"/>
  <c r="AC9" i="48" s="1"/>
  <c r="N19" i="35" s="1"/>
  <c r="O21" i="55" s="1"/>
  <c r="BB96" i="20"/>
  <c r="BB95" i="20"/>
  <c r="BB97" i="20"/>
  <c r="U14" i="20"/>
  <c r="U25" i="20" s="1"/>
  <c r="N97" i="55" l="1"/>
  <c r="N72" i="55"/>
  <c r="O97" i="55"/>
  <c r="O72" i="55"/>
  <c r="W123" i="26"/>
  <c r="W82" i="20"/>
  <c r="W83" i="20" s="1"/>
  <c r="H2" i="35"/>
  <c r="I4" i="55" s="1"/>
  <c r="N96" i="55"/>
  <c r="N71" i="55"/>
  <c r="N87" i="55"/>
  <c r="N62" i="55"/>
  <c r="S76" i="59"/>
  <c r="R25" i="59"/>
  <c r="R28" i="59" s="1"/>
  <c r="R78" i="59"/>
  <c r="R23" i="59" s="1"/>
  <c r="O95" i="55"/>
  <c r="O70" i="55"/>
  <c r="O96" i="55"/>
  <c r="O71" i="55"/>
  <c r="Q28" i="59"/>
  <c r="J3" i="50" s="1"/>
  <c r="AC14" i="59"/>
  <c r="N9" i="35"/>
  <c r="O11" i="55" s="1"/>
  <c r="AC11" i="25"/>
  <c r="O88" i="55"/>
  <c r="O63" i="55"/>
  <c r="N86" i="55"/>
  <c r="N61" i="55"/>
  <c r="N95" i="55"/>
  <c r="N70" i="55"/>
  <c r="AC10" i="26"/>
  <c r="N10" i="35"/>
  <c r="O12" i="55" s="1"/>
  <c r="X11" i="26"/>
  <c r="X9" i="26" s="1"/>
  <c r="AD15" i="26"/>
  <c r="H79" i="55"/>
  <c r="H54" i="55"/>
  <c r="X97" i="26"/>
  <c r="O89" i="55"/>
  <c r="O64" i="55"/>
  <c r="X102" i="26"/>
  <c r="Y20" i="26"/>
  <c r="V14" i="20"/>
  <c r="V25" i="20" s="1"/>
  <c r="O87" i="55" l="1"/>
  <c r="O62" i="55"/>
  <c r="S25" i="59"/>
  <c r="T76" i="59"/>
  <c r="Y102" i="26"/>
  <c r="Y97" i="26" s="1"/>
  <c r="Z20" i="26"/>
  <c r="Y11" i="26"/>
  <c r="Y9" i="26" s="1"/>
  <c r="E86" i="59"/>
  <c r="O86" i="55"/>
  <c r="O61" i="55"/>
  <c r="I79" i="55"/>
  <c r="I54" i="55"/>
  <c r="X82" i="20"/>
  <c r="X83" i="20" s="1"/>
  <c r="X123" i="26"/>
  <c r="I2" i="35"/>
  <c r="J4" i="55" s="1"/>
  <c r="W14" i="20"/>
  <c r="W25" i="20" s="1"/>
  <c r="K3" i="50"/>
  <c r="C17" i="35"/>
  <c r="D19" i="55" s="1"/>
  <c r="J79" i="55" l="1"/>
  <c r="J54" i="55"/>
  <c r="Y82" i="20"/>
  <c r="Y83" i="20" s="1"/>
  <c r="Y123" i="26"/>
  <c r="J2" i="35"/>
  <c r="K4" i="55" s="1"/>
  <c r="D94" i="55"/>
  <c r="D69" i="55"/>
  <c r="T25" i="59"/>
  <c r="Z102" i="26"/>
  <c r="Z97" i="26" s="1"/>
  <c r="AA20" i="26"/>
  <c r="Z11" i="26"/>
  <c r="Z9" i="26" s="1"/>
  <c r="X14" i="20"/>
  <c r="X25" i="20" s="1"/>
  <c r="S28" i="59"/>
  <c r="D17" i="35" s="1"/>
  <c r="E19" i="55" s="1"/>
  <c r="S12" i="59"/>
  <c r="E84" i="59" s="1"/>
  <c r="E88" i="59" s="1"/>
  <c r="V76" i="59" l="1"/>
  <c r="U25" i="59"/>
  <c r="K79" i="55"/>
  <c r="K54" i="55"/>
  <c r="AA102" i="26"/>
  <c r="AA97" i="26" s="1"/>
  <c r="AB20" i="26"/>
  <c r="AA11" i="26"/>
  <c r="AA9" i="26" s="1"/>
  <c r="Y14" i="20"/>
  <c r="Z82" i="20"/>
  <c r="Z83" i="20" s="1"/>
  <c r="Z123" i="26"/>
  <c r="K2" i="35"/>
  <c r="L4" i="55" s="1"/>
  <c r="E94" i="55"/>
  <c r="E69" i="55"/>
  <c r="T28" i="59"/>
  <c r="E17" i="35" s="1"/>
  <c r="F19" i="55" s="1"/>
  <c r="T12" i="59"/>
  <c r="AB102" i="26" l="1"/>
  <c r="AB97" i="26" s="1"/>
  <c r="AC20" i="26"/>
  <c r="AB11" i="26"/>
  <c r="AB9" i="26" s="1"/>
  <c r="AA82" i="20"/>
  <c r="AA83" i="20" s="1"/>
  <c r="AA123" i="26"/>
  <c r="L2" i="35"/>
  <c r="M4" i="55" s="1"/>
  <c r="L79" i="55"/>
  <c r="L54" i="55"/>
  <c r="F94" i="55"/>
  <c r="F69" i="55"/>
  <c r="Z14" i="20"/>
  <c r="U28" i="59"/>
  <c r="F17" i="35" s="1"/>
  <c r="G19" i="55" s="1"/>
  <c r="U12" i="59"/>
  <c r="W76" i="59"/>
  <c r="V25" i="59"/>
  <c r="M79" i="55" l="1"/>
  <c r="M54" i="55"/>
  <c r="AA14" i="20"/>
  <c r="G94" i="55"/>
  <c r="G69" i="55"/>
  <c r="X76" i="59"/>
  <c r="W25" i="59"/>
  <c r="AC102" i="26"/>
  <c r="AC97" i="26" s="1"/>
  <c r="AC11" i="26"/>
  <c r="AC9" i="26" s="1"/>
  <c r="V28" i="59"/>
  <c r="G17" i="35" s="1"/>
  <c r="H19" i="55" s="1"/>
  <c r="V12" i="59"/>
  <c r="F86" i="59"/>
  <c r="AB82" i="20"/>
  <c r="AB83" i="20" s="1"/>
  <c r="AB123" i="26"/>
  <c r="M2" i="35"/>
  <c r="N4" i="55" s="1"/>
  <c r="X25" i="59" l="1"/>
  <c r="H69" i="55"/>
  <c r="H94" i="55"/>
  <c r="AC82" i="20"/>
  <c r="AC83" i="20" s="1"/>
  <c r="AC123" i="26"/>
  <c r="N2" i="35"/>
  <c r="O4" i="55" s="1"/>
  <c r="AB14" i="20"/>
  <c r="N79" i="55"/>
  <c r="N54" i="55"/>
  <c r="W28" i="59"/>
  <c r="H17" i="35" s="1"/>
  <c r="I19" i="55" s="1"/>
  <c r="W12" i="59"/>
  <c r="F84" i="59" s="1"/>
  <c r="F88" i="59" s="1"/>
  <c r="AC46" i="20" l="1"/>
  <c r="AC14" i="20"/>
  <c r="I94" i="55"/>
  <c r="I69" i="55"/>
  <c r="X28" i="59"/>
  <c r="I17" i="35" s="1"/>
  <c r="J19" i="55" s="1"/>
  <c r="X12" i="59"/>
  <c r="Z76" i="59"/>
  <c r="Y25" i="59"/>
  <c r="O79" i="55"/>
  <c r="O54" i="55"/>
  <c r="J94" i="55" l="1"/>
  <c r="J69" i="55"/>
  <c r="AA76" i="59"/>
  <c r="Z25" i="59"/>
  <c r="Y28" i="59"/>
  <c r="J17" i="35" s="1"/>
  <c r="K19" i="55" s="1"/>
  <c r="Y12" i="59"/>
  <c r="Z28" i="59" l="1"/>
  <c r="K17" i="35" s="1"/>
  <c r="L19" i="55" s="1"/>
  <c r="Z12" i="59"/>
  <c r="AB76" i="59"/>
  <c r="AA25" i="59"/>
  <c r="K94" i="55"/>
  <c r="K69" i="55"/>
  <c r="AA28" i="59" l="1"/>
  <c r="L17" i="35" s="1"/>
  <c r="M19" i="55" s="1"/>
  <c r="AA12" i="59"/>
  <c r="G84" i="59" s="1"/>
  <c r="G88" i="59" s="1"/>
  <c r="G86" i="59"/>
  <c r="AC76" i="59"/>
  <c r="AC25" i="59" s="1"/>
  <c r="AB25" i="59"/>
  <c r="L94" i="55"/>
  <c r="L69" i="55"/>
  <c r="AB28" i="59" l="1"/>
  <c r="M17" i="35" s="1"/>
  <c r="N19" i="55" s="1"/>
  <c r="AB12" i="59"/>
  <c r="AC28" i="59"/>
  <c r="N17" i="35" s="1"/>
  <c r="O19" i="55" s="1"/>
  <c r="AC12" i="59"/>
  <c r="M94" i="55"/>
  <c r="M69" i="55"/>
  <c r="O94" i="55" l="1"/>
  <c r="O69" i="55"/>
  <c r="N94" i="55"/>
  <c r="N69" i="55"/>
  <c r="Z44" i="20" l="1"/>
  <c r="Y44" i="20"/>
  <c r="T44" i="20"/>
  <c r="BA89" i="20" s="1"/>
  <c r="U44" i="20"/>
  <c r="BB89" i="20" s="1"/>
  <c r="V44" i="20"/>
  <c r="W44" i="20"/>
  <c r="X44" i="20"/>
  <c r="S44" i="20"/>
  <c r="AZ89" i="20" s="1"/>
  <c r="S45" i="20" l="1"/>
  <c r="T45" i="20" l="1"/>
  <c r="S46" i="20"/>
  <c r="S55" i="20"/>
  <c r="D5" i="35"/>
  <c r="E7" i="55" s="1"/>
  <c r="S56" i="20" l="1"/>
  <c r="S47" i="20"/>
  <c r="E82" i="55"/>
  <c r="E57" i="55"/>
  <c r="T55" i="20"/>
  <c r="E5" i="35"/>
  <c r="F7" i="55" s="1"/>
  <c r="U45" i="20"/>
  <c r="T46" i="20"/>
  <c r="T47" i="20" s="1"/>
  <c r="T56" i="20" l="1"/>
  <c r="U47" i="20"/>
  <c r="V45" i="20"/>
  <c r="U55" i="20"/>
  <c r="F5" i="35"/>
  <c r="G7" i="55" s="1"/>
  <c r="U46" i="20"/>
  <c r="U56" i="20" s="1"/>
  <c r="F82" i="55"/>
  <c r="F57" i="55"/>
  <c r="G82" i="55" l="1"/>
  <c r="G57" i="55"/>
  <c r="V55" i="20"/>
  <c r="G5" i="35"/>
  <c r="H7" i="55" s="1"/>
  <c r="W45" i="20"/>
  <c r="V46" i="20"/>
  <c r="V56" i="20" s="1"/>
  <c r="H57" i="55" l="1"/>
  <c r="H82" i="55"/>
  <c r="W55" i="20"/>
  <c r="X45" i="20"/>
  <c r="H5" i="35"/>
  <c r="I7" i="55" s="1"/>
  <c r="W46" i="20"/>
  <c r="W56" i="20" s="1"/>
  <c r="I82" i="55" l="1"/>
  <c r="I57" i="55"/>
  <c r="I5" i="35"/>
  <c r="J7" i="55" s="1"/>
  <c r="X46" i="20"/>
  <c r="X56" i="20" s="1"/>
  <c r="X55" i="20"/>
  <c r="Y45" i="20"/>
  <c r="Z45" i="20" l="1"/>
  <c r="Y46" i="20"/>
  <c r="J5" i="35"/>
  <c r="K7" i="55" s="1"/>
  <c r="J57" i="55"/>
  <c r="J82" i="55"/>
  <c r="K57" i="55" l="1"/>
  <c r="K82" i="55"/>
  <c r="K5" i="35"/>
  <c r="L7" i="55" s="1"/>
  <c r="Z46" i="20"/>
  <c r="AA45" i="20"/>
  <c r="L57" i="55" l="1"/>
  <c r="L82" i="55"/>
  <c r="AB45" i="20"/>
  <c r="L5" i="35"/>
  <c r="M7" i="55" s="1"/>
  <c r="AA46" i="20"/>
  <c r="AB46" i="20" l="1"/>
  <c r="M5" i="35"/>
  <c r="N7" i="55" s="1"/>
  <c r="M82" i="55"/>
  <c r="M57" i="55"/>
  <c r="N82" i="55" l="1"/>
  <c r="N57"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tc={E7DE0D97-6F23-4781-B037-31AABB074A69}</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 ref="B36"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s>
  <commentList>
    <comment ref="S49" authorId="0" shapeId="0" xr:uid="{52B73EBC-59DE-4AFE-A4BC-5DCFD4E527B4}">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7" authorId="1"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8" authorId="2"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9" authorId="3"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05" authorId="4" shapeId="0" xr:uid="{4D719FE1-A97C-46FC-9D71-7ECFBB4F6D87}">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1" authorId="5"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tc={B8A32247-DD1F-4DCE-83EE-D79062743972}</author>
    <author>tc={37B68D67-075B-4A87-BE37-581CDDA2F090}</author>
    <author>tc={3D5BBFAC-4E76-4F2A-B34F-264D54111B07}</author>
    <author>tc={C49E6240-A907-4D0A-9954-9A2A9B1F4C48}</author>
    <author>tc={B5075B33-3A01-4E6D-9B77-D376AB2C0FAC}</author>
    <author>tc={70B4E774-41CC-472B-8EAA-BEEBFB59BCA3}</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1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4"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B50"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51"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8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88"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9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92"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93"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tc={DE53FE9D-8C1E-46DC-B042-CAC65484D78F}</author>
    <author>tc={80E241D0-71D6-4A58-94C1-D19D1E0FDD7B}</author>
    <author>tc={94593835-C8BC-4AC8-9898-34BFE8C3E81E}</author>
    <author>tc={B4684DEE-BA63-48D6-A67B-2D5E9B5F64DB}</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 ref="R59"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62"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6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8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6"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73"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7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7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78"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9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9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9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99"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120"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21"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22"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2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<sst xmlns="http://schemas.openxmlformats.org/spreadsheetml/2006/main" count="3685" uniqueCount="1856">
  <si>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</si>
  <si>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</si>
  <si>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</si>
  <si>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</si>
  <si>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</si>
  <si>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</si>
  <si>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</si>
  <si>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</si>
  <si>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</si>
  <si>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</si>
  <si>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</si>
  <si>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</si>
  <si>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</si>
  <si>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</si>
  <si>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</si>
  <si>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</si>
  <si>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</si>
  <si>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</si>
  <si>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</si>
  <si>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</si>
  <si>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</si>
  <si>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</si>
  <si>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</si>
  <si>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</si>
  <si>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</si>
  <si>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</si>
  <si>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</si>
  <si>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</si>
  <si>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</si>
  <si>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</si>
  <si>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</si>
  <si>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</si>
  <si>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</si>
  <si>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</si>
  <si>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</si>
  <si>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</si>
  <si>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</si>
  <si>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</si>
  <si>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</si>
  <si>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</si>
  <si>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</si>
  <si>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</si>
  <si>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</si>
  <si>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</si>
  <si>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</si>
  <si>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</si>
  <si>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</si>
  <si>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</si>
  <si>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</si>
  <si>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</si>
  <si>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</si>
  <si>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</si>
  <si>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</si>
  <si>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</si>
  <si>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</si>
  <si>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</si>
  <si>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</si>
  <si>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</si>
  <si>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</si>
  <si>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</si>
  <si>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</si>
  <si>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</si>
  <si>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</si>
  <si>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</si>
  <si>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</si>
  <si>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</si>
  <si>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</si>
  <si>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</si>
  <si>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</si>
  <si>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</si>
  <si>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</si>
  <si>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</si>
  <si>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</si>
  <si>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</si>
  <si>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</si>
  <si>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</si>
  <si>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</si>
  <si>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</si>
  <si>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</si>
  <si>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</si>
  <si>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</si>
  <si>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</si>
  <si>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</si>
  <si>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</si>
  <si>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</si>
  <si>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</si>
  <si>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</si>
  <si>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</si>
  <si>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</si>
  <si>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</si>
  <si>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</si>
  <si>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</si>
  <si>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</si>
  <si>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</si>
  <si>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</si>
  <si>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</si>
  <si>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</si>
  <si>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</si>
  <si>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</si>
  <si>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</si>
  <si>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</si>
  <si>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</si>
  <si>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</si>
  <si>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</si>
  <si>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</si>
  <si>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</si>
  <si>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</si>
  <si>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</si>
  <si>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</si>
  <si>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</si>
  <si>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</si>
  <si>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</si>
  <si>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</si>
  <si>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</si>
  <si>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</si>
  <si>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</si>
  <si>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</si>
  <si>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</si>
  <si>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</si>
  <si>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</si>
  <si>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</si>
  <si>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</si>
  <si>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</si>
  <si>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</si>
  <si>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</si>
  <si>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</si>
  <si>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</si>
  <si>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</si>
  <si>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</si>
  <si>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</si>
  <si>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</si>
  <si>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</si>
  <si>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</si>
  <si>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</si>
  <si>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</si>
  <si>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</si>
  <si>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</si>
  <si>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</si>
  <si>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</si>
  <si>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</si>
  <si>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</si>
  <si>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</si>
  <si>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</si>
  <si>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</si>
  <si>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</si>
  <si>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</si>
  <si>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</si>
  <si>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</si>
  <si>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</si>
  <si>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</si>
  <si>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</si>
  <si>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</si>
  <si>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</si>
  <si>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</si>
  <si>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</si>
  <si>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</si>
  <si>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</si>
  <si>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</si>
  <si>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</si>
  <si>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</si>
  <si>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</si>
  <si>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</si>
  <si>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</si>
  <si>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</si>
  <si>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</si>
  <si>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</si>
  <si>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</si>
  <si>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</si>
  <si>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</si>
  <si>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</si>
  <si>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</si>
  <si>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</si>
  <si>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</si>
  <si>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</si>
  <si>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</si>
  <si>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</si>
  <si>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</si>
  <si>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</si>
  <si>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</si>
  <si>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</si>
  <si>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</si>
  <si>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</si>
  <si>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</si>
  <si>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</si>
  <si>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</si>
  <si>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</si>
  <si>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</si>
  <si>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</si>
  <si>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</si>
  <si>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</si>
  <si>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</si>
  <si>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</si>
  <si>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</si>
  <si>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</si>
  <si>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</si>
  <si>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</si>
  <si>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</si>
  <si>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</si>
  <si>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</si>
  <si>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</si>
  <si>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</si>
  <si>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</si>
  <si>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</si>
  <si>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</si>
  <si>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</si>
  <si>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</si>
  <si>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</si>
  <si>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</si>
  <si>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</si>
  <si>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</si>
  <si>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</si>
  <si>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</si>
  <si>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</si>
  <si>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</si>
  <si>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</si>
  <si>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</si>
  <si>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</si>
  <si>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</si>
  <si>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</si>
  <si>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</si>
  <si>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</si>
  <si>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</si>
  <si>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</si>
  <si>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</si>
  <si>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</si>
  <si>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</si>
  <si>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</si>
  <si>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</si>
  <si>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</si>
  <si>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</si>
  <si>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</si>
  <si>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</si>
  <si>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</si>
  <si>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</si>
  <si>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</si>
  <si>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</si>
  <si>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</si>
  <si>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</si>
  <si>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</si>
  <si>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</si>
  <si>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</si>
  <si>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</si>
  <si>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</si>
  <si>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</si>
  <si>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</si>
  <si>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</si>
  <si>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</si>
  <si>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</si>
  <si>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</si>
  <si>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</si>
  <si>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</si>
  <si>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</si>
  <si>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</si>
  <si>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</si>
  <si>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</si>
  <si>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</si>
  <si>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</si>
  <si>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</si>
  <si>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</si>
  <si>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</si>
  <si>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</si>
  <si>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</si>
  <si>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</si>
  <si>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</si>
  <si>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</si>
  <si>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</si>
  <si>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</si>
  <si>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</si>
  <si>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</si>
  <si>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</si>
  <si>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</si>
  <si>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</si>
  <si>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</si>
  <si>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</si>
  <si>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</si>
  <si>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</si>
  <si>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</si>
  <si>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</si>
  <si>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</si>
  <si>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</si>
  <si>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</si>
  <si>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</si>
  <si>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</si>
  <si>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</si>
  <si>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</si>
  <si>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</si>
  <si>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</si>
  <si>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</si>
  <si>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</si>
  <si>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</si>
  <si>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</si>
  <si>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</si>
  <si>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</si>
  <si>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</si>
  <si>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</si>
  <si>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</si>
  <si>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</si>
  <si>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</si>
  <si>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</si>
  <si>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</si>
  <si>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</si>
  <si>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</si>
  <si>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</si>
  <si>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</si>
  <si>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</si>
  <si>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</si>
  <si>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</si>
  <si>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</si>
  <si>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</si>
  <si>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</si>
  <si>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</si>
  <si>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</si>
  <si>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</si>
  <si>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</si>
  <si>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</si>
  <si>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</si>
  <si>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</si>
  <si>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</si>
  <si>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</si>
  <si>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</si>
  <si>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</si>
  <si>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</si>
  <si>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</si>
  <si>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</si>
  <si>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</si>
  <si>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</si>
  <si>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</si>
  <si>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</si>
  <si>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</si>
  <si>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</si>
  <si>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</si>
  <si>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</si>
  <si>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</si>
  <si>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</si>
  <si>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</si>
  <si>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</si>
  <si>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</si>
  <si>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</si>
  <si>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</si>
  <si>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</si>
  <si>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</si>
  <si>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</si>
  <si>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</si>
  <si>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</si>
  <si>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</si>
  <si>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</si>
  <si>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</si>
  <si>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</si>
  <si>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</si>
  <si>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</si>
  <si>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</si>
  <si>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</si>
  <si>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</si>
  <si>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</si>
  <si>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</si>
  <si>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</si>
  <si>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</si>
  <si>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</si>
  <si>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</si>
  <si>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</si>
  <si>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</si>
  <si>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</si>
  <si>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</si>
  <si>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</si>
  <si>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</si>
  <si>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</si>
  <si>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</si>
  <si>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</si>
  <si>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</si>
  <si>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</si>
  <si>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</si>
  <si>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</si>
  <si>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</si>
  <si>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</si>
  <si>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</si>
  <si>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</si>
  <si>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</si>
  <si>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</si>
  <si>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</si>
  <si>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</si>
  <si>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</si>
  <si>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</si>
  <si>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</si>
  <si>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</si>
  <si>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</si>
  <si>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</si>
  <si>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</si>
  <si>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</si>
  <si>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</si>
  <si>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</si>
  <si>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</si>
  <si>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</si>
  <si>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</si>
  <si>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</si>
  <si>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</si>
  <si>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</si>
  <si>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</si>
  <si>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</si>
  <si>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</si>
  <si>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</si>
  <si>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</si>
  <si>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</si>
  <si>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</si>
  <si>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</si>
  <si>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</si>
  <si>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</si>
  <si>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</si>
  <si>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</si>
  <si>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</si>
  <si>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</si>
  <si>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</si>
  <si>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</si>
  <si>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</si>
  <si>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</si>
  <si>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</si>
  <si>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</si>
  <si>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</si>
  <si>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</si>
  <si>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</si>
  <si>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</si>
  <si>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</si>
  <si>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</si>
  <si>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</si>
  <si>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</si>
  <si>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</si>
  <si>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</si>
  <si>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</si>
  <si>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</si>
  <si>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</si>
  <si>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</si>
  <si>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</si>
  <si>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</si>
  <si>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</si>
  <si>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</si>
  <si>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</si>
  <si>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</si>
  <si>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</si>
  <si>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</si>
  <si>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</si>
  <si>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</si>
  <si>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</si>
  <si>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</si>
  <si>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</si>
  <si>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</si>
  <si>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</si>
  <si>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</si>
  <si>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</si>
  <si>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</si>
  <si>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</si>
  <si>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</si>
  <si>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</si>
  <si>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</si>
  <si>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</si>
  <si>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</si>
  <si>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</si>
  <si>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</si>
  <si>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</si>
  <si>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</si>
  <si>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</si>
  <si>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</si>
  <si>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</si>
  <si>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</si>
  <si>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</si>
  <si>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</si>
  <si>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</si>
  <si>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</si>
  <si>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</si>
  <si>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</si>
  <si>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</si>
  <si>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</si>
  <si>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</si>
  <si>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</si>
  <si>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</si>
  <si>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</si>
  <si>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</si>
  <si>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</si>
  <si>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</si>
  <si>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</si>
  <si>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</si>
  <si>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</si>
  <si>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</si>
  <si>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</si>
  <si>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</si>
  <si>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</si>
  <si>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</si>
  <si>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</si>
  <si>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</si>
  <si>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</si>
  <si>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</si>
  <si>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</si>
  <si>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</si>
  <si>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</si>
  <si>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</si>
  <si>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</si>
  <si>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</si>
  <si>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</si>
  <si>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</si>
  <si>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</si>
  <si>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</si>
  <si>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</si>
  <si>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</si>
  <si>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</si>
  <si>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</si>
  <si>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</si>
  <si>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</si>
  <si>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</si>
  <si>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</si>
  <si>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</si>
  <si>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</si>
  <si>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</si>
  <si>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</si>
  <si>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</si>
  <si>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</si>
  <si>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</si>
  <si>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</si>
  <si>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</si>
  <si>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</si>
  <si>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</si>
  <si>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</si>
  <si>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</si>
  <si>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</si>
  <si>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</si>
  <si>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</si>
  <si>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</si>
  <si>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</si>
  <si>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</si>
  <si>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</si>
  <si>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</si>
  <si>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</si>
  <si>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</si>
  <si>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</si>
  <si>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</si>
  <si>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</si>
  <si>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</si>
  <si>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</si>
  <si>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</si>
  <si>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</si>
  <si>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</si>
  <si>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</si>
  <si>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</si>
  <si>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</si>
  <si>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</si>
  <si>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</si>
  <si>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</si>
  <si>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</si>
  <si>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</si>
  <si>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</si>
  <si>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</si>
  <si>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</si>
  <si>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</si>
  <si>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</si>
  <si>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</si>
  <si>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</si>
  <si>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</si>
  <si>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</si>
  <si>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</si>
  <si>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</si>
  <si>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</si>
  <si>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</si>
  <si>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</si>
  <si>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</si>
  <si>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</si>
  <si>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</si>
  <si>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</si>
  <si>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</si>
  <si>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</si>
  <si>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</si>
  <si>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</si>
  <si>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</si>
  <si>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</si>
  <si>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</si>
  <si>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</si>
  <si>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</si>
  <si>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</si>
  <si>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</si>
  <si>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</si>
  <si>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</si>
  <si>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</si>
  <si>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</si>
  <si>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</si>
  <si>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</si>
  <si>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</si>
  <si>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</si>
  <si>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</si>
  <si>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</si>
  <si>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</si>
  <si>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</si>
  <si>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</si>
  <si>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</si>
  <si>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</si>
  <si>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</si>
  <si>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</si>
  <si>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</si>
  <si>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</si>
  <si>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</si>
  <si>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</si>
  <si>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</si>
  <si>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</si>
  <si>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</si>
  <si>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</si>
  <si>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</si>
  <si>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</si>
  <si>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</si>
  <si>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</si>
  <si>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</si>
  <si>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</si>
  <si>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</si>
  <si>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</si>
  <si>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</si>
  <si>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</si>
  <si>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</si>
  <si>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</si>
  <si>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</si>
  <si>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</si>
  <si>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</si>
  <si>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</si>
  <si>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</si>
  <si>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</si>
  <si>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</si>
  <si>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</si>
  <si>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</si>
  <si>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</si>
  <si>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</si>
  <si>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</si>
  <si>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</si>
  <si>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</si>
  <si>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</si>
  <si>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</si>
  <si>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</si>
  <si>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</si>
  <si>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</si>
  <si>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</si>
  <si>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</si>
  <si>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</si>
  <si>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</si>
  <si>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</si>
  <si>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</si>
  <si>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</si>
  <si>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</si>
  <si>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</si>
  <si>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</si>
  <si>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</si>
  <si>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</si>
  <si>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</si>
  <si>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</si>
  <si>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</si>
  <si>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</si>
  <si>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</si>
  <si>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</si>
  <si>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</si>
  <si>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</si>
  <si>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</si>
  <si>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</si>
  <si>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</si>
  <si>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</si>
  <si>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</si>
  <si>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</si>
  <si>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</si>
  <si>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</si>
  <si>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</si>
  <si>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</si>
  <si>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</si>
  <si>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</si>
  <si>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</si>
  <si>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</si>
  <si>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</si>
  <si>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</si>
  <si>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</si>
  <si>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</si>
  <si>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</si>
  <si>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</si>
  <si>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</si>
  <si>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</si>
  <si>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</si>
  <si>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</si>
  <si>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</si>
  <si>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</si>
  <si>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</si>
  <si>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</si>
  <si>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</si>
  <si>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</si>
  <si>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</si>
  <si>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</si>
  <si>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</si>
  <si>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</si>
  <si>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</si>
  <si>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</si>
  <si>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</si>
  <si>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</si>
  <si>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</si>
  <si>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</si>
  <si>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</si>
  <si>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</si>
  <si>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</si>
  <si>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</si>
  <si>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</si>
  <si>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</si>
  <si>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</si>
  <si>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</si>
  <si>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</si>
  <si>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</si>
  <si>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</si>
  <si>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</si>
  <si>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</si>
  <si>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</si>
  <si>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</si>
  <si>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</si>
  <si>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</si>
  <si>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</si>
  <si>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</si>
  <si>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</si>
  <si>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</si>
  <si>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</si>
  <si>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</si>
  <si>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</si>
  <si>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</si>
  <si>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</si>
  <si>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</si>
  <si>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</si>
  <si>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</si>
  <si>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</si>
  <si>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</si>
  <si>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</si>
  <si>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</si>
  <si>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</si>
  <si>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</si>
  <si>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</si>
  <si>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</si>
  <si>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</si>
  <si>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</si>
  <si>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</si>
  <si>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</si>
  <si>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</si>
  <si>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</si>
  <si>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</si>
  <si>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</si>
  <si>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</si>
  <si>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</si>
  <si>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</si>
  <si>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</si>
  <si>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</si>
  <si>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</si>
  <si>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</si>
  <si>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</si>
  <si>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</si>
  <si>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</si>
  <si>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</si>
  <si>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</si>
  <si>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</si>
  <si>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</si>
  <si>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</si>
  <si>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</si>
  <si>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</si>
  <si>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</si>
  <si>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</si>
  <si>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</si>
  <si>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</si>
  <si>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</si>
  <si>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</si>
  <si>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</si>
  <si>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</si>
  <si>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</si>
  <si>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</si>
  <si>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</si>
  <si>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</si>
  <si>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</si>
  <si>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</si>
  <si>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</si>
  <si>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</si>
  <si>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</si>
  <si>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</si>
  <si>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</si>
  <si>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</si>
  <si>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</si>
  <si>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</si>
  <si>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</si>
  <si>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</si>
  <si>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</si>
  <si>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</si>
  <si>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</si>
  <si>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</si>
  <si>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</si>
  <si>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</si>
  <si>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</si>
  <si>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</si>
  <si>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</si>
  <si>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</si>
  <si>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</si>
  <si>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</si>
  <si>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</si>
  <si>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</si>
  <si>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</si>
  <si>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</si>
  <si>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</si>
  <si>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</si>
  <si>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</si>
  <si>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</si>
  <si>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</si>
  <si>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</si>
  <si>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</si>
  <si>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</si>
  <si>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</si>
  <si>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</si>
  <si>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</si>
  <si>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</si>
  <si>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</si>
  <si>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</si>
  <si>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</si>
  <si>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</si>
  <si>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</si>
  <si>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</si>
  <si>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</si>
  <si>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</si>
  <si>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</si>
  <si>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</si>
  <si>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</si>
  <si>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</si>
  <si>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</si>
  <si>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</si>
  <si>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</si>
  <si>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</si>
  <si>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</si>
  <si>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</si>
  <si>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</si>
  <si>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</si>
  <si>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</si>
  <si>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</si>
  <si>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</si>
  <si>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</si>
  <si>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</si>
  <si>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</si>
  <si>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</si>
  <si>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</si>
  <si>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</si>
  <si>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</si>
  <si>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</si>
  <si>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</si>
  <si>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</si>
  <si>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</si>
  <si>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</si>
  <si>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</si>
  <si>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</si>
  <si>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</si>
  <si>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</si>
  <si>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</si>
  <si>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</si>
  <si>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</si>
  <si>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</si>
  <si>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</si>
  <si>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</si>
  <si>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</si>
  <si>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</si>
  <si>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</si>
  <si>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</si>
  <si>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</si>
  <si>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</si>
  <si>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</si>
  <si>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</si>
  <si>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</si>
  <si>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</si>
  <si>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</si>
  <si>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</si>
  <si>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</si>
  <si>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</si>
  <si>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</si>
  <si>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</si>
  <si>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</si>
  <si>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</si>
  <si>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</si>
  <si>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</si>
  <si>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</si>
  <si>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</si>
  <si>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</si>
  <si>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</si>
  <si>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</si>
  <si>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</si>
  <si>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</si>
  <si>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</si>
  <si>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</si>
  <si>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</si>
  <si>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</si>
  <si>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</si>
  <si>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</si>
  <si>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</si>
  <si>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</si>
  <si>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</si>
  <si>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</si>
  <si>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</si>
  <si>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</si>
  <si>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</si>
  <si>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</si>
  <si>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</si>
  <si>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</si>
  <si>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</si>
  <si>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</si>
  <si>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</si>
  <si>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</si>
  <si>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</si>
  <si>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</si>
  <si>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</si>
  <si>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</si>
  <si>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</si>
  <si>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</si>
  <si>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</si>
  <si>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</si>
  <si>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</si>
  <si>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</si>
  <si>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</si>
  <si>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</si>
  <si>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</si>
  <si>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</si>
  <si>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</si>
  <si>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</si>
  <si>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</si>
  <si>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</si>
  <si>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</si>
  <si>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</si>
  <si>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</si>
  <si>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</si>
  <si>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</si>
  <si>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</si>
  <si>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</si>
  <si>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</si>
  <si>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</si>
  <si>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</si>
  <si>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</si>
  <si>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</si>
  <si>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</si>
  <si>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</si>
  <si>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</si>
  <si>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</si>
  <si>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</si>
  <si>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</si>
  <si>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</si>
  <si>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</si>
  <si>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</si>
  <si>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</si>
  <si>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</si>
  <si>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</si>
  <si>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</si>
  <si>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</si>
  <si>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</si>
  <si>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</si>
  <si>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</si>
  <si>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</si>
  <si>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</si>
  <si>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</si>
  <si>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</si>
  <si>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</si>
  <si>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</si>
  <si>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</si>
  <si>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</si>
  <si>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</si>
  <si>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</si>
  <si>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</si>
  <si>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</si>
  <si>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</si>
  <si>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</si>
  <si>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</si>
  <si>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</si>
  <si>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</si>
  <si>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</si>
  <si>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</si>
  <si>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</si>
  <si>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</si>
  <si>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</si>
  <si>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</si>
  <si>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</si>
  <si>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</si>
  <si>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</si>
  <si>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</si>
  <si>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</si>
  <si>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</si>
  <si>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</si>
  <si>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</si>
  <si>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</si>
  <si>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</si>
  <si>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</si>
  <si>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</si>
  <si>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</si>
  <si>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</si>
  <si>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</si>
  <si>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</si>
  <si>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</si>
  <si>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</si>
  <si>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</si>
  <si>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</si>
  <si>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</si>
  <si>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</si>
  <si>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</si>
  <si>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</si>
  <si>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</si>
  <si>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</si>
  <si>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</si>
  <si>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</si>
  <si>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</si>
  <si>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</si>
  <si>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</si>
  <si>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</si>
  <si>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</si>
  <si>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</si>
  <si>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</si>
  <si>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</si>
  <si>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</si>
  <si>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</si>
  <si>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</si>
  <si>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</si>
  <si>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</si>
  <si>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</si>
  <si>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</si>
  <si>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</si>
  <si>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</si>
  <si>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</si>
  <si>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</si>
  <si>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</si>
  <si>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</si>
  <si>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</si>
  <si>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</si>
  <si>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</si>
  <si>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</si>
  <si>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</si>
  <si>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 xml:space="preserve"> 2022 Q2 plus Current Forecast</t>
  </si>
  <si>
    <t>Investment Grants Override</t>
  </si>
  <si>
    <t>investment_grants_override</t>
  </si>
  <si>
    <t>Our forecast for Q3</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</si>
  <si>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</si>
  <si>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</si>
  <si>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</si>
  <si>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</si>
  <si>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</si>
  <si>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</si>
  <si>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</si>
  <si>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</si>
  <si>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</si>
  <si>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</si>
  <si>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</si>
  <si>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</si>
  <si>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</si>
  <si>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</si>
  <si>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</si>
  <si>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</si>
  <si>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</si>
  <si>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</si>
  <si>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</si>
  <si>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</si>
  <si>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</si>
  <si>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</si>
  <si>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</si>
  <si>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</si>
  <si>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</si>
  <si>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</si>
  <si>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</si>
  <si>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</si>
  <si>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</si>
  <si>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</si>
  <si>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</si>
  <si>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</si>
  <si>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</si>
  <si>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</si>
  <si>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</si>
  <si>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</si>
  <si>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</si>
  <si>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</si>
  <si>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</si>
  <si>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</si>
  <si>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</si>
  <si>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</si>
  <si>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</si>
  <si>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</si>
  <si>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</si>
  <si>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</si>
  <si>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</si>
  <si>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</si>
  <si>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</si>
  <si>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</si>
  <si>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</si>
  <si>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</si>
  <si>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</si>
  <si>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</si>
  <si>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</si>
  <si>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</si>
  <si>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</si>
  <si>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</si>
  <si>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</si>
  <si>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</si>
  <si>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</si>
  <si>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</si>
  <si>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</si>
  <si>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</si>
  <si>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</si>
  <si>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</si>
  <si>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</si>
  <si>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</si>
  <si>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</si>
  <si>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</si>
  <si>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</si>
  <si>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</si>
  <si>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</si>
  <si>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</si>
  <si>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</si>
  <si>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</si>
  <si>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</si>
  <si>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</si>
  <si>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</si>
  <si>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</si>
  <si>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</si>
  <si>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</si>
  <si>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</si>
  <si>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</si>
  <si>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</si>
  <si>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</si>
  <si>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</si>
  <si>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</si>
  <si>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</si>
  <si>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</si>
  <si>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</si>
  <si>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</si>
  <si>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</si>
  <si>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</si>
  <si>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</si>
  <si>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</si>
  <si>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</si>
  <si>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</si>
  <si>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</si>
  <si>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</si>
  <si>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</si>
  <si>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</si>
  <si>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</si>
  <si>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</si>
  <si>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</si>
  <si>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</si>
  <si>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</si>
  <si>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</si>
  <si>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</si>
  <si>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</si>
  <si>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</si>
  <si>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</si>
  <si>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</si>
  <si>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</si>
  <si>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</si>
  <si>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</si>
  <si>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</si>
  <si>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</si>
  <si>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</si>
  <si>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</si>
  <si>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</si>
  <si>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</si>
  <si>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</si>
  <si>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</si>
  <si>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</si>
  <si>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</si>
  <si>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</si>
  <si>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</si>
  <si>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</si>
  <si>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</si>
  <si>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</si>
  <si>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</si>
  <si>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</si>
  <si>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</si>
  <si>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</si>
  <si>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</si>
  <si>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</si>
  <si>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</si>
  <si>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</si>
  <si>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</si>
  <si>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</si>
  <si>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</si>
  <si>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</si>
  <si>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</si>
  <si>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</si>
  <si>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</si>
  <si>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</si>
  <si>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</si>
  <si>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</si>
  <si>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</si>
  <si>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</si>
  <si>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</si>
  <si>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</si>
  <si>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</si>
  <si>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</si>
  <si>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</si>
  <si>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</si>
  <si>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</si>
  <si>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</si>
  <si>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</si>
  <si>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</si>
  <si>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</si>
  <si>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</si>
  <si>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</si>
  <si>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</si>
  <si>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</si>
  <si>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</si>
  <si>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</si>
  <si>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</si>
  <si>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</si>
  <si>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</si>
  <si>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</si>
  <si>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</si>
  <si>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</si>
  <si>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</si>
  <si>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</si>
  <si>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</si>
  <si>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</si>
  <si>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</si>
  <si>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</si>
  <si>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</si>
  <si>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</si>
  <si>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</si>
  <si>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</si>
  <si>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</si>
  <si>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</si>
  <si>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</si>
  <si>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</si>
  <si>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</si>
  <si>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</si>
  <si>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</si>
  <si>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</si>
  <si>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</si>
  <si>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</si>
  <si>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</si>
  <si>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</si>
  <si>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</si>
  <si>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</si>
  <si>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</si>
  <si>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</si>
  <si>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</si>
  <si>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</si>
  <si>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</si>
  <si>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</si>
  <si>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</si>
  <si>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</si>
  <si>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</si>
  <si>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</si>
  <si>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</si>
  <si>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</si>
  <si>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</si>
  <si>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</si>
  <si>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</si>
  <si>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</si>
  <si>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</si>
  <si>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</si>
  <si>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</si>
  <si>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</si>
  <si>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</si>
  <si>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</si>
  <si>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</si>
  <si>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</si>
  <si>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</si>
  <si>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</si>
  <si>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</si>
  <si>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</si>
  <si>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</si>
  <si>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</si>
  <si>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</si>
  <si>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</si>
  <si>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</si>
  <si>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</si>
  <si>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</si>
  <si>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</si>
  <si>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</si>
  <si>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</si>
  <si>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</si>
  <si>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</si>
  <si>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</si>
  <si>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</si>
  <si>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</si>
  <si>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</si>
  <si>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</si>
  <si>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</si>
  <si>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</si>
  <si>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</si>
  <si>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</si>
  <si>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</si>
  <si>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</si>
  <si>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</si>
  <si>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</si>
  <si>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</si>
  <si>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</si>
  <si>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</si>
  <si>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</si>
  <si>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</si>
  <si>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</si>
  <si>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</si>
  <si>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</si>
  <si>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</si>
  <si>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</si>
  <si>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</si>
  <si>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</si>
  <si>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</si>
  <si>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</si>
  <si>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</si>
  <si>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</si>
  <si>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</si>
  <si>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</si>
  <si>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</si>
  <si>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</si>
  <si>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</si>
  <si>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</si>
  <si>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</si>
  <si>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</si>
  <si>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</si>
  <si>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</si>
  <si>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</si>
  <si>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</si>
  <si>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</si>
  <si>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</si>
  <si>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</si>
  <si>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</si>
  <si>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</si>
  <si>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</si>
  <si>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</si>
  <si>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</si>
  <si>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</si>
  <si>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</si>
  <si>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</si>
  <si>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</si>
  <si>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</si>
  <si>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</si>
  <si>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</si>
  <si>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</si>
  <si>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</si>
  <si>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</si>
  <si>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</si>
  <si>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</si>
  <si>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</si>
  <si>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</si>
  <si>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</si>
  <si>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</si>
  <si>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</si>
  <si>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</si>
  <si>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</si>
  <si>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</si>
  <si>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</si>
  <si>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</si>
  <si>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</si>
  <si>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</si>
  <si>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</si>
  <si>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</si>
  <si>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</si>
  <si>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</si>
  <si>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</si>
  <si>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</si>
  <si>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</si>
  <si>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</si>
  <si>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</si>
  <si>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</si>
  <si>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</si>
  <si>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</si>
  <si>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</si>
  <si>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</si>
  <si>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</si>
  <si>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</si>
  <si>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</si>
  <si>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</si>
  <si>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</si>
  <si>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</si>
  <si>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</si>
  <si>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</si>
  <si>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</si>
  <si>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</si>
  <si>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</si>
  <si>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</si>
  <si>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</si>
  <si>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</si>
  <si>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</si>
  <si>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</si>
  <si>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</si>
  <si>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</si>
  <si>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</si>
  <si>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</si>
  <si>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</si>
  <si>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</si>
  <si>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</si>
  <si>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</si>
  <si>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</si>
  <si>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</si>
  <si>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</si>
  <si>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</si>
  <si>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</si>
  <si>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</si>
  <si>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</si>
  <si>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</si>
  <si>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</si>
  <si>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</si>
  <si>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</si>
  <si>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</si>
  <si>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</si>
  <si>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</si>
  <si>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</si>
  <si>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</si>
  <si>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</si>
  <si>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</si>
  <si>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</si>
  <si>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</si>
  <si>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</si>
  <si>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</si>
  <si>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</si>
  <si>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</si>
  <si>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</si>
  <si>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</si>
  <si>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</si>
  <si>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</si>
  <si>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</si>
  <si>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</si>
  <si>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</si>
  <si>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</si>
  <si>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</si>
  <si>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</si>
  <si>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</si>
  <si>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</si>
  <si>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</si>
  <si>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</si>
  <si>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</si>
  <si>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</si>
  <si>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</si>
  <si>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</si>
  <si>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</si>
  <si>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</si>
  <si>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</si>
  <si>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</si>
  <si>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</si>
  <si>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</si>
  <si>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</si>
  <si>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</si>
  <si>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</si>
  <si>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</si>
  <si>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</si>
  <si>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</si>
  <si>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</si>
  <si>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</si>
  <si>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</si>
  <si>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</si>
  <si>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</si>
  <si>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</si>
  <si>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</si>
  <si>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</si>
  <si>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</si>
  <si>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</si>
  <si>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</si>
  <si>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</si>
  <si>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</si>
  <si>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</si>
  <si>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</si>
  <si>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</si>
  <si>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</si>
  <si>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</si>
  <si>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</si>
  <si>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</si>
  <si>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</si>
  <si>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</si>
  <si>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</si>
  <si>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</si>
  <si>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</si>
  <si>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</si>
  <si>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</si>
  <si>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</si>
  <si>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</si>
  <si>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</si>
  <si>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</si>
  <si>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</si>
  <si>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</si>
  <si>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</si>
  <si>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</si>
  <si>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</si>
  <si>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</si>
  <si>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</si>
  <si>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</si>
  <si>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</si>
  <si>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</si>
  <si>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</si>
  <si>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</si>
  <si>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</si>
  <si>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</si>
  <si>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</si>
  <si>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</si>
  <si>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</si>
  <si>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</si>
  <si>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</si>
  <si>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</si>
  <si>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</si>
  <si>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</si>
  <si>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</si>
  <si>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</si>
  <si>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</si>
  <si>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</si>
  <si>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</si>
  <si>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</si>
  <si>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</si>
  <si>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</si>
  <si>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</si>
  <si>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</si>
  <si>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</si>
  <si>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</si>
  <si>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</si>
  <si>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</si>
  <si>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Previous Forecast (August 2022)</t>
  </si>
  <si>
    <t>delta non</t>
  </si>
  <si>
    <t xml:space="preserve">delta </t>
  </si>
  <si>
    <t>percent change non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</si>
  <si>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</si>
  <si>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</si>
  <si>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</si>
  <si>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</si>
  <si>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</si>
  <si>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</si>
  <si>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</si>
  <si>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</si>
  <si>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</si>
  <si>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</si>
  <si>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</si>
  <si>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</si>
  <si>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</si>
  <si>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</si>
  <si>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</si>
  <si>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</si>
  <si>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</si>
  <si>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</si>
  <si>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</si>
  <si>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</si>
  <si>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</si>
  <si>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</si>
  <si>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</si>
  <si>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</si>
  <si>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</si>
  <si>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</si>
  <si>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</si>
  <si>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</si>
  <si>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</si>
  <si>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</si>
  <si>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</si>
  <si>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</si>
  <si>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</si>
  <si>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</si>
  <si>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</si>
  <si>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</si>
  <si>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</si>
  <si>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</si>
  <si>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</si>
  <si>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</si>
  <si>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</si>
  <si>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</si>
  <si>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</si>
  <si>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</si>
  <si>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</si>
  <si>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</si>
  <si>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</si>
  <si>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</si>
  <si>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</si>
  <si>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</si>
  <si>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</si>
  <si>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</si>
  <si>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</si>
  <si>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</si>
  <si>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</si>
  <si>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</si>
  <si>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</si>
  <si>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</si>
  <si>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</si>
  <si>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</si>
  <si>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</si>
  <si>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</si>
  <si>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</si>
  <si>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</si>
  <si>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</si>
  <si>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</si>
  <si>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</si>
  <si>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</si>
  <si>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</si>
  <si>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</si>
  <si>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</si>
  <si>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</si>
  <si>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</si>
  <si>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</si>
  <si>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</si>
  <si>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</si>
  <si>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</si>
  <si>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</si>
  <si>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</si>
  <si>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</si>
  <si>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</si>
  <si>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</si>
  <si>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</si>
  <si>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</si>
  <si>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</si>
  <si>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</si>
  <si>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</si>
  <si>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</si>
  <si>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</si>
  <si>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</si>
  <si>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</si>
  <si>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</si>
  <si>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</si>
  <si>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</si>
  <si>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</si>
  <si>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</si>
  <si>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</si>
  <si>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</si>
  <si>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</si>
  <si>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</si>
  <si>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</si>
  <si>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</si>
  <si>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</si>
  <si>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</si>
  <si>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</si>
  <si>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</si>
  <si>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</si>
  <si>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</si>
  <si>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</si>
  <si>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</si>
  <si>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</si>
  <si>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</si>
  <si>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</si>
  <si>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</si>
  <si>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</si>
  <si>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</si>
  <si>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</si>
  <si>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</si>
  <si>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</si>
  <si>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</si>
  <si>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</si>
  <si>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</si>
  <si>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</si>
  <si>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</si>
  <si>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</si>
  <si>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</si>
  <si>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</si>
  <si>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</si>
  <si>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</si>
  <si>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</si>
  <si>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</si>
  <si>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</si>
  <si>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</si>
  <si>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</si>
  <si>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</si>
  <si>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</si>
  <si>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</si>
  <si>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</si>
  <si>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</si>
  <si>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</si>
  <si>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</si>
  <si>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</si>
  <si>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</si>
  <si>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</si>
  <si>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</si>
  <si>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</si>
  <si>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</si>
  <si>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</si>
  <si>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</si>
  <si>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</si>
  <si>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</si>
  <si>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</si>
  <si>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</si>
  <si>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</si>
  <si>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</si>
  <si>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</si>
  <si>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</si>
  <si>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</si>
  <si>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</si>
  <si>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</si>
  <si>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</si>
  <si>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</si>
  <si>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</si>
  <si>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</si>
  <si>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</si>
  <si>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</si>
  <si>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</si>
  <si>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</si>
  <si>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</si>
  <si>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</si>
  <si>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</si>
  <si>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</si>
  <si>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</si>
  <si>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</si>
  <si>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</si>
  <si>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</si>
  <si>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</si>
  <si>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</si>
  <si>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</si>
  <si>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</si>
  <si>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</si>
  <si>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</si>
  <si>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</si>
  <si>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</si>
  <si>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</si>
  <si>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</si>
  <si>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</si>
  <si>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</si>
  <si>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</si>
  <si>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</si>
  <si>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</si>
  <si>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</si>
  <si>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</si>
  <si>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</si>
  <si>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</si>
  <si>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</si>
  <si>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</si>
  <si>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</si>
  <si>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</si>
  <si>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</si>
  <si>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</si>
  <si>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</si>
  <si>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</si>
  <si>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</si>
  <si>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</si>
  <si>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</si>
  <si>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</si>
  <si>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</si>
  <si>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</si>
  <si>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</si>
  <si>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</si>
  <si>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</si>
  <si>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</si>
  <si>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</si>
  <si>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</si>
  <si>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</si>
  <si>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</si>
  <si>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</si>
  <si>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</si>
  <si>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</si>
  <si>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</si>
  <si>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</si>
  <si>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</si>
  <si>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</si>
  <si>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</si>
  <si>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</si>
  <si>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</si>
  <si>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</si>
  <si>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</si>
  <si>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</si>
  <si>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</si>
  <si>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</si>
  <si>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</si>
  <si>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</si>
  <si>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</si>
  <si>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</si>
  <si>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</si>
  <si>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</si>
  <si>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</si>
  <si>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</si>
  <si>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</si>
  <si>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</si>
  <si>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</si>
  <si>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</si>
  <si>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</si>
  <si>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</si>
  <si>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</si>
  <si>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</si>
  <si>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</si>
  <si>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</si>
  <si>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</si>
  <si>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</si>
  <si>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</si>
  <si>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</si>
  <si>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</si>
  <si>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</si>
  <si>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</si>
  <si>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</si>
  <si>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</si>
  <si>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</si>
  <si>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</si>
  <si>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</si>
  <si>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</si>
  <si>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</si>
  <si>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</si>
  <si>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</si>
  <si>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</si>
  <si>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</si>
  <si>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</si>
  <si>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</si>
  <si>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</si>
  <si>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</si>
  <si>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</si>
  <si>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</si>
  <si>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</si>
  <si>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</si>
  <si>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</si>
  <si>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</si>
  <si>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</si>
  <si>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</si>
  <si>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</si>
  <si>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</si>
  <si>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</si>
  <si>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</si>
  <si>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</si>
  <si>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</si>
  <si>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</si>
  <si>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</si>
  <si>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</si>
  <si>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</si>
  <si>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</si>
  <si>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</si>
  <si>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</si>
  <si>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</si>
  <si>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</si>
  <si>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</si>
  <si>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</si>
  <si>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</si>
  <si>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</si>
  <si>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</si>
  <si>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</si>
  <si>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</si>
  <si>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</si>
  <si>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</si>
  <si>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</si>
  <si>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</si>
  <si>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</si>
  <si>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</si>
  <si>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</si>
  <si>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</si>
  <si>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</si>
  <si>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</si>
  <si>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</si>
  <si>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</si>
  <si>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</si>
  <si>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</si>
  <si>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</si>
  <si>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</si>
  <si>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</si>
  <si>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</si>
  <si>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</si>
  <si>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</si>
  <si>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</si>
  <si>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</si>
  <si>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</si>
  <si>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</si>
  <si>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</si>
  <si>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</si>
  <si>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</si>
  <si>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</si>
  <si>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</si>
  <si>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</si>
  <si>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</si>
  <si>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</si>
  <si>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</si>
  <si>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</si>
  <si>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</si>
  <si>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</si>
  <si>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</si>
  <si>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</si>
  <si>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</si>
  <si>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</si>
  <si>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</si>
  <si>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</si>
  <si>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</si>
  <si>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</si>
  <si>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</si>
  <si>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</si>
  <si>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</si>
  <si>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</si>
  <si>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</si>
  <si>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</si>
  <si>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</si>
  <si>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</si>
  <si>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</si>
  <si>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Updated Nov-21</t>
  </si>
  <si>
    <t>Other legislation (what we haven't accounted for to make our underlying social benefits equal to the counterfactual underlying benefits) and add factor to match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</si>
</sst>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0.00000"/>
  </numFmts>
  <fonts count="62"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sz val="11"/>
      <color theme="1"/>
      <name val="Calibri"/>
      <family val="2"/>
    </font>
    <font>
      <u/>
      <sz val="11"/>
      <color theme="10"/>
      <name val="Calibri"/>
      <family val="2"/>
      <scheme val="minor"/>
    </font>
    <font>
      <b/>
      <sz val="11"/>
      <color theme="1"/>
      <name val="Calibri"/>
      <family val="2"/>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b/>
      <sz val="11"/>
      <color rgb="FF000000"/>
      <name val="Arial"/>
      <family val="2"/>
    </font>
    <font>
      <sz val="11"/>
      <color rgb="FF000000"/>
      <name val="Arial"/>
      <family val="2"/>
    </font>
    <font>
      <sz val="7"/>
      <color rgb="FF242424"/>
      <name val="Segoe UI"/>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i/>
      <sz val="11"/>
      <color rgb="FF000000"/>
      <name val="Arial"/>
      <family val="2"/>
    </font>
    <font>
      <b/>
      <sz val="11"/>
      <color theme="0"/>
      <name val="Arial"/>
      <family val="2"/>
    </font>
    <font>
      <sz val="11"/>
      <color rgb="FF1F497D"/>
      <name val="Arial"/>
      <family val="2"/>
    </font>
    <font>
      <sz val="8.5"/>
      <color rgb="FF000000"/>
      <name val="Arial"/>
      <family val="2"/>
    </font>
    <font>
      <sz val="8.5"/>
      <color theme="1"/>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E7E6E6"/>
      </patternFill>
    </fill>
    <fill>
      <patternFill patternType="solid">
        <fgColor theme="3" tint="0.79998168889431442"/>
        <bgColor indexed="64"/>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79">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medium">
        <color rgb="FFFFFF00"/>
      </left>
      <right/>
      <top style="medium">
        <color rgb="FFFFFF00"/>
      </top>
      <bottom/>
      <diagonal/>
    </border>
    <border>
      <left/>
      <right/>
      <top style="medium">
        <color rgb="FFFFFF00"/>
      </top>
      <bottom/>
      <diagonal/>
    </border>
    <border>
      <left style="thin">
        <color indexed="64"/>
      </left>
      <right/>
      <top style="medium">
        <color rgb="FFFFFF00"/>
      </top>
      <bottom/>
      <diagonal/>
    </border>
    <border>
      <left/>
      <right style="thin">
        <color indexed="64"/>
      </right>
      <top style="medium">
        <color rgb="FFFFFF00"/>
      </top>
      <bottom/>
      <diagonal/>
    </border>
    <border>
      <left/>
      <right style="medium">
        <color rgb="FFFFFF00"/>
      </right>
      <top style="medium">
        <color rgb="FFFFFF00"/>
      </top>
      <bottom/>
      <diagonal/>
    </border>
    <border>
      <left style="medium">
        <color rgb="FFFFFF00"/>
      </left>
      <right/>
      <top/>
      <bottom/>
      <diagonal/>
    </border>
    <border>
      <left/>
      <right style="medium">
        <color rgb="FFFFFF00"/>
      </right>
      <top/>
      <bottom/>
      <diagonal/>
    </border>
    <border>
      <left style="medium">
        <color rgb="FFFFFF00"/>
      </left>
      <right/>
      <top/>
      <bottom style="medium">
        <color rgb="FFFFFF00"/>
      </bottom>
      <diagonal/>
    </border>
    <border>
      <left/>
      <right/>
      <top/>
      <bottom style="medium">
        <color rgb="FFFFFF00"/>
      </bottom>
      <diagonal/>
    </border>
    <border>
      <left style="thin">
        <color indexed="64"/>
      </left>
      <right/>
      <top/>
      <bottom style="medium">
        <color rgb="FFFFFF00"/>
      </bottom>
      <diagonal/>
    </border>
    <border>
      <left/>
      <right style="thin">
        <color indexed="64"/>
      </right>
      <top/>
      <bottom style="medium">
        <color rgb="FFFFFF00"/>
      </bottom>
      <diagonal/>
    </border>
    <border>
      <left/>
      <right style="medium">
        <color rgb="FFFFFF00"/>
      </right>
      <top/>
      <bottom style="medium">
        <color rgb="FFFFFF00"/>
      </bottom>
      <diagonal/>
    </border>
    <border>
      <left style="medium">
        <color rgb="FFFFFF00"/>
      </left>
      <right/>
      <top/>
      <bottom style="thin">
        <color indexed="64"/>
      </bottom>
      <diagonal/>
    </border>
    <border>
      <left/>
      <right style="medium">
        <color rgb="FFFFFF00"/>
      </right>
      <top/>
      <bottom style="thin">
        <color indexed="64"/>
      </bottom>
      <diagonal/>
    </border>
    <border>
      <left style="medium">
        <color rgb="FFFFFF00"/>
      </left>
      <right/>
      <top style="thin">
        <color auto="1"/>
      </top>
      <bottom style="medium">
        <color rgb="FFFFFF00"/>
      </bottom>
      <diagonal/>
    </border>
    <border>
      <left/>
      <right/>
      <top style="thin">
        <color auto="1"/>
      </top>
      <bottom style="medium">
        <color rgb="FFFFFF00"/>
      </bottom>
      <diagonal/>
    </border>
    <border>
      <left/>
      <right style="medium">
        <color rgb="FFFFFF00"/>
      </right>
      <top style="thin">
        <color auto="1"/>
      </top>
      <bottom style="medium">
        <color rgb="FFFFFF00"/>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2">
    <xf numFmtId="0" fontId="0" fillId="0" borderId="0"/>
    <xf numFmtId="9" fontId="14" fillId="0" borderId="0" applyFont="0" applyFill="0" applyBorder="0" applyAlignment="0" applyProtection="0"/>
  </cellStyleXfs>
  <cellXfs count="139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0" fontId="16" fillId="0" borderId="0" xfId="0" applyFont="1"/>
    <xf numFmtId="0" fontId="16" fillId="0" borderId="0" xfId="0" applyFont="1" applyAlignment="1">
      <alignment horizontal="center"/>
    </xf>
    <xf numFmtId="1" fontId="16" fillId="0" borderId="0" xfId="0" applyNumberFormat="1" applyFont="1" applyAlignment="1">
      <alignment horizontal="center"/>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4" fillId="0" borderId="15" xfId="0" applyFont="1" applyBorder="1"/>
    <xf numFmtId="0" fontId="1" fillId="8" borderId="0" xfId="0" applyFont="1" applyFill="1"/>
    <xf numFmtId="0" fontId="1" fillId="8" borderId="16" xfId="0" applyFont="1" applyFill="1" applyBorder="1"/>
    <xf numFmtId="0" fontId="1" fillId="8" borderId="16" xfId="0" applyFont="1" applyFill="1" applyBorder="1" applyAlignment="1">
      <alignment horizontal="left"/>
    </xf>
    <xf numFmtId="0" fontId="1" fillId="8" borderId="17" xfId="0" applyFont="1" applyFill="1" applyBorder="1"/>
    <xf numFmtId="0" fontId="1" fillId="0" borderId="0" xfId="0" applyFont="1" applyAlignment="1">
      <alignment horizontal="left" vertical="center" indent="2"/>
    </xf>
    <xf numFmtId="0" fontId="1" fillId="0" borderId="0" xfId="0" applyFont="1" applyAlignment="1">
      <alignment horizontal="center"/>
    </xf>
    <xf numFmtId="0" fontId="14" fillId="0" borderId="0" xfId="0" applyFont="1"/>
    <xf numFmtId="0" fontId="17" fillId="0" borderId="0" xfId="0" applyFont="1"/>
    <xf numFmtId="0" fontId="18" fillId="9" borderId="18" xfId="0" applyFont="1" applyFill="1" applyBorder="1"/>
    <xf numFmtId="0" fontId="18" fillId="0" borderId="16" xfId="0" applyFont="1" applyBorder="1"/>
    <xf numFmtId="165" fontId="4" fillId="9" borderId="19" xfId="0" applyNumberFormat="1" applyFont="1" applyFill="1" applyBorder="1" applyAlignment="1">
      <alignment horizontal="right"/>
    </xf>
    <xf numFmtId="165" fontId="4" fillId="0" borderId="20" xfId="0" applyNumberFormat="1" applyFont="1" applyBorder="1" applyAlignment="1">
      <alignment horizontal="right"/>
    </xf>
    <xf numFmtId="0" fontId="1" fillId="9" borderId="16" xfId="0" applyFont="1" applyFill="1" applyBorder="1"/>
    <xf numFmtId="165" fontId="4" fillId="9" borderId="21" xfId="0" applyNumberFormat="1" applyFont="1" applyFill="1" applyBorder="1" applyAlignment="1">
      <alignment horizontal="right"/>
    </xf>
    <xf numFmtId="165" fontId="4" fillId="9" borderId="22" xfId="0" applyNumberFormat="1" applyFont="1" applyFill="1" applyBorder="1" applyAlignment="1">
      <alignment horizontal="right"/>
    </xf>
    <xf numFmtId="165" fontId="4" fillId="0" borderId="23" xfId="0" applyNumberFormat="1" applyFont="1" applyBorder="1" applyAlignment="1">
      <alignment horizontal="right"/>
    </xf>
    <xf numFmtId="165" fontId="4" fillId="0" borderId="24" xfId="0" applyNumberFormat="1" applyFont="1" applyBorder="1" applyAlignment="1">
      <alignment horizontal="right"/>
    </xf>
    <xf numFmtId="165" fontId="4" fillId="9" borderId="20" xfId="0" applyNumberFormat="1" applyFont="1" applyFill="1" applyBorder="1" applyAlignment="1">
      <alignment horizontal="right"/>
    </xf>
    <xf numFmtId="165" fontId="4" fillId="9" borderId="24" xfId="0" applyNumberFormat="1" applyFont="1" applyFill="1" applyBorder="1" applyAlignment="1">
      <alignment horizontal="right"/>
    </xf>
    <xf numFmtId="165" fontId="4" fillId="0" borderId="25" xfId="0" applyNumberFormat="1" applyFont="1" applyBorder="1" applyAlignment="1">
      <alignment horizontal="right"/>
    </xf>
    <xf numFmtId="165" fontId="4" fillId="0" borderId="26" xfId="0" applyNumberFormat="1" applyFont="1" applyBorder="1" applyAlignment="1">
      <alignment horizontal="right"/>
    </xf>
    <xf numFmtId="0" fontId="16" fillId="0" borderId="27" xfId="0" applyFont="1" applyBorder="1" applyAlignment="1">
      <alignment horizontal="center"/>
    </xf>
    <xf numFmtId="0" fontId="16" fillId="0" borderId="28" xfId="0" applyFont="1" applyBorder="1" applyAlignment="1">
      <alignment horizontal="center"/>
    </xf>
    <xf numFmtId="0" fontId="16" fillId="0" borderId="29" xfId="0" applyFont="1" applyBorder="1" applyAlignment="1">
      <alignment horizontal="center"/>
    </xf>
    <xf numFmtId="165" fontId="16" fillId="9" borderId="20" xfId="0" applyNumberFormat="1" applyFont="1" applyFill="1" applyBorder="1" applyAlignment="1">
      <alignment horizontal="right"/>
    </xf>
    <xf numFmtId="165" fontId="16" fillId="9" borderId="23" xfId="0" applyNumberFormat="1" applyFont="1" applyFill="1" applyBorder="1" applyAlignment="1">
      <alignment horizontal="right"/>
    </xf>
    <xf numFmtId="165" fontId="16" fillId="9" borderId="24" xfId="0" applyNumberFormat="1" applyFont="1" applyFill="1" applyBorder="1" applyAlignment="1">
      <alignment horizontal="right"/>
    </xf>
    <xf numFmtId="0" fontId="1" fillId="0" borderId="16" xfId="0" applyFont="1" applyBorder="1"/>
    <xf numFmtId="165" fontId="16" fillId="0" borderId="20" xfId="0" applyNumberFormat="1" applyFont="1" applyBorder="1" applyAlignment="1">
      <alignment horizontal="right"/>
    </xf>
    <xf numFmtId="165" fontId="16" fillId="0" borderId="23" xfId="0" applyNumberFormat="1" applyFont="1" applyBorder="1" applyAlignment="1">
      <alignment horizontal="right"/>
    </xf>
    <xf numFmtId="165" fontId="16" fillId="0" borderId="24" xfId="0" applyNumberFormat="1" applyFont="1" applyBorder="1" applyAlignment="1">
      <alignment horizontal="right"/>
    </xf>
    <xf numFmtId="0" fontId="18" fillId="9" borderId="16" xfId="0" applyFont="1" applyFill="1" applyBorder="1"/>
    <xf numFmtId="0" fontId="2" fillId="9" borderId="16" xfId="0" applyFont="1" applyFill="1" applyBorder="1"/>
    <xf numFmtId="0" fontId="2" fillId="0" borderId="16" xfId="0" applyFont="1" applyBorder="1"/>
    <xf numFmtId="0" fontId="4" fillId="0" borderId="0" xfId="0" applyFont="1" applyAlignment="1">
      <alignment horizontal="center"/>
    </xf>
    <xf numFmtId="0" fontId="2" fillId="0" borderId="16" xfId="0" applyFont="1" applyBorder="1" applyAlignment="1">
      <alignment horizontal="left"/>
    </xf>
    <xf numFmtId="0" fontId="1" fillId="0" borderId="31" xfId="0" applyFont="1" applyBorder="1" applyAlignment="1">
      <alignment horizontal="center"/>
    </xf>
    <xf numFmtId="0" fontId="1" fillId="0" borderId="16" xfId="0" applyFont="1" applyBorder="1" applyAlignment="1">
      <alignment horizontal="left"/>
    </xf>
    <xf numFmtId="0" fontId="14" fillId="9" borderId="16" xfId="0" applyFont="1" applyFill="1" applyBorder="1" applyAlignment="1">
      <alignment horizontal="left"/>
    </xf>
    <xf numFmtId="0" fontId="14" fillId="0" borderId="16" xfId="0" applyFont="1" applyBorder="1" applyAlignment="1">
      <alignment horizontal="left"/>
    </xf>
    <xf numFmtId="165" fontId="4" fillId="9" borderId="23" xfId="0" applyNumberFormat="1" applyFont="1" applyFill="1" applyBorder="1" applyAlignment="1">
      <alignment horizontal="right"/>
    </xf>
    <xf numFmtId="165" fontId="4" fillId="0" borderId="33" xfId="0" applyNumberFormat="1" applyFont="1" applyBorder="1" applyAlignment="1">
      <alignment horizontal="right"/>
    </xf>
    <xf numFmtId="0" fontId="13" fillId="0" borderId="16" xfId="0" applyFont="1" applyBorder="1" applyAlignment="1">
      <alignment horizontal="left" indent="3"/>
    </xf>
    <xf numFmtId="0" fontId="18" fillId="0" borderId="34" xfId="0" applyFont="1" applyBorder="1"/>
    <xf numFmtId="0" fontId="1" fillId="10" borderId="16" xfId="0" applyFont="1" applyFill="1" applyBorder="1"/>
    <xf numFmtId="0" fontId="4" fillId="0" borderId="35"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8" borderId="3" xfId="0" applyNumberFormat="1" applyFont="1" applyFill="1" applyBorder="1"/>
    <xf numFmtId="2" fontId="1" fillId="8" borderId="36" xfId="0" applyNumberFormat="1" applyFont="1" applyFill="1" applyBorder="1"/>
    <xf numFmtId="2" fontId="1" fillId="10" borderId="36" xfId="0" applyNumberFormat="1" applyFont="1" applyFill="1" applyBorder="1"/>
    <xf numFmtId="9" fontId="1" fillId="0" borderId="8" xfId="0" applyNumberFormat="1" applyFont="1" applyBorder="1"/>
    <xf numFmtId="0" fontId="1" fillId="0" borderId="37" xfId="0" applyFont="1" applyBorder="1" applyAlignment="1">
      <alignment horizontal="center"/>
    </xf>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applyAlignment="1">
      <alignment horizontal="center"/>
    </xf>
    <xf numFmtId="0" fontId="1" fillId="0" borderId="42" xfId="0" applyFont="1" applyBorder="1"/>
    <xf numFmtId="0" fontId="4" fillId="9" borderId="0" xfId="0" applyFont="1" applyFill="1"/>
    <xf numFmtId="0" fontId="1" fillId="9" borderId="0" xfId="0" applyFont="1" applyFill="1"/>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15" fillId="11" borderId="44" xfId="0" applyFont="1" applyFill="1" applyBorder="1" applyAlignment="1">
      <alignment horizontal="center"/>
    </xf>
    <xf numFmtId="165" fontId="3" fillId="0" borderId="0" xfId="0" applyNumberFormat="1" applyFont="1" applyAlignment="1">
      <alignment horizontal="center"/>
    </xf>
    <xf numFmtId="0" fontId="3" fillId="0" borderId="6"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1" borderId="8" xfId="0" applyFont="1" applyFill="1" applyBorder="1" applyAlignment="1">
      <alignment horizontal="center"/>
    </xf>
    <xf numFmtId="0" fontId="3" fillId="0" borderId="7"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8"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12" xfId="0" applyNumberFormat="1" applyFont="1" applyFill="1" applyBorder="1" applyAlignment="1">
      <alignment horizontal="right"/>
    </xf>
    <xf numFmtId="14" fontId="3" fillId="11"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0" fontId="3" fillId="11" borderId="6" xfId="0" applyFont="1" applyFill="1" applyBorder="1" applyAlignment="1">
      <alignment horizontal="center"/>
    </xf>
    <xf numFmtId="2" fontId="3" fillId="0" borderId="8" xfId="0" applyNumberFormat="1" applyFont="1" applyBorder="1" applyAlignment="1">
      <alignment horizontal="center"/>
    </xf>
    <xf numFmtId="0" fontId="3" fillId="11" borderId="7"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0" fontId="3" fillId="11" borderId="6" xfId="0" applyFont="1" applyFill="1" applyBorder="1" applyAlignment="1">
      <alignment horizontal="center" wrapText="1"/>
    </xf>
    <xf numFmtId="0" fontId="3" fillId="0" borderId="1" xfId="0" applyFont="1" applyBorder="1" applyAlignment="1">
      <alignment wrapText="1"/>
    </xf>
    <xf numFmtId="0" fontId="3" fillId="11" borderId="7" xfId="0" applyFont="1" applyFill="1" applyBorder="1" applyAlignment="1">
      <alignment horizontal="center" wrapText="1"/>
    </xf>
    <xf numFmtId="0" fontId="3" fillId="7" borderId="14" xfId="0" applyFont="1" applyFill="1" applyBorder="1"/>
    <xf numFmtId="0" fontId="3" fillId="11" borderId="5" xfId="0" applyFont="1" applyFill="1" applyBorder="1"/>
    <xf numFmtId="0" fontId="3" fillId="7"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1" borderId="45" xfId="0" applyFont="1" applyFill="1" applyBorder="1" applyAlignment="1">
      <alignment horizontal="center" wrapText="1"/>
    </xf>
    <xf numFmtId="0" fontId="3" fillId="11" borderId="46" xfId="0" applyFont="1" applyFill="1" applyBorder="1" applyAlignment="1">
      <alignment horizontal="center" wrapText="1"/>
    </xf>
    <xf numFmtId="14" fontId="3" fillId="11" borderId="14" xfId="0" applyNumberFormat="1" applyFont="1" applyFill="1" applyBorder="1" applyAlignment="1">
      <alignment horizontal="right"/>
    </xf>
    <xf numFmtId="3" fontId="3" fillId="0" borderId="0" xfId="0" applyNumberFormat="1" applyFont="1"/>
    <xf numFmtId="0" fontId="13" fillId="0" borderId="47" xfId="0" applyFont="1" applyBorder="1" applyAlignment="1">
      <alignment horizontal="left" wrapText="1" indent="2"/>
    </xf>
    <xf numFmtId="0" fontId="1" fillId="0" borderId="48" xfId="0" applyFont="1" applyBorder="1" applyAlignment="1">
      <alignment horizontal="left" wrapText="1" indent="2"/>
    </xf>
    <xf numFmtId="0" fontId="1" fillId="0" borderId="49" xfId="0" applyFont="1" applyBorder="1" applyAlignment="1">
      <alignment horizontal="left" wrapText="1" indent="2"/>
    </xf>
    <xf numFmtId="165" fontId="1" fillId="0" borderId="48" xfId="0" applyNumberFormat="1" applyFont="1" applyBorder="1" applyAlignment="1">
      <alignment horizontal="center"/>
    </xf>
    <xf numFmtId="165" fontId="1" fillId="0" borderId="50" xfId="0" applyNumberFormat="1" applyFont="1" applyBorder="1" applyAlignment="1">
      <alignment horizontal="center"/>
    </xf>
    <xf numFmtId="165" fontId="1" fillId="0" borderId="49" xfId="0" applyNumberFormat="1" applyFont="1" applyBorder="1" applyAlignment="1">
      <alignment horizontal="center"/>
    </xf>
    <xf numFmtId="165" fontId="1" fillId="7" borderId="48" xfId="0" applyNumberFormat="1" applyFont="1" applyFill="1" applyBorder="1" applyAlignment="1">
      <alignment horizontal="center"/>
    </xf>
    <xf numFmtId="165" fontId="1" fillId="7" borderId="51" xfId="0" applyNumberFormat="1" applyFont="1" applyFill="1" applyBorder="1" applyAlignment="1">
      <alignment horizontal="center"/>
    </xf>
    <xf numFmtId="0" fontId="1" fillId="0" borderId="52" xfId="0" applyFont="1" applyBorder="1" applyAlignment="1">
      <alignment horizontal="left" wrapText="1" indent="2"/>
    </xf>
    <xf numFmtId="0" fontId="1" fillId="0" borderId="0" xfId="0" applyFont="1" applyAlignment="1">
      <alignment horizontal="left" wrapText="1" indent="2"/>
    </xf>
    <xf numFmtId="165" fontId="1" fillId="0" borderId="0" xfId="0" applyNumberFormat="1" applyFont="1" applyAlignment="1">
      <alignment horizontal="center"/>
    </xf>
    <xf numFmtId="165" fontId="1" fillId="7" borderId="0" xfId="0" applyNumberFormat="1" applyFont="1" applyFill="1" applyAlignment="1">
      <alignment horizontal="center"/>
    </xf>
    <xf numFmtId="0" fontId="1" fillId="7" borderId="53" xfId="0" applyFont="1" applyFill="1" applyBorder="1" applyAlignment="1">
      <alignment horizontal="center"/>
    </xf>
    <xf numFmtId="0" fontId="1" fillId="0" borderId="52" xfId="0" applyFont="1" applyBorder="1" applyAlignment="1">
      <alignment horizontal="left"/>
    </xf>
    <xf numFmtId="0" fontId="1" fillId="7" borderId="0" xfId="0" applyFont="1" applyFill="1" applyAlignment="1">
      <alignment horizontal="center"/>
    </xf>
    <xf numFmtId="0" fontId="1" fillId="0" borderId="52" xfId="0" applyFont="1" applyBorder="1" applyAlignment="1">
      <alignment horizontal="left" indent="2"/>
    </xf>
    <xf numFmtId="168" fontId="1" fillId="7" borderId="0" xfId="0" applyNumberFormat="1" applyFont="1" applyFill="1" applyAlignment="1">
      <alignment horizontal="center"/>
    </xf>
    <xf numFmtId="0" fontId="1" fillId="0" borderId="54" xfId="0" applyFont="1" applyBorder="1" applyAlignment="1">
      <alignment horizontal="left" indent="2"/>
    </xf>
    <xf numFmtId="0" fontId="1" fillId="0" borderId="55" xfId="0" applyFont="1" applyBorder="1" applyAlignment="1">
      <alignment horizontal="left" indent="2"/>
    </xf>
    <xf numFmtId="0" fontId="1" fillId="0" borderId="56" xfId="0" applyFont="1" applyBorder="1" applyAlignment="1">
      <alignment horizontal="left" indent="2"/>
    </xf>
    <xf numFmtId="0" fontId="1" fillId="0" borderId="55" xfId="0" applyFont="1" applyBorder="1" applyAlignment="1">
      <alignment horizontal="center"/>
    </xf>
    <xf numFmtId="0" fontId="1" fillId="0" borderId="57" xfId="0" applyFont="1" applyBorder="1" applyAlignment="1">
      <alignment horizontal="center"/>
    </xf>
    <xf numFmtId="0" fontId="1" fillId="0" borderId="56" xfId="0" applyFont="1" applyBorder="1" applyAlignment="1">
      <alignment horizontal="center"/>
    </xf>
    <xf numFmtId="168" fontId="1" fillId="7" borderId="55" xfId="0" applyNumberFormat="1" applyFont="1" applyFill="1" applyBorder="1" applyAlignment="1">
      <alignment horizontal="center"/>
    </xf>
    <xf numFmtId="0" fontId="1" fillId="7" borderId="58" xfId="0" applyFont="1" applyFill="1" applyBorder="1" applyAlignment="1">
      <alignment horizontal="center"/>
    </xf>
    <xf numFmtId="165" fontId="1" fillId="0" borderId="0" xfId="0" applyNumberFormat="1" applyFont="1"/>
    <xf numFmtId="0" fontId="3" fillId="11" borderId="3" xfId="0" applyFont="1" applyFill="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1" fillId="11"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0" fontId="1" fillId="0" borderId="6" xfId="0" applyFont="1" applyBorder="1" applyAlignment="1">
      <alignment horizontal="left" indent="2"/>
    </xf>
    <xf numFmtId="168" fontId="1" fillId="7" borderId="7" xfId="0" applyNumberFormat="1" applyFont="1" applyFill="1" applyBorder="1" applyAlignment="1">
      <alignment horizontal="center"/>
    </xf>
    <xf numFmtId="0" fontId="1" fillId="7" borderId="8" xfId="0" applyFont="1" applyFill="1" applyBorder="1" applyAlignment="1">
      <alignment horizontal="center"/>
    </xf>
    <xf numFmtId="0" fontId="1" fillId="11"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7"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1" borderId="12"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0" fontId="1" fillId="0" borderId="8" xfId="0" applyFont="1" applyBorder="1" applyAlignment="1">
      <alignment horizontal="center"/>
    </xf>
    <xf numFmtId="0" fontId="1" fillId="8" borderId="13" xfId="0" applyFont="1" applyFill="1" applyBorder="1" applyAlignment="1">
      <alignment horizontal="center"/>
    </xf>
    <xf numFmtId="165" fontId="1" fillId="8" borderId="8"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0" fontId="3" fillId="0" borderId="54" xfId="0" applyFont="1" applyBorder="1"/>
    <xf numFmtId="0" fontId="3" fillId="0" borderId="55" xfId="0" applyFont="1" applyBorder="1"/>
    <xf numFmtId="0" fontId="3" fillId="0" borderId="56" xfId="0" applyFont="1" applyBorder="1" applyAlignment="1">
      <alignment horizontal="center"/>
    </xf>
    <xf numFmtId="0" fontId="3" fillId="0" borderId="55" xfId="0" applyFont="1" applyBorder="1" applyAlignment="1">
      <alignment horizontal="center"/>
    </xf>
    <xf numFmtId="165" fontId="3" fillId="0" borderId="55" xfId="0" applyNumberFormat="1" applyFont="1" applyBorder="1" applyAlignment="1">
      <alignment horizontal="center"/>
    </xf>
    <xf numFmtId="168" fontId="3" fillId="0" borderId="55" xfId="0" applyNumberFormat="1" applyFont="1" applyBorder="1" applyAlignment="1">
      <alignment horizontal="center"/>
    </xf>
    <xf numFmtId="165" fontId="3" fillId="7" borderId="56" xfId="0" applyNumberFormat="1" applyFont="1" applyFill="1" applyBorder="1" applyAlignment="1">
      <alignment horizontal="center"/>
    </xf>
    <xf numFmtId="165" fontId="3" fillId="7" borderId="55" xfId="0" applyNumberFormat="1" applyFont="1" applyFill="1" applyBorder="1" applyAlignment="1">
      <alignment horizontal="center"/>
    </xf>
    <xf numFmtId="165" fontId="3" fillId="7" borderId="58" xfId="0" applyNumberFormat="1" applyFont="1" applyFill="1" applyBorder="1" applyAlignment="1">
      <alignment horizontal="center"/>
    </xf>
    <xf numFmtId="0" fontId="15" fillId="0" borderId="0" xfId="0" applyFont="1" applyAlignment="1">
      <alignment horizontal="left" vertical="top" wrapText="1"/>
    </xf>
    <xf numFmtId="0" fontId="3" fillId="7" borderId="5" xfId="0" applyFont="1" applyFill="1" applyBorder="1" applyAlignment="1">
      <alignment horizontal="center"/>
    </xf>
    <xf numFmtId="0" fontId="3" fillId="7" borderId="2" xfId="0" applyFont="1" applyFill="1" applyBorder="1" applyAlignment="1">
      <alignment horizontal="center"/>
    </xf>
    <xf numFmtId="3" fontId="3" fillId="7" borderId="3" xfId="0" applyNumberFormat="1" applyFont="1" applyFill="1" applyBorder="1" applyAlignment="1">
      <alignment horizontal="center"/>
    </xf>
    <xf numFmtId="165" fontId="22" fillId="0" borderId="1" xfId="0" applyNumberFormat="1" applyFont="1" applyBorder="1" applyAlignment="1">
      <alignment horizontal="center"/>
    </xf>
    <xf numFmtId="165" fontId="22" fillId="0" borderId="0" xfId="0" applyNumberFormat="1" applyFont="1" applyAlignment="1">
      <alignment horizontal="center"/>
    </xf>
    <xf numFmtId="3" fontId="22" fillId="0" borderId="0" xfId="0" applyNumberFormat="1" applyFont="1" applyAlignment="1">
      <alignment horizontal="center"/>
    </xf>
    <xf numFmtId="3" fontId="22" fillId="7" borderId="0" xfId="0" applyNumberFormat="1" applyFont="1" applyFill="1" applyAlignment="1">
      <alignment horizontal="center"/>
    </xf>
    <xf numFmtId="3" fontId="22" fillId="7" borderId="3" xfId="0" applyNumberFormat="1" applyFont="1" applyFill="1" applyBorder="1" applyAlignment="1">
      <alignment horizontal="center"/>
    </xf>
    <xf numFmtId="3" fontId="3" fillId="7" borderId="2" xfId="0" applyNumberFormat="1" applyFont="1" applyFill="1" applyBorder="1" applyAlignment="1">
      <alignment horizontal="center"/>
    </xf>
    <xf numFmtId="0" fontId="22"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7" xfId="0" applyFont="1" applyBorder="1"/>
    <xf numFmtId="165" fontId="3" fillId="7" borderId="0" xfId="0" applyNumberFormat="1" applyFont="1" applyFill="1" applyAlignment="1">
      <alignment horizontal="center"/>
    </xf>
    <xf numFmtId="165" fontId="3" fillId="7" borderId="3" xfId="0" applyNumberFormat="1" applyFont="1" applyFill="1" applyBorder="1" applyAlignment="1">
      <alignment horizontal="center"/>
    </xf>
    <xf numFmtId="165" fontId="3" fillId="7" borderId="7"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7" xfId="0" applyNumberFormat="1" applyFont="1" applyFill="1" applyBorder="1" applyAlignment="1">
      <alignment horizontal="center"/>
    </xf>
    <xf numFmtId="0" fontId="3" fillId="0" borderId="1" xfId="0" applyFont="1" applyBorder="1" applyAlignment="1">
      <alignment horizontal="left" wrapText="1"/>
    </xf>
    <xf numFmtId="0" fontId="22" fillId="0" borderId="1" xfId="0" applyFont="1" applyBorder="1" applyAlignment="1">
      <alignment horizontal="left" wrapText="1"/>
    </xf>
    <xf numFmtId="168" fontId="3" fillId="0" borderId="0" xfId="0" applyNumberFormat="1" applyFont="1"/>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8" xfId="0" applyFont="1" applyFill="1" applyBorder="1" applyAlignment="1">
      <alignment horizontal="center"/>
    </xf>
    <xf numFmtId="165" fontId="3" fillId="7" borderId="8" xfId="0" applyNumberFormat="1" applyFont="1" applyFill="1" applyBorder="1" applyAlignment="1">
      <alignment horizontal="center"/>
    </xf>
    <xf numFmtId="0" fontId="3" fillId="7" borderId="13" xfId="0" applyFont="1" applyFill="1" applyBorder="1" applyAlignment="1">
      <alignment horizontal="center"/>
    </xf>
    <xf numFmtId="0" fontId="22" fillId="0" borderId="0" xfId="0" applyFont="1" applyAlignment="1">
      <alignment horizontal="left" wrapText="1"/>
    </xf>
    <xf numFmtId="0" fontId="3" fillId="0" borderId="5" xfId="0" applyFont="1" applyBorder="1" applyAlignment="1">
      <alignment horizontal="left"/>
    </xf>
    <xf numFmtId="3" fontId="3" fillId="7"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65" fontId="3" fillId="0" borderId="7" xfId="0" applyNumberFormat="1" applyFont="1" applyBorder="1" applyAlignment="1">
      <alignment horizontal="center"/>
    </xf>
    <xf numFmtId="0" fontId="3" fillId="0" borderId="4" xfId="0" applyFont="1" applyBorder="1" applyAlignment="1">
      <alignment horizontal="center"/>
    </xf>
    <xf numFmtId="165" fontId="3" fillId="7" borderId="1" xfId="0" applyNumberFormat="1" applyFont="1" applyFill="1" applyBorder="1" applyAlignment="1">
      <alignment horizontal="center"/>
    </xf>
    <xf numFmtId="0" fontId="3" fillId="7" borderId="5" xfId="0" applyFont="1" applyFill="1" applyBorder="1"/>
    <xf numFmtId="0" fontId="3" fillId="7" borderId="2" xfId="0" applyFont="1" applyFill="1" applyBorder="1"/>
    <xf numFmtId="0" fontId="3" fillId="0" borderId="3" xfId="0" applyFont="1" applyBorder="1" applyAlignment="1">
      <alignment horizontal="center" wrapText="1"/>
    </xf>
    <xf numFmtId="3" fontId="22" fillId="0" borderId="3" xfId="0" applyNumberFormat="1" applyFont="1" applyBorder="1" applyAlignment="1">
      <alignment horizontal="center"/>
    </xf>
    <xf numFmtId="165" fontId="3" fillId="7" borderId="6" xfId="0" applyNumberFormat="1" applyFont="1" applyFill="1" applyBorder="1" applyAlignment="1">
      <alignment horizontal="center"/>
    </xf>
    <xf numFmtId="168" fontId="3" fillId="0" borderId="7" xfId="0" applyNumberFormat="1" applyFont="1" applyBorder="1" applyAlignment="1">
      <alignment horizontal="center"/>
    </xf>
    <xf numFmtId="0" fontId="4" fillId="3" borderId="4" xfId="0" applyFont="1" applyFill="1" applyBorder="1" applyAlignment="1">
      <alignment horizontal="center"/>
    </xf>
    <xf numFmtId="0" fontId="4"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4" fillId="3" borderId="2" xfId="0" applyFont="1" applyFill="1" applyBorder="1"/>
    <xf numFmtId="0" fontId="3" fillId="0" borderId="47" xfId="0" applyFont="1" applyBorder="1" applyAlignment="1">
      <alignment horizontal="left"/>
    </xf>
    <xf numFmtId="0" fontId="3" fillId="0" borderId="48" xfId="0" applyFont="1" applyBorder="1" applyAlignment="1">
      <alignment horizontal="left"/>
    </xf>
    <xf numFmtId="0" fontId="3" fillId="0" borderId="49" xfId="0" applyFont="1" applyBorder="1" applyAlignment="1">
      <alignment horizontal="center"/>
    </xf>
    <xf numFmtId="0" fontId="3" fillId="0" borderId="48" xfId="0" applyFont="1" applyBorder="1" applyAlignment="1">
      <alignment horizontal="center"/>
    </xf>
    <xf numFmtId="0" fontId="3" fillId="0" borderId="50" xfId="0" applyFont="1" applyBorder="1" applyAlignment="1">
      <alignment horizontal="center"/>
    </xf>
    <xf numFmtId="3" fontId="3" fillId="7" borderId="48" xfId="0" applyNumberFormat="1" applyFont="1" applyFill="1" applyBorder="1" applyAlignment="1">
      <alignment horizontal="center"/>
    </xf>
    <xf numFmtId="3" fontId="3" fillId="7" borderId="51" xfId="0" applyNumberFormat="1" applyFont="1" applyFill="1" applyBorder="1" applyAlignment="1">
      <alignment horizontal="center"/>
    </xf>
    <xf numFmtId="0" fontId="3" fillId="0" borderId="52" xfId="0" applyFont="1" applyBorder="1" applyAlignment="1">
      <alignment horizontal="left" vertical="top"/>
    </xf>
    <xf numFmtId="3" fontId="3" fillId="7" borderId="53" xfId="0" applyNumberFormat="1" applyFont="1" applyFill="1" applyBorder="1" applyAlignment="1">
      <alignment horizontal="center"/>
    </xf>
    <xf numFmtId="0" fontId="3" fillId="0" borderId="52" xfId="0" applyFont="1" applyBorder="1" applyAlignment="1">
      <alignment horizontal="left" vertical="top" wrapText="1"/>
    </xf>
    <xf numFmtId="0" fontId="3" fillId="0" borderId="52" xfId="0" applyFont="1" applyBorder="1" applyAlignment="1">
      <alignment horizontal="left" wrapText="1"/>
    </xf>
    <xf numFmtId="0" fontId="22" fillId="0" borderId="52" xfId="0" applyFont="1" applyBorder="1" applyAlignment="1">
      <alignment horizontal="left" wrapText="1"/>
    </xf>
    <xf numFmtId="3" fontId="22" fillId="7" borderId="53" xfId="0" applyNumberFormat="1" applyFont="1" applyFill="1" applyBorder="1" applyAlignment="1">
      <alignment horizontal="center"/>
    </xf>
    <xf numFmtId="165" fontId="3" fillId="7" borderId="53" xfId="0" applyNumberFormat="1" applyFont="1" applyFill="1" applyBorder="1" applyAlignment="1">
      <alignment horizontal="center"/>
    </xf>
    <xf numFmtId="0" fontId="3" fillId="0" borderId="52" xfId="0" applyFont="1" applyBorder="1" applyAlignment="1">
      <alignment horizontal="left" vertical="top" wrapText="1" indent="2"/>
    </xf>
    <xf numFmtId="0" fontId="3" fillId="0" borderId="54" xfId="0" applyFont="1" applyBorder="1" applyAlignment="1">
      <alignment horizontal="left" vertical="top" wrapText="1" indent="2"/>
    </xf>
    <xf numFmtId="3" fontId="3" fillId="0" borderId="55" xfId="0" applyNumberFormat="1" applyFont="1" applyBorder="1" applyAlignment="1">
      <alignment horizontal="center" vertical="top" wrapText="1"/>
    </xf>
    <xf numFmtId="0" fontId="3" fillId="0" borderId="47" xfId="0" applyFont="1" applyBorder="1" applyAlignment="1">
      <alignment horizontal="left" wrapText="1"/>
    </xf>
    <xf numFmtId="0" fontId="3" fillId="0" borderId="48" xfId="0" applyFont="1" applyBorder="1" applyAlignment="1">
      <alignment horizontal="center" wrapText="1"/>
    </xf>
    <xf numFmtId="1" fontId="3" fillId="0" borderId="49" xfId="0" applyNumberFormat="1" applyFont="1" applyBorder="1" applyAlignment="1">
      <alignment horizontal="center"/>
    </xf>
    <xf numFmtId="1" fontId="3" fillId="0" borderId="48" xfId="0" applyNumberFormat="1" applyFont="1" applyBorder="1" applyAlignment="1">
      <alignment horizontal="center"/>
    </xf>
    <xf numFmtId="1" fontId="3" fillId="0" borderId="50" xfId="0" applyNumberFormat="1" applyFont="1" applyBorder="1" applyAlignment="1">
      <alignment horizontal="center"/>
    </xf>
    <xf numFmtId="0" fontId="3" fillId="0" borderId="52" xfId="0" applyFont="1" applyBorder="1" applyAlignment="1">
      <alignment horizontal="left" wrapText="1" indent="1"/>
    </xf>
    <xf numFmtId="3" fontId="3" fillId="7" borderId="0" xfId="0" applyNumberFormat="1" applyFont="1" applyFill="1" applyAlignment="1">
      <alignment horizontal="center" wrapText="1"/>
    </xf>
    <xf numFmtId="3" fontId="3" fillId="7" borderId="53" xfId="0" applyNumberFormat="1" applyFont="1" applyFill="1" applyBorder="1" applyAlignment="1">
      <alignment horizontal="center" wrapText="1"/>
    </xf>
    <xf numFmtId="0" fontId="15" fillId="0" borderId="52" xfId="0" applyFont="1" applyBorder="1" applyAlignment="1">
      <alignment horizontal="left" vertical="top" wrapText="1" indent="2"/>
    </xf>
    <xf numFmtId="165" fontId="3" fillId="7" borderId="0" xfId="0" applyNumberFormat="1" applyFont="1" applyFill="1" applyAlignment="1">
      <alignment horizontal="center" wrapText="1"/>
    </xf>
    <xf numFmtId="165" fontId="3" fillId="7" borderId="53" xfId="0" applyNumberFormat="1" applyFont="1" applyFill="1" applyBorder="1" applyAlignment="1">
      <alignment horizontal="center" wrapText="1"/>
    </xf>
    <xf numFmtId="3" fontId="3" fillId="0" borderId="56" xfId="0" applyNumberFormat="1" applyFont="1" applyBorder="1" applyAlignment="1">
      <alignment horizontal="center" vertical="top" wrapText="1"/>
    </xf>
    <xf numFmtId="3" fontId="3" fillId="0" borderId="57" xfId="0" applyNumberFormat="1" applyFont="1" applyBorder="1" applyAlignment="1">
      <alignment horizontal="center" vertical="top" wrapText="1"/>
    </xf>
    <xf numFmtId="3" fontId="3" fillId="7" borderId="55" xfId="0" applyNumberFormat="1" applyFont="1" applyFill="1" applyBorder="1" applyAlignment="1">
      <alignment horizontal="center"/>
    </xf>
    <xf numFmtId="3" fontId="3" fillId="7" borderId="58" xfId="0" applyNumberFormat="1" applyFont="1" applyFill="1" applyBorder="1" applyAlignment="1">
      <alignment horizontal="center"/>
    </xf>
    <xf numFmtId="0" fontId="22" fillId="0" borderId="47" xfId="0" applyFont="1" applyBorder="1" applyAlignment="1">
      <alignment horizontal="left" wrapText="1"/>
    </xf>
    <xf numFmtId="0" fontId="22" fillId="0" borderId="48" xfId="0" applyFont="1" applyBorder="1" applyAlignment="1">
      <alignment horizontal="center" wrapText="1"/>
    </xf>
    <xf numFmtId="0" fontId="22" fillId="0" borderId="49" xfId="0" applyFont="1" applyBorder="1" applyAlignment="1">
      <alignment horizontal="center" wrapText="1"/>
    </xf>
    <xf numFmtId="165" fontId="22" fillId="0" borderId="48" xfId="0" applyNumberFormat="1" applyFont="1" applyBorder="1" applyAlignment="1">
      <alignment horizontal="center" wrapText="1"/>
    </xf>
    <xf numFmtId="165" fontId="22" fillId="0" borderId="50" xfId="0" applyNumberFormat="1" applyFont="1" applyBorder="1" applyAlignment="1">
      <alignment horizontal="center" wrapText="1"/>
    </xf>
    <xf numFmtId="165" fontId="22" fillId="7" borderId="48" xfId="0" applyNumberFormat="1" applyFont="1" applyFill="1" applyBorder="1" applyAlignment="1">
      <alignment horizontal="center" wrapText="1"/>
    </xf>
    <xf numFmtId="165" fontId="22" fillId="7" borderId="51" xfId="0" applyNumberFormat="1" applyFont="1" applyFill="1" applyBorder="1" applyAlignment="1">
      <alignment horizontal="center" wrapText="1"/>
    </xf>
    <xf numFmtId="0" fontId="15" fillId="0" borderId="52" xfId="0" applyFont="1" applyBorder="1" applyAlignment="1">
      <alignment horizontal="left" wrapText="1"/>
    </xf>
    <xf numFmtId="0" fontId="22" fillId="0" borderId="0" xfId="0" applyFont="1" applyAlignment="1">
      <alignment horizontal="center" wrapText="1"/>
    </xf>
    <xf numFmtId="165" fontId="22" fillId="0" borderId="0" xfId="0" applyNumberFormat="1" applyFont="1" applyAlignment="1">
      <alignment horizontal="center" wrapText="1"/>
    </xf>
    <xf numFmtId="165" fontId="22" fillId="12" borderId="0" xfId="0" applyNumberFormat="1" applyFont="1" applyFill="1" applyAlignment="1">
      <alignment horizontal="center" wrapText="1"/>
    </xf>
    <xf numFmtId="165" fontId="22" fillId="12" borderId="53" xfId="0" applyNumberFormat="1" applyFont="1" applyFill="1" applyBorder="1" applyAlignment="1">
      <alignment horizontal="center" wrapText="1"/>
    </xf>
    <xf numFmtId="165" fontId="3" fillId="0" borderId="0" xfId="0" applyNumberFormat="1" applyFont="1" applyAlignment="1">
      <alignment horizontal="center" wrapText="1"/>
    </xf>
    <xf numFmtId="165" fontId="3" fillId="12" borderId="0" xfId="0" applyNumberFormat="1" applyFont="1" applyFill="1" applyAlignment="1">
      <alignment horizontal="center" wrapText="1"/>
    </xf>
    <xf numFmtId="165" fontId="3" fillId="12" borderId="53"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53" xfId="0" applyNumberFormat="1" applyFont="1" applyFill="1" applyBorder="1" applyAlignment="1">
      <alignment horizontal="center" vertical="top" wrapText="1"/>
    </xf>
    <xf numFmtId="165" fontId="15" fillId="12" borderId="0" xfId="0" applyNumberFormat="1" applyFont="1" applyFill="1" applyAlignment="1">
      <alignment horizontal="center" vertical="top" wrapText="1"/>
    </xf>
    <xf numFmtId="165" fontId="15" fillId="12" borderId="53" xfId="0" applyNumberFormat="1" applyFont="1" applyFill="1" applyBorder="1" applyAlignment="1">
      <alignment horizontal="center" vertical="top" wrapText="1"/>
    </xf>
    <xf numFmtId="0" fontId="15" fillId="0" borderId="52" xfId="0" applyFont="1" applyBorder="1" applyAlignment="1">
      <alignment horizontal="left" vertical="top" wrapText="1"/>
    </xf>
    <xf numFmtId="0" fontId="3" fillId="0" borderId="59" xfId="0" applyFont="1" applyBorder="1" applyAlignment="1">
      <alignment horizontal="left" vertical="top" wrapText="1" indent="2"/>
    </xf>
    <xf numFmtId="165" fontId="3" fillId="12" borderId="60" xfId="0" applyNumberFormat="1" applyFont="1" applyFill="1" applyBorder="1" applyAlignment="1">
      <alignment horizontal="center" wrapText="1"/>
    </xf>
    <xf numFmtId="0" fontId="3" fillId="0" borderId="61" xfId="0" applyFont="1" applyBorder="1" applyAlignment="1">
      <alignment wrapText="1"/>
    </xf>
    <xf numFmtId="0" fontId="3" fillId="0" borderId="62" xfId="0" applyFont="1" applyBorder="1"/>
    <xf numFmtId="0" fontId="3" fillId="0" borderId="63" xfId="0" applyFont="1" applyBorder="1"/>
    <xf numFmtId="165" fontId="16" fillId="0" borderId="0" xfId="0" applyNumberFormat="1" applyFont="1"/>
    <xf numFmtId="2" fontId="3" fillId="7" borderId="7" xfId="0" applyNumberFormat="1" applyFont="1" applyFill="1" applyBorder="1"/>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8" xfId="0" applyNumberFormat="1" applyFont="1" applyBorder="1" applyAlignment="1">
      <alignment horizontal="center" wrapText="1"/>
    </xf>
    <xf numFmtId="165" fontId="22" fillId="7" borderId="5" xfId="0" applyNumberFormat="1" applyFont="1" applyFill="1" applyBorder="1" applyAlignment="1">
      <alignment horizontal="center" wrapText="1"/>
    </xf>
    <xf numFmtId="165" fontId="22" fillId="7" borderId="2"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3"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4" fillId="0" borderId="0" xfId="0" applyFont="1"/>
    <xf numFmtId="165" fontId="3" fillId="7" borderId="7" xfId="0" applyNumberFormat="1" applyFont="1" applyFill="1" applyBorder="1" applyAlignment="1">
      <alignment horizontal="center" wrapText="1"/>
    </xf>
    <xf numFmtId="165" fontId="3" fillId="7" borderId="8"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2" xfId="0" applyNumberFormat="1" applyFont="1" applyFill="1" applyBorder="1" applyAlignment="1">
      <alignment horizontal="center" wrapText="1"/>
    </xf>
    <xf numFmtId="165" fontId="3" fillId="0" borderId="5" xfId="0" applyNumberFormat="1" applyFont="1" applyBorder="1" applyAlignment="1">
      <alignment horizontal="center" wrapText="1"/>
    </xf>
    <xf numFmtId="168"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22" fillId="0" borderId="5"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2" fillId="12" borderId="3" xfId="0" applyNumberFormat="1" applyFont="1" applyFill="1" applyBorder="1" applyAlignment="1">
      <alignment horizontal="center" wrapText="1"/>
    </xf>
    <xf numFmtId="165" fontId="3" fillId="12"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2" borderId="3" xfId="0" applyNumberFormat="1" applyFont="1" applyFill="1" applyBorder="1" applyAlignment="1">
      <alignment horizontal="center" wrapText="1"/>
    </xf>
    <xf numFmtId="0" fontId="3" fillId="7" borderId="3" xfId="0" applyFont="1" applyFill="1" applyBorder="1" applyAlignment="1">
      <alignment horizontal="center"/>
    </xf>
    <xf numFmtId="3" fontId="15" fillId="0" borderId="46" xfId="0" applyNumberFormat="1" applyFont="1" applyBorder="1" applyAlignment="1">
      <alignment horizontal="left" wrapText="1"/>
    </xf>
    <xf numFmtId="0" fontId="22"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2" borderId="7" xfId="0" applyNumberFormat="1" applyFont="1" applyFill="1" applyBorder="1" applyAlignment="1">
      <alignment horizontal="center" wrapText="1"/>
    </xf>
    <xf numFmtId="165" fontId="3" fillId="12" borderId="8" xfId="0" applyNumberFormat="1" applyFont="1" applyFill="1" applyBorder="1" applyAlignment="1">
      <alignment horizontal="center" wrapText="1"/>
    </xf>
    <xf numFmtId="0" fontId="3" fillId="7" borderId="12" xfId="0" applyFont="1" applyFill="1" applyBorder="1" applyAlignment="1">
      <alignment horizontal="center"/>
    </xf>
    <xf numFmtId="0" fontId="3" fillId="0" borderId="1" xfId="0" applyFont="1" applyBorder="1" applyAlignment="1">
      <alignment horizontal="left" wrapText="1" indent="2"/>
    </xf>
    <xf numFmtId="165" fontId="3" fillId="7" borderId="3" xfId="0" applyNumberFormat="1" applyFont="1" applyFill="1" applyBorder="1" applyAlignment="1">
      <alignment horizontal="center" wrapText="1"/>
    </xf>
    <xf numFmtId="3" fontId="3" fillId="7"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2" fillId="0" borderId="1" xfId="0" applyFont="1" applyBorder="1" applyAlignment="1">
      <alignment horizontal="center" wrapText="1"/>
    </xf>
    <xf numFmtId="0" fontId="22" fillId="0" borderId="5" xfId="0" applyFont="1" applyBorder="1" applyAlignment="1">
      <alignment horizontal="center" wrapText="1"/>
    </xf>
    <xf numFmtId="168" fontId="3" fillId="7" borderId="0" xfId="0" applyNumberFormat="1" applyFont="1" applyFill="1" applyAlignment="1">
      <alignment horizontal="center" wrapText="1"/>
    </xf>
    <xf numFmtId="168" fontId="3" fillId="7"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2" xfId="0" applyNumberFormat="1" applyFont="1" applyBorder="1" applyAlignment="1">
      <alignment horizontal="center" wrapText="1"/>
    </xf>
    <xf numFmtId="168" fontId="3" fillId="0" borderId="3" xfId="0" applyNumberFormat="1" applyFont="1" applyBorder="1" applyAlignment="1">
      <alignment horizontal="center" wrapText="1"/>
    </xf>
    <xf numFmtId="0" fontId="22" fillId="0" borderId="4" xfId="0" applyFont="1" applyBorder="1" applyAlignment="1">
      <alignment horizontal="center" wrapText="1"/>
    </xf>
    <xf numFmtId="3" fontId="3" fillId="0" borderId="1" xfId="0" applyNumberFormat="1" applyFont="1" applyBorder="1" applyAlignment="1">
      <alignment horizontal="center" wrapText="1"/>
    </xf>
    <xf numFmtId="3" fontId="3" fillId="7" borderId="8" xfId="0" applyNumberFormat="1" applyFont="1" applyFill="1" applyBorder="1" applyAlignment="1">
      <alignment horizontal="center"/>
    </xf>
    <xf numFmtId="1" fontId="3" fillId="0" borderId="3" xfId="0" applyNumberFormat="1" applyFont="1" applyBorder="1" applyAlignment="1">
      <alignment horizontal="center" wrapText="1"/>
    </xf>
    <xf numFmtId="165" fontId="22" fillId="0" borderId="3" xfId="0" applyNumberFormat="1" applyFont="1" applyBorder="1" applyAlignment="1">
      <alignment horizontal="center" wrapText="1"/>
    </xf>
    <xf numFmtId="165" fontId="3" fillId="0" borderId="3" xfId="0" applyNumberFormat="1" applyFont="1" applyBorder="1" applyAlignment="1">
      <alignment horizontal="center" vertical="top" wrapText="1"/>
    </xf>
    <xf numFmtId="1" fontId="3" fillId="0" borderId="2" xfId="0" applyNumberFormat="1" applyFont="1" applyBorder="1" applyAlignment="1">
      <alignment horizontal="center"/>
    </xf>
    <xf numFmtId="3" fontId="3" fillId="0" borderId="8" xfId="0" applyNumberFormat="1" applyFont="1" applyBorder="1" applyAlignment="1">
      <alignment horizontal="center" vertical="top" wrapText="1"/>
    </xf>
    <xf numFmtId="165" fontId="22" fillId="0" borderId="2" xfId="0" applyNumberFormat="1" applyFont="1" applyBorder="1" applyAlignment="1">
      <alignment horizontal="center" wrapText="1"/>
    </xf>
    <xf numFmtId="0" fontId="22" fillId="0" borderId="1" xfId="0" applyFont="1" applyBorder="1" applyAlignment="1">
      <alignment wrapText="1"/>
    </xf>
    <xf numFmtId="0" fontId="22" fillId="0" borderId="0" xfId="0" applyFont="1" applyAlignment="1">
      <alignment horizontal="left"/>
    </xf>
    <xf numFmtId="165" fontId="22" fillId="7" borderId="0" xfId="0" applyNumberFormat="1" applyFont="1" applyFill="1" applyAlignment="1">
      <alignment horizontal="center"/>
    </xf>
    <xf numFmtId="0" fontId="1" fillId="0" borderId="6" xfId="0" applyFont="1" applyBorder="1"/>
    <xf numFmtId="0" fontId="1" fillId="7" borderId="7" xfId="0" applyFont="1" applyFill="1" applyBorder="1"/>
    <xf numFmtId="3" fontId="3" fillId="0" borderId="48" xfId="0" applyNumberFormat="1" applyFont="1" applyBorder="1" applyAlignment="1">
      <alignment horizontal="center"/>
    </xf>
    <xf numFmtId="3" fontId="3" fillId="0" borderId="55" xfId="0" applyNumberFormat="1" applyFont="1" applyBorder="1" applyAlignment="1">
      <alignment horizontal="center"/>
    </xf>
    <xf numFmtId="168" fontId="3" fillId="0" borderId="0" xfId="0" applyNumberFormat="1" applyFont="1" applyAlignment="1">
      <alignment horizontal="center"/>
    </xf>
    <xf numFmtId="1" fontId="3" fillId="0" borderId="0" xfId="0" applyNumberFormat="1" applyFont="1" applyAlignment="1">
      <alignment horizontal="center"/>
    </xf>
    <xf numFmtId="0" fontId="25" fillId="0" borderId="47" xfId="0" applyFont="1" applyBorder="1" applyAlignment="1">
      <alignment vertical="center" wrapText="1"/>
    </xf>
    <xf numFmtId="3" fontId="3" fillId="0" borderId="49" xfId="0" applyNumberFormat="1" applyFont="1" applyBorder="1" applyAlignment="1">
      <alignment horizontal="center"/>
    </xf>
    <xf numFmtId="1" fontId="3" fillId="7" borderId="48" xfId="0" applyNumberFormat="1" applyFont="1" applyFill="1" applyBorder="1" applyAlignment="1">
      <alignment horizontal="center"/>
    </xf>
    <xf numFmtId="1" fontId="3" fillId="7" borderId="51" xfId="0" applyNumberFormat="1" applyFont="1" applyFill="1" applyBorder="1" applyAlignment="1">
      <alignment horizontal="center"/>
    </xf>
    <xf numFmtId="0" fontId="3" fillId="0" borderId="52" xfId="0" applyFont="1" applyBorder="1" applyAlignment="1">
      <alignment vertical="center" wrapText="1"/>
    </xf>
    <xf numFmtId="1" fontId="15" fillId="7" borderId="0" xfId="0" applyNumberFormat="1" applyFont="1" applyFill="1" applyAlignment="1">
      <alignment horizontal="center"/>
    </xf>
    <xf numFmtId="1" fontId="15" fillId="7" borderId="53" xfId="0" applyNumberFormat="1" applyFont="1" applyFill="1" applyBorder="1" applyAlignment="1">
      <alignment horizontal="center"/>
    </xf>
    <xf numFmtId="0" fontId="25" fillId="0" borderId="52" xfId="0" applyFont="1" applyBorder="1" applyAlignment="1">
      <alignment wrapText="1"/>
    </xf>
    <xf numFmtId="168" fontId="3" fillId="7" borderId="0" xfId="0" applyNumberFormat="1" applyFont="1" applyFill="1" applyAlignment="1">
      <alignment horizontal="center"/>
    </xf>
    <xf numFmtId="168" fontId="3" fillId="7" borderId="53" xfId="0" applyNumberFormat="1" applyFont="1" applyFill="1" applyBorder="1" applyAlignment="1">
      <alignment horizontal="center"/>
    </xf>
    <xf numFmtId="1" fontId="22" fillId="7" borderId="0" xfId="0" applyNumberFormat="1" applyFont="1" applyFill="1" applyAlignment="1">
      <alignment horizontal="center"/>
    </xf>
    <xf numFmtId="1" fontId="22" fillId="7" borderId="53" xfId="0" applyNumberFormat="1" applyFont="1" applyFill="1" applyBorder="1" applyAlignment="1">
      <alignment horizontal="center"/>
    </xf>
    <xf numFmtId="0" fontId="3" fillId="0" borderId="54" xfId="0" applyFont="1" applyBorder="1" applyAlignment="1">
      <alignment horizontal="left" wrapText="1"/>
    </xf>
    <xf numFmtId="0" fontId="3" fillId="0" borderId="55" xfId="0" applyFont="1" applyBorder="1" applyAlignment="1">
      <alignment horizontal="left" wrapText="1"/>
    </xf>
    <xf numFmtId="0" fontId="3" fillId="0" borderId="56" xfId="0" applyFont="1" applyBorder="1" applyAlignment="1">
      <alignment horizontal="left" wrapText="1"/>
    </xf>
    <xf numFmtId="3" fontId="3" fillId="0" borderId="57" xfId="0" applyNumberFormat="1" applyFont="1" applyBorder="1" applyAlignment="1">
      <alignment horizontal="center"/>
    </xf>
    <xf numFmtId="0" fontId="3" fillId="0" borderId="47" xfId="0" applyFont="1" applyBorder="1" applyAlignment="1">
      <alignment wrapText="1"/>
    </xf>
    <xf numFmtId="0" fontId="3" fillId="0" borderId="49" xfId="0" applyFont="1" applyBorder="1" applyAlignment="1">
      <alignment horizontal="left"/>
    </xf>
    <xf numFmtId="165" fontId="3" fillId="7" borderId="48" xfId="0" applyNumberFormat="1" applyFont="1" applyFill="1" applyBorder="1" applyAlignment="1">
      <alignment horizontal="center"/>
    </xf>
    <xf numFmtId="165" fontId="3" fillId="7" borderId="51" xfId="0" applyNumberFormat="1" applyFont="1" applyFill="1" applyBorder="1" applyAlignment="1">
      <alignment horizontal="center"/>
    </xf>
    <xf numFmtId="1" fontId="3" fillId="0" borderId="0" xfId="0" applyNumberFormat="1" applyFont="1"/>
    <xf numFmtId="1" fontId="3" fillId="7" borderId="0" xfId="0" applyNumberFormat="1" applyFont="1" applyFill="1"/>
    <xf numFmtId="1" fontId="3" fillId="7" borderId="53" xfId="0" applyNumberFormat="1" applyFont="1" applyFill="1" applyBorder="1"/>
    <xf numFmtId="0" fontId="3" fillId="0" borderId="52" xfId="0" applyFont="1" applyBorder="1" applyAlignment="1">
      <alignment wrapText="1"/>
    </xf>
    <xf numFmtId="0" fontId="22" fillId="0" borderId="52" xfId="0" applyFont="1" applyBorder="1" applyAlignment="1">
      <alignment horizontal="left" vertical="top" wrapText="1"/>
    </xf>
    <xf numFmtId="0" fontId="3" fillId="0" borderId="59" xfId="0" applyFont="1" applyBorder="1" applyAlignment="1">
      <alignment horizontal="left" wrapText="1"/>
    </xf>
    <xf numFmtId="3" fontId="3" fillId="7" borderId="60" xfId="0" applyNumberFormat="1" applyFont="1" applyFill="1" applyBorder="1" applyAlignment="1">
      <alignment horizontal="center"/>
    </xf>
    <xf numFmtId="0" fontId="16" fillId="0" borderId="54" xfId="0" applyFont="1" applyBorder="1"/>
    <xf numFmtId="0" fontId="16" fillId="0" borderId="55" xfId="0" applyFont="1" applyBorder="1"/>
    <xf numFmtId="10" fontId="16" fillId="0" borderId="55" xfId="0" applyNumberFormat="1" applyFont="1" applyBorder="1"/>
    <xf numFmtId="2" fontId="16" fillId="0" borderId="55" xfId="0" applyNumberFormat="1" applyFont="1" applyBorder="1"/>
    <xf numFmtId="2" fontId="16" fillId="0" borderId="58" xfId="0" applyNumberFormat="1" applyFont="1" applyBorder="1"/>
    <xf numFmtId="10" fontId="16" fillId="0" borderId="0" xfId="0" applyNumberFormat="1" applyFont="1"/>
    <xf numFmtId="2" fontId="16" fillId="0" borderId="0" xfId="0" applyNumberFormat="1" applyFont="1"/>
    <xf numFmtId="3" fontId="16" fillId="0" borderId="0" xfId="0" applyNumberFormat="1" applyFont="1"/>
    <xf numFmtId="0" fontId="15" fillId="0" borderId="1" xfId="0" applyFont="1" applyBorder="1" applyAlignment="1">
      <alignment horizontal="center" wrapText="1"/>
    </xf>
    <xf numFmtId="0" fontId="15" fillId="0" borderId="1" xfId="0" applyFont="1" applyBorder="1" applyAlignment="1">
      <alignment horizontal="center" vertical="top" wrapText="1"/>
    </xf>
    <xf numFmtId="165" fontId="3" fillId="0" borderId="3" xfId="0" applyNumberFormat="1" applyFont="1" applyBorder="1" applyAlignment="1">
      <alignment horizontal="center"/>
    </xf>
    <xf numFmtId="165" fontId="3" fillId="0" borderId="8"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6" xfId="0" applyFont="1" applyBorder="1" applyAlignment="1">
      <alignment horizontal="left" wrapText="1"/>
    </xf>
    <xf numFmtId="0" fontId="3" fillId="0" borderId="7" xfId="0" applyFont="1" applyBorder="1" applyAlignment="1">
      <alignment horizontal="left" wrapText="1"/>
    </xf>
    <xf numFmtId="165" fontId="3" fillId="0" borderId="5" xfId="0" applyNumberFormat="1" applyFont="1" applyBorder="1" applyAlignment="1">
      <alignment horizontal="center"/>
    </xf>
    <xf numFmtId="17" fontId="15" fillId="3" borderId="64"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7" borderId="2" xfId="0" applyNumberFormat="1" applyFont="1" applyFill="1" applyBorder="1" applyAlignment="1">
      <alignment horizontal="center"/>
    </xf>
    <xf numFmtId="0" fontId="3" fillId="0" borderId="6" xfId="0" applyFont="1" applyBorder="1" applyAlignment="1">
      <alignment wrapText="1"/>
    </xf>
    <xf numFmtId="0" fontId="3" fillId="0" borderId="1" xfId="0" applyFont="1" applyBorder="1" applyAlignment="1">
      <alignment horizontal="left"/>
    </xf>
    <xf numFmtId="0" fontId="3" fillId="11" borderId="12" xfId="0" applyFont="1" applyFill="1" applyBorder="1" applyAlignment="1">
      <alignment horizontal="center"/>
    </xf>
    <xf numFmtId="3" fontId="3" fillId="0" borderId="7" xfId="0" applyNumberFormat="1" applyFont="1" applyBorder="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5" xfId="0" applyNumberFormat="1" applyFont="1" applyFill="1" applyBorder="1" applyAlignment="1">
      <alignment horizontal="center"/>
    </xf>
    <xf numFmtId="3" fontId="3" fillId="0" borderId="6" xfId="0" applyNumberFormat="1" applyFont="1" applyBorder="1" applyAlignment="1">
      <alignment horizontal="center"/>
    </xf>
    <xf numFmtId="3" fontId="3" fillId="7" borderId="6"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7"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6"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1" borderId="14" xfId="0" applyFont="1" applyFill="1" applyBorder="1" applyAlignment="1">
      <alignment horizontal="center"/>
    </xf>
    <xf numFmtId="165" fontId="3" fillId="7" borderId="4" xfId="0" applyNumberFormat="1" applyFont="1" applyFill="1" applyBorder="1" applyAlignment="1">
      <alignment horizontal="center"/>
    </xf>
    <xf numFmtId="0" fontId="22" fillId="0" borderId="1" xfId="0" applyFont="1" applyBorder="1" applyAlignment="1">
      <alignment horizontal="left" vertical="top" wrapText="1"/>
    </xf>
    <xf numFmtId="0" fontId="26"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 fontId="3" fillId="0" borderId="3" xfId="0" applyNumberFormat="1" applyFont="1" applyBorder="1" applyAlignment="1">
      <alignment horizontal="center"/>
    </xf>
    <xf numFmtId="168" fontId="3" fillId="0" borderId="3" xfId="0" applyNumberFormat="1" applyFont="1" applyBorder="1" applyAlignment="1">
      <alignment horizontal="center"/>
    </xf>
    <xf numFmtId="1" fontId="3" fillId="0" borderId="3" xfId="0" applyNumberFormat="1" applyFont="1" applyBorder="1"/>
    <xf numFmtId="165" fontId="3" fillId="8" borderId="2" xfId="0" applyNumberFormat="1" applyFont="1" applyFill="1" applyBorder="1" applyAlignment="1">
      <alignment horizontal="center"/>
    </xf>
    <xf numFmtId="2" fontId="1" fillId="0" borderId="0" xfId="0" applyNumberFormat="1" applyFont="1"/>
    <xf numFmtId="0" fontId="3" fillId="0" borderId="1" xfId="0" applyFont="1" applyBorder="1" applyAlignment="1">
      <alignment vertical="center" wrapText="1"/>
    </xf>
    <xf numFmtId="1" fontId="22" fillId="0" borderId="0" xfId="0" applyNumberFormat="1" applyFont="1" applyAlignment="1">
      <alignment horizontal="center"/>
    </xf>
    <xf numFmtId="1" fontId="22" fillId="8" borderId="0" xfId="0" applyNumberFormat="1" applyFont="1" applyFill="1" applyAlignment="1">
      <alignment horizontal="center"/>
    </xf>
    <xf numFmtId="1" fontId="16" fillId="0" borderId="0" xfId="0" applyNumberFormat="1" applyFont="1"/>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0" xfId="0" applyFont="1" applyAlignment="1">
      <alignment horizontal="center" wrapText="1"/>
    </xf>
    <xf numFmtId="0" fontId="27" fillId="0" borderId="1" xfId="0" applyFont="1" applyBorder="1" applyAlignment="1">
      <alignment horizontal="left" indent="2"/>
    </xf>
    <xf numFmtId="3" fontId="15" fillId="7" borderId="7" xfId="0" applyNumberFormat="1" applyFont="1" applyFill="1" applyBorder="1" applyAlignment="1">
      <alignment horizontal="center" wrapText="1"/>
    </xf>
    <xf numFmtId="3" fontId="15" fillId="7" borderId="0" xfId="0" applyNumberFormat="1" applyFont="1" applyFill="1" applyAlignment="1">
      <alignment horizontal="center" wrapText="1"/>
    </xf>
    <xf numFmtId="1" fontId="3" fillId="8" borderId="3" xfId="0" applyNumberFormat="1" applyFont="1" applyFill="1" applyBorder="1" applyAlignment="1">
      <alignment horizontal="center" wrapText="1"/>
    </xf>
    <xf numFmtId="1" fontId="22" fillId="8" borderId="8"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170" fontId="3" fillId="0" borderId="0" xfId="0" applyNumberFormat="1" applyFont="1" applyAlignment="1">
      <alignment horizontal="center" wrapText="1"/>
    </xf>
    <xf numFmtId="170" fontId="3" fillId="0" borderId="5" xfId="0" applyNumberFormat="1" applyFont="1" applyBorder="1" applyAlignment="1">
      <alignment horizontal="center" wrapText="1"/>
    </xf>
    <xf numFmtId="3" fontId="3" fillId="0" borderId="2" xfId="0" applyNumberFormat="1" applyFont="1" applyBorder="1" applyAlignment="1">
      <alignment horizontal="center" wrapText="1"/>
    </xf>
    <xf numFmtId="0" fontId="1" fillId="7" borderId="2" xfId="0" applyFont="1" applyFill="1" applyBorder="1"/>
    <xf numFmtId="3" fontId="22" fillId="7" borderId="0" xfId="0" applyNumberFormat="1" applyFont="1" applyFill="1" applyAlignment="1">
      <alignment horizontal="center" wrapText="1"/>
    </xf>
    <xf numFmtId="1" fontId="22" fillId="0" borderId="7" xfId="0" applyNumberFormat="1" applyFont="1" applyBorder="1" applyAlignment="1">
      <alignment horizontal="center"/>
    </xf>
    <xf numFmtId="1" fontId="22" fillId="0" borderId="8" xfId="0" applyNumberFormat="1" applyFont="1" applyBorder="1" applyAlignment="1">
      <alignment horizontal="center"/>
    </xf>
    <xf numFmtId="1" fontId="22" fillId="7" borderId="7" xfId="0" applyNumberFormat="1" applyFont="1" applyFill="1" applyBorder="1" applyAlignment="1">
      <alignment horizontal="center"/>
    </xf>
    <xf numFmtId="1" fontId="22" fillId="7" borderId="8" xfId="0" applyNumberFormat="1" applyFont="1" applyFill="1" applyBorder="1" applyAlignment="1">
      <alignment horizontal="center"/>
    </xf>
    <xf numFmtId="3" fontId="3" fillId="7" borderId="2"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2" fillId="0" borderId="3" xfId="0" applyNumberFormat="1" applyFont="1" applyBorder="1" applyAlignment="1">
      <alignment horizontal="center" wrapText="1"/>
    </xf>
    <xf numFmtId="0" fontId="22" fillId="0" borderId="6" xfId="0" applyFont="1" applyBorder="1"/>
    <xf numFmtId="3" fontId="22" fillId="0" borderId="0" xfId="0" applyNumberFormat="1" applyFont="1" applyAlignment="1">
      <alignment horizontal="center" wrapText="1"/>
    </xf>
    <xf numFmtId="3" fontId="3" fillId="0" borderId="0" xfId="0" applyNumberFormat="1" applyFont="1" applyAlignment="1">
      <alignment vertical="top"/>
    </xf>
    <xf numFmtId="0" fontId="22" fillId="0" borderId="7" xfId="0" applyFont="1" applyBorder="1"/>
    <xf numFmtId="0" fontId="1" fillId="7" borderId="3"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2" fillId="0" borderId="0" xfId="0" applyFont="1" applyAlignment="1">
      <alignment wrapText="1"/>
    </xf>
    <xf numFmtId="3" fontId="3" fillId="7" borderId="5" xfId="0" applyNumberFormat="1" applyFont="1" applyFill="1" applyBorder="1" applyAlignment="1">
      <alignment horizontal="center" wrapText="1"/>
    </xf>
    <xf numFmtId="1" fontId="3" fillId="0" borderId="5" xfId="0" applyNumberFormat="1" applyFont="1" applyBorder="1" applyAlignment="1">
      <alignment horizontal="center" wrapText="1"/>
    </xf>
    <xf numFmtId="0" fontId="1" fillId="7" borderId="5" xfId="0" applyFont="1" applyFill="1" applyBorder="1"/>
    <xf numFmtId="1" fontId="3" fillId="7" borderId="3" xfId="0" applyNumberFormat="1" applyFont="1" applyFill="1" applyBorder="1" applyAlignment="1">
      <alignment horizontal="center" wrapText="1"/>
    </xf>
    <xf numFmtId="3" fontId="22"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2" fillId="0" borderId="0" xfId="0" applyNumberFormat="1" applyFont="1" applyAlignment="1">
      <alignment wrapText="1"/>
    </xf>
    <xf numFmtId="1" fontId="3" fillId="0" borderId="2" xfId="0" applyNumberFormat="1" applyFont="1" applyBorder="1" applyAlignment="1">
      <alignment horizontal="center" wrapText="1"/>
    </xf>
    <xf numFmtId="0" fontId="3" fillId="0" borderId="7" xfId="0" applyFont="1" applyBorder="1" applyAlignment="1">
      <alignment horizontal="center" wrapText="1"/>
    </xf>
    <xf numFmtId="168" fontId="16" fillId="0" borderId="0" xfId="0" applyNumberFormat="1" applyFont="1"/>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1" fillId="0" borderId="1" xfId="0" applyFont="1" applyBorder="1" applyAlignment="1">
      <alignment horizontal="left" wrapText="1"/>
    </xf>
    <xf numFmtId="169" fontId="3" fillId="0" borderId="0" xfId="0" applyNumberFormat="1" applyFont="1" applyAlignment="1">
      <alignment horizontal="center"/>
    </xf>
    <xf numFmtId="169" fontId="3" fillId="0" borderId="7" xfId="0" applyNumberFormat="1" applyFont="1" applyBorder="1" applyAlignment="1">
      <alignment horizontal="center"/>
    </xf>
    <xf numFmtId="0" fontId="3" fillId="0" borderId="4" xfId="0" applyFont="1" applyBorder="1"/>
    <xf numFmtId="0" fontId="22" fillId="0" borderId="1" xfId="0" applyFont="1" applyBorder="1"/>
    <xf numFmtId="168" fontId="22" fillId="7" borderId="2"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3" borderId="43" xfId="0" applyFont="1" applyFill="1" applyBorder="1"/>
    <xf numFmtId="168" fontId="22" fillId="7"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3" borderId="43" xfId="0" applyFont="1" applyFill="1" applyBorder="1" applyAlignment="1">
      <alignment horizontal="center"/>
    </xf>
    <xf numFmtId="0" fontId="3" fillId="13" borderId="44" xfId="0" applyFont="1" applyFill="1" applyBorder="1" applyAlignment="1">
      <alignment horizontal="center"/>
    </xf>
    <xf numFmtId="0" fontId="3" fillId="13" borderId="46" xfId="0" applyFont="1" applyFill="1" applyBorder="1" applyAlignment="1">
      <alignment horizontal="center"/>
    </xf>
    <xf numFmtId="168" fontId="3" fillId="7" borderId="7" xfId="0" applyNumberFormat="1" applyFont="1" applyFill="1" applyBorder="1" applyAlignment="1">
      <alignment horizontal="center"/>
    </xf>
    <xf numFmtId="168" fontId="3" fillId="7" borderId="8" xfId="0" applyNumberFormat="1" applyFont="1" applyFill="1" applyBorder="1" applyAlignment="1">
      <alignment horizontal="center"/>
    </xf>
    <xf numFmtId="168" fontId="22" fillId="7" borderId="5" xfId="0" applyNumberFormat="1" applyFont="1" applyFill="1" applyBorder="1" applyAlignment="1">
      <alignment horizontal="center"/>
    </xf>
    <xf numFmtId="0" fontId="22" fillId="0" borderId="4" xfId="0" applyFont="1" applyBorder="1"/>
    <xf numFmtId="0" fontId="22" fillId="0" borderId="5"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22" fillId="0" borderId="4" xfId="0" applyNumberFormat="1" applyFont="1" applyBorder="1" applyAlignment="1">
      <alignment horizontal="center"/>
    </xf>
    <xf numFmtId="168" fontId="22" fillId="0" borderId="5" xfId="0" applyNumberFormat="1" applyFont="1" applyBorder="1" applyAlignment="1">
      <alignment horizontal="center"/>
    </xf>
    <xf numFmtId="168" fontId="3" fillId="0" borderId="6"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8" fontId="1" fillId="0" borderId="0" xfId="0" applyNumberFormat="1" applyFont="1"/>
    <xf numFmtId="169" fontId="3" fillId="0" borderId="6" xfId="0" applyNumberFormat="1" applyFont="1" applyBorder="1" applyAlignment="1">
      <alignment horizontal="center"/>
    </xf>
    <xf numFmtId="0" fontId="15" fillId="0" borderId="0" xfId="0" applyFont="1" applyAlignment="1">
      <alignment vertical="top" wrapText="1"/>
    </xf>
    <xf numFmtId="168" fontId="3" fillId="0" borderId="2" xfId="0" applyNumberFormat="1" applyFont="1" applyBorder="1" applyAlignment="1">
      <alignment horizontal="center"/>
    </xf>
    <xf numFmtId="169" fontId="3" fillId="0" borderId="8" xfId="0" applyNumberFormat="1" applyFont="1" applyBorder="1" applyAlignment="1">
      <alignment horizontal="center"/>
    </xf>
    <xf numFmtId="168" fontId="22" fillId="0" borderId="3" xfId="0" applyNumberFormat="1" applyFont="1" applyBorder="1" applyAlignment="1">
      <alignment horizontal="center"/>
    </xf>
    <xf numFmtId="168" fontId="3" fillId="0" borderId="8" xfId="0" applyNumberFormat="1" applyFont="1" applyBorder="1" applyAlignment="1">
      <alignment horizontal="center"/>
    </xf>
    <xf numFmtId="169" fontId="3" fillId="7" borderId="7" xfId="0" applyNumberFormat="1" applyFont="1" applyFill="1" applyBorder="1" applyAlignment="1">
      <alignment horizontal="center"/>
    </xf>
    <xf numFmtId="169" fontId="3" fillId="7" borderId="8" xfId="0" applyNumberFormat="1" applyFont="1" applyFill="1" applyBorder="1" applyAlignment="1">
      <alignment horizontal="center"/>
    </xf>
    <xf numFmtId="168" fontId="22" fillId="0" borderId="0" xfId="0" applyNumberFormat="1" applyFont="1" applyAlignment="1">
      <alignment horizontal="center"/>
    </xf>
    <xf numFmtId="168" fontId="22" fillId="0" borderId="2" xfId="0" applyNumberFormat="1" applyFont="1" applyBorder="1" applyAlignment="1">
      <alignment horizontal="center"/>
    </xf>
    <xf numFmtId="1" fontId="3" fillId="0" borderId="0" xfId="0" applyNumberFormat="1" applyFont="1" applyAlignment="1">
      <alignment horizontal="right"/>
    </xf>
    <xf numFmtId="0" fontId="22" fillId="0" borderId="47" xfId="0" applyFont="1" applyBorder="1" applyAlignment="1">
      <alignment horizontal="left"/>
    </xf>
    <xf numFmtId="0" fontId="1" fillId="0" borderId="48" xfId="0" applyFont="1" applyBorder="1"/>
    <xf numFmtId="168" fontId="22" fillId="0" borderId="49" xfId="0" applyNumberFormat="1" applyFont="1" applyBorder="1" applyAlignment="1">
      <alignment horizontal="center"/>
    </xf>
    <xf numFmtId="168" fontId="22" fillId="0" borderId="48" xfId="0" applyNumberFormat="1" applyFont="1" applyBorder="1" applyAlignment="1">
      <alignment horizontal="center"/>
    </xf>
    <xf numFmtId="168" fontId="22" fillId="0" borderId="50" xfId="0" applyNumberFormat="1" applyFont="1" applyBorder="1" applyAlignment="1">
      <alignment horizontal="center"/>
    </xf>
    <xf numFmtId="168" fontId="22" fillId="7" borderId="48" xfId="0" applyNumberFormat="1" applyFont="1" applyFill="1" applyBorder="1" applyAlignment="1">
      <alignment horizontal="center"/>
    </xf>
    <xf numFmtId="168" fontId="22" fillId="7" borderId="51" xfId="0" applyNumberFormat="1" applyFont="1" applyFill="1" applyBorder="1" applyAlignment="1">
      <alignment horizontal="center"/>
    </xf>
    <xf numFmtId="0" fontId="3" fillId="14" borderId="52" xfId="0" applyFont="1" applyFill="1" applyBorder="1" applyAlignment="1">
      <alignment horizontal="left" vertical="top" wrapText="1" indent="3"/>
    </xf>
    <xf numFmtId="0" fontId="1" fillId="14" borderId="0" xfId="0" applyFont="1" applyFill="1"/>
    <xf numFmtId="168" fontId="3" fillId="14" borderId="0" xfId="0" applyNumberFormat="1" applyFont="1" applyFill="1" applyAlignment="1">
      <alignment horizontal="center"/>
    </xf>
    <xf numFmtId="168" fontId="3" fillId="14" borderId="0" xfId="0" applyNumberFormat="1" applyFont="1" applyFill="1" applyAlignment="1">
      <alignment horizontal="center" wrapText="1"/>
    </xf>
    <xf numFmtId="168" fontId="3" fillId="15" borderId="0" xfId="0" applyNumberFormat="1" applyFont="1" applyFill="1" applyAlignment="1">
      <alignment horizontal="center" wrapText="1"/>
    </xf>
    <xf numFmtId="168" fontId="3" fillId="15" borderId="53" xfId="0" applyNumberFormat="1" applyFont="1" applyFill="1" applyBorder="1" applyAlignment="1">
      <alignment horizontal="center" wrapText="1"/>
    </xf>
    <xf numFmtId="0" fontId="3" fillId="0" borderId="59" xfId="0" applyFont="1" applyBorder="1" applyAlignment="1">
      <alignment horizontal="left" indent="4"/>
    </xf>
    <xf numFmtId="169" fontId="3" fillId="7" borderId="0" xfId="0" applyNumberFormat="1" applyFont="1" applyFill="1" applyAlignment="1">
      <alignment horizontal="center"/>
    </xf>
    <xf numFmtId="169" fontId="3" fillId="7" borderId="53" xfId="0" applyNumberFormat="1" applyFont="1" applyFill="1" applyBorder="1" applyAlignment="1">
      <alignment horizontal="center"/>
    </xf>
    <xf numFmtId="0" fontId="3" fillId="0" borderId="54" xfId="0" applyFont="1" applyBorder="1" applyAlignment="1">
      <alignment horizontal="left" indent="4"/>
    </xf>
    <xf numFmtId="169" fontId="3" fillId="0" borderId="55" xfId="0" applyNumberFormat="1" applyFont="1" applyBorder="1"/>
    <xf numFmtId="169" fontId="3" fillId="0" borderId="55" xfId="0" applyNumberFormat="1" applyFont="1" applyBorder="1" applyAlignment="1">
      <alignment horizontal="center"/>
    </xf>
    <xf numFmtId="169" fontId="3" fillId="7" borderId="55" xfId="0" applyNumberFormat="1" applyFont="1" applyFill="1" applyBorder="1" applyAlignment="1">
      <alignment horizontal="center"/>
    </xf>
    <xf numFmtId="169" fontId="3" fillId="7" borderId="58" xfId="0" applyNumberFormat="1" applyFont="1" applyFill="1" applyBorder="1" applyAlignment="1">
      <alignment horizontal="center"/>
    </xf>
    <xf numFmtId="169" fontId="3" fillId="7" borderId="3" xfId="0" applyNumberFormat="1" applyFont="1" applyFill="1" applyBorder="1" applyAlignment="1">
      <alignment horizontal="center"/>
    </xf>
    <xf numFmtId="0" fontId="3" fillId="0" borderId="0" xfId="0" applyFont="1" applyAlignment="1">
      <alignment horizontal="left" indent="4"/>
    </xf>
    <xf numFmtId="0" fontId="3" fillId="0" borderId="8" xfId="0" applyFont="1" applyBorder="1"/>
    <xf numFmtId="0" fontId="15" fillId="0" borderId="1" xfId="0" applyFont="1" applyBorder="1"/>
    <xf numFmtId="169" fontId="3" fillId="0" borderId="7" xfId="0" applyNumberFormat="1" applyFont="1" applyBorder="1"/>
    <xf numFmtId="0" fontId="22" fillId="0" borderId="4" xfId="0" applyFont="1" applyBorder="1" applyAlignment="1">
      <alignment horizontal="left"/>
    </xf>
    <xf numFmtId="0" fontId="3" fillId="0" borderId="6" xfId="0" applyFont="1" applyBorder="1" applyAlignment="1">
      <alignment horizontal="left" indent="4"/>
    </xf>
    <xf numFmtId="2" fontId="3" fillId="0" borderId="0" xfId="0" applyNumberFormat="1" applyFont="1" applyAlignment="1">
      <alignment horizontal="right"/>
    </xf>
    <xf numFmtId="3" fontId="34" fillId="0" borderId="0" xfId="0" applyNumberFormat="1" applyFont="1"/>
    <xf numFmtId="0" fontId="3" fillId="0" borderId="3" xfId="0" applyFont="1" applyBorder="1"/>
    <xf numFmtId="173" fontId="3" fillId="0" borderId="0" xfId="0" applyNumberFormat="1" applyFont="1"/>
    <xf numFmtId="0" fontId="3" fillId="16" borderId="4" xfId="0" applyFont="1" applyFill="1" applyBorder="1"/>
    <xf numFmtId="0" fontId="3" fillId="16" borderId="5" xfId="0" applyFont="1" applyFill="1" applyBorder="1"/>
    <xf numFmtId="0" fontId="3" fillId="16" borderId="2" xfId="0" applyFont="1" applyFill="1" applyBorder="1"/>
    <xf numFmtId="0" fontId="3" fillId="0" borderId="6"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3" xfId="0" applyNumberFormat="1" applyFont="1" applyBorder="1" applyAlignment="1">
      <alignment horizontal="right"/>
    </xf>
    <xf numFmtId="0" fontId="3" fillId="14" borderId="1" xfId="0" applyFont="1" applyFill="1" applyBorder="1" applyAlignment="1">
      <alignment horizontal="left" vertical="top" wrapText="1" indent="3"/>
    </xf>
    <xf numFmtId="168" fontId="3" fillId="14" borderId="1" xfId="0" applyNumberFormat="1" applyFont="1" applyFill="1" applyBorder="1" applyAlignment="1">
      <alignment horizontal="center"/>
    </xf>
    <xf numFmtId="168" fontId="3" fillId="14" borderId="3" xfId="0" applyNumberFormat="1" applyFont="1" applyFill="1" applyBorder="1" applyAlignment="1">
      <alignment horizontal="center" wrapText="1"/>
    </xf>
    <xf numFmtId="168" fontId="3" fillId="15" borderId="3" xfId="0" applyNumberFormat="1" applyFont="1" applyFill="1" applyBorder="1" applyAlignment="1">
      <alignment horizontal="center" wrapText="1"/>
    </xf>
    <xf numFmtId="0" fontId="18" fillId="0" borderId="0" xfId="0" applyFont="1"/>
    <xf numFmtId="165" fontId="1" fillId="0" borderId="0" xfId="0" applyNumberFormat="1" applyFont="1" applyAlignment="1">
      <alignment horizontal="right"/>
    </xf>
    <xf numFmtId="0" fontId="1" fillId="0" borderId="13" xfId="0" applyFont="1" applyBorder="1" applyAlignment="1">
      <alignment horizontal="left"/>
    </xf>
    <xf numFmtId="0" fontId="1" fillId="11" borderId="6" xfId="0" applyFont="1" applyFill="1" applyBorder="1" applyAlignment="1">
      <alignment horizontal="center"/>
    </xf>
    <xf numFmtId="0" fontId="1" fillId="11"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2" fillId="7" borderId="0" xfId="0" applyFont="1" applyFill="1" applyAlignment="1">
      <alignment horizontal="center"/>
    </xf>
    <xf numFmtId="0" fontId="22" fillId="0" borderId="7" xfId="0" applyFont="1" applyBorder="1" applyAlignment="1">
      <alignment horizontal="center"/>
    </xf>
    <xf numFmtId="0" fontId="22" fillId="7" borderId="3" xfId="0" applyFont="1" applyFill="1" applyBorder="1" applyAlignment="1">
      <alignment horizontal="center"/>
    </xf>
    <xf numFmtId="0" fontId="22" fillId="0" borderId="0" xfId="0" applyFont="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3" fillId="0" borderId="0" xfId="0" applyNumberFormat="1" applyFont="1" applyAlignment="1">
      <alignment horizontal="center"/>
    </xf>
    <xf numFmtId="10" fontId="16" fillId="0" borderId="0" xfId="0" applyNumberFormat="1" applyFont="1" applyAlignment="1">
      <alignment horizontal="center"/>
    </xf>
    <xf numFmtId="10" fontId="16" fillId="0" borderId="3" xfId="0" applyNumberFormat="1" applyFont="1" applyBorder="1" applyAlignment="1">
      <alignment horizontal="center"/>
    </xf>
    <xf numFmtId="0" fontId="16" fillId="0" borderId="3" xfId="0" applyFont="1" applyBorder="1" applyAlignment="1">
      <alignment horizontal="center"/>
    </xf>
    <xf numFmtId="0" fontId="16" fillId="0" borderId="7" xfId="0" applyFont="1" applyBorder="1" applyAlignment="1">
      <alignment horizontal="center"/>
    </xf>
    <xf numFmtId="1" fontId="16" fillId="0" borderId="7"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168" fontId="15" fillId="7" borderId="0" xfId="0" applyNumberFormat="1" applyFont="1" applyFill="1" applyAlignment="1">
      <alignment horizontal="center"/>
    </xf>
    <xf numFmtId="168" fontId="3" fillId="7" borderId="5" xfId="0" applyNumberFormat="1" applyFont="1" applyFill="1" applyBorder="1" applyAlignment="1">
      <alignment horizontal="center"/>
    </xf>
    <xf numFmtId="168" fontId="22" fillId="7" borderId="3"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5" fillId="0" borderId="0" xfId="0" applyFont="1" applyAlignment="1">
      <alignment horizontal="left" indent="1"/>
    </xf>
    <xf numFmtId="0" fontId="3" fillId="0" borderId="0" xfId="0" applyFont="1" applyAlignment="1">
      <alignment horizontal="left" wrapText="1" indent="1"/>
    </xf>
    <xf numFmtId="0" fontId="3" fillId="7" borderId="3" xfId="0" applyFont="1" applyFill="1" applyBorder="1" applyAlignment="1">
      <alignment horizontal="center" wrapText="1"/>
    </xf>
    <xf numFmtId="168" fontId="3" fillId="7" borderId="0" xfId="0" applyNumberFormat="1" applyFont="1" applyFill="1"/>
    <xf numFmtId="168" fontId="3" fillId="17" borderId="0" xfId="0" applyNumberFormat="1" applyFont="1" applyFill="1"/>
    <xf numFmtId="168" fontId="3" fillId="17" borderId="3" xfId="0" applyNumberFormat="1" applyFont="1" applyFill="1" applyBorder="1"/>
    <xf numFmtId="168" fontId="3" fillId="0" borderId="7" xfId="0" applyNumberFormat="1" applyFont="1" applyBorder="1"/>
    <xf numFmtId="168" fontId="3" fillId="7" borderId="7" xfId="0" applyNumberFormat="1" applyFont="1" applyFill="1" applyBorder="1"/>
    <xf numFmtId="0" fontId="22" fillId="0" borderId="1" xfId="0" applyFont="1" applyBorder="1" applyAlignment="1">
      <alignment horizontal="center"/>
    </xf>
    <xf numFmtId="168" fontId="3" fillId="0" borderId="6"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8" borderId="7" xfId="0" applyNumberFormat="1" applyFont="1" applyFill="1" applyBorder="1"/>
    <xf numFmtId="4" fontId="3" fillId="0" borderId="0" xfId="0" applyNumberFormat="1" applyFont="1"/>
    <xf numFmtId="168" fontId="3" fillId="7" borderId="3" xfId="0" applyNumberFormat="1" applyFont="1" applyFill="1" applyBorder="1" applyAlignment="1">
      <alignment horizontal="center"/>
    </xf>
    <xf numFmtId="0" fontId="3" fillId="7" borderId="3" xfId="0" applyFont="1" applyFill="1" applyBorder="1"/>
    <xf numFmtId="0" fontId="3" fillId="8" borderId="6"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8" borderId="8" xfId="0" applyNumberFormat="1" applyFont="1" applyFill="1" applyBorder="1"/>
    <xf numFmtId="3" fontId="3" fillId="0" borderId="4" xfId="0" applyNumberFormat="1" applyFont="1" applyBorder="1"/>
    <xf numFmtId="168" fontId="3" fillId="0" borderId="3" xfId="0" applyNumberFormat="1" applyFont="1" applyBorder="1"/>
    <xf numFmtId="168" fontId="3" fillId="3" borderId="0" xfId="0" applyNumberFormat="1" applyFont="1" applyFill="1"/>
    <xf numFmtId="0" fontId="3" fillId="0" borderId="2" xfId="0" applyFont="1" applyBorder="1" applyAlignment="1">
      <alignment horizontal="center"/>
    </xf>
    <xf numFmtId="0" fontId="22" fillId="0" borderId="3" xfId="0" applyFont="1" applyBorder="1" applyAlignment="1">
      <alignment horizontal="center"/>
    </xf>
    <xf numFmtId="168" fontId="3" fillId="0" borderId="8" xfId="0" applyNumberFormat="1" applyFont="1" applyBorder="1"/>
    <xf numFmtId="168" fontId="3" fillId="18" borderId="0" xfId="0" applyNumberFormat="1" applyFont="1" applyFill="1"/>
    <xf numFmtId="168" fontId="3" fillId="0" borderId="0" xfId="0" applyNumberFormat="1" applyFont="1" applyAlignment="1">
      <alignment horizontal="center" vertical="top" wrapText="1"/>
    </xf>
    <xf numFmtId="0" fontId="15" fillId="0" borderId="47" xfId="0" applyFont="1" applyBorder="1" applyAlignment="1">
      <alignment horizontal="left" vertical="top" wrapText="1"/>
    </xf>
    <xf numFmtId="0" fontId="15" fillId="0" borderId="48" xfId="0" applyFont="1" applyBorder="1" applyAlignment="1">
      <alignment horizontal="center" vertical="top" wrapText="1"/>
    </xf>
    <xf numFmtId="168" fontId="3" fillId="0" borderId="49" xfId="0" applyNumberFormat="1" applyFont="1" applyBorder="1" applyAlignment="1">
      <alignment horizontal="right" vertical="top" wrapText="1"/>
    </xf>
    <xf numFmtId="168" fontId="3" fillId="0" borderId="48" xfId="0" applyNumberFormat="1" applyFont="1" applyBorder="1" applyAlignment="1">
      <alignment horizontal="right" vertical="top" wrapText="1"/>
    </xf>
    <xf numFmtId="168" fontId="3" fillId="0" borderId="50" xfId="0" applyNumberFormat="1" applyFont="1" applyBorder="1" applyAlignment="1">
      <alignment horizontal="right" vertical="top" wrapText="1"/>
    </xf>
    <xf numFmtId="168" fontId="3" fillId="12" borderId="48" xfId="0" applyNumberFormat="1" applyFont="1" applyFill="1" applyBorder="1" applyAlignment="1">
      <alignment horizontal="right" vertical="top" wrapText="1"/>
    </xf>
    <xf numFmtId="168" fontId="3" fillId="12" borderId="51" xfId="0" applyNumberFormat="1" applyFont="1" applyFill="1" applyBorder="1" applyAlignment="1">
      <alignment horizontal="right" vertical="top" wrapText="1"/>
    </xf>
    <xf numFmtId="0" fontId="25" fillId="0" borderId="0" xfId="0" applyFont="1" applyAlignment="1">
      <alignment horizontal="center" vertical="top" wrapText="1"/>
    </xf>
    <xf numFmtId="1" fontId="22" fillId="0" borderId="0" xfId="0" applyNumberFormat="1" applyFont="1" applyAlignment="1">
      <alignment horizontal="center" vertical="top" wrapText="1"/>
    </xf>
    <xf numFmtId="1" fontId="22" fillId="12" borderId="0" xfId="0" applyNumberFormat="1" applyFont="1" applyFill="1" applyAlignment="1">
      <alignment horizontal="center" vertical="top" wrapText="1"/>
    </xf>
    <xf numFmtId="1" fontId="22" fillId="12" borderId="53" xfId="0" applyNumberFormat="1" applyFont="1" applyFill="1" applyBorder="1" applyAlignment="1">
      <alignment horizontal="center" vertical="top" wrapText="1"/>
    </xf>
    <xf numFmtId="0" fontId="28" fillId="0" borderId="52" xfId="0" applyFont="1" applyBorder="1" applyAlignment="1">
      <alignment horizontal="left" indent="2"/>
    </xf>
    <xf numFmtId="1" fontId="3" fillId="7" borderId="0" xfId="0" applyNumberFormat="1" applyFont="1" applyFill="1" applyAlignment="1">
      <alignment horizontal="center" vertical="top" wrapText="1"/>
    </xf>
    <xf numFmtId="1" fontId="3" fillId="7" borderId="53" xfId="0" applyNumberFormat="1" applyFont="1" applyFill="1" applyBorder="1" applyAlignment="1">
      <alignment horizontal="center" vertical="top" wrapText="1"/>
    </xf>
    <xf numFmtId="0" fontId="22" fillId="0" borderId="0" xfId="0" applyFont="1" applyAlignment="1">
      <alignment horizontal="center" vertical="top" wrapText="1"/>
    </xf>
    <xf numFmtId="168" fontId="22" fillId="0" borderId="0" xfId="0" applyNumberFormat="1" applyFont="1" applyAlignment="1">
      <alignment horizontal="center" vertical="top" wrapText="1"/>
    </xf>
    <xf numFmtId="168" fontId="3" fillId="0" borderId="0" xfId="0" applyNumberFormat="1" applyFont="1" applyAlignment="1">
      <alignment horizontal="right" vertical="top" wrapText="1"/>
    </xf>
    <xf numFmtId="9" fontId="3" fillId="0" borderId="0" xfId="0" applyNumberFormat="1" applyFont="1" applyAlignment="1">
      <alignment horizontal="right" vertical="top" wrapText="1"/>
    </xf>
    <xf numFmtId="0" fontId="3" fillId="7" borderId="0" xfId="0" applyFont="1" applyFill="1" applyAlignment="1">
      <alignment horizontal="center" vertical="top" wrapText="1"/>
    </xf>
    <xf numFmtId="0" fontId="3" fillId="7" borderId="53" xfId="0" applyFont="1" applyFill="1" applyBorder="1" applyAlignment="1">
      <alignment horizontal="center" vertical="top" wrapText="1"/>
    </xf>
    <xf numFmtId="0" fontId="27" fillId="0" borderId="52" xfId="0" applyFont="1" applyBorder="1" applyAlignment="1">
      <alignment horizontal="left"/>
    </xf>
    <xf numFmtId="168" fontId="3" fillId="12" borderId="0" xfId="0" applyNumberFormat="1" applyFont="1" applyFill="1" applyAlignment="1">
      <alignment horizontal="right" vertical="top" wrapText="1"/>
    </xf>
    <xf numFmtId="168" fontId="3" fillId="12" borderId="53" xfId="0" applyNumberFormat="1" applyFont="1" applyFill="1" applyBorder="1" applyAlignment="1">
      <alignment horizontal="right" vertical="top" wrapText="1"/>
    </xf>
    <xf numFmtId="0" fontId="35" fillId="0" borderId="52" xfId="0" applyFont="1" applyBorder="1" applyAlignment="1">
      <alignment horizontal="left"/>
    </xf>
    <xf numFmtId="3" fontId="22" fillId="0" borderId="0" xfId="0" applyNumberFormat="1" applyFont="1" applyAlignment="1">
      <alignment horizontal="center" vertical="top" wrapText="1"/>
    </xf>
    <xf numFmtId="168" fontId="22" fillId="12" borderId="0" xfId="0" applyNumberFormat="1" applyFont="1" applyFill="1" applyAlignment="1">
      <alignment horizontal="center" vertical="top" wrapText="1"/>
    </xf>
    <xf numFmtId="168" fontId="22" fillId="12" borderId="53" xfId="0" applyNumberFormat="1" applyFont="1" applyFill="1" applyBorder="1" applyAlignment="1">
      <alignment horizontal="center" vertical="top" wrapText="1"/>
    </xf>
    <xf numFmtId="0" fontId="27" fillId="0" borderId="52" xfId="0" applyFont="1" applyBorder="1" applyAlignment="1">
      <alignment horizontal="left" wrapText="1"/>
    </xf>
    <xf numFmtId="168" fontId="3" fillId="7" borderId="53" xfId="0" applyNumberFormat="1" applyFont="1" applyFill="1" applyBorder="1" applyAlignment="1">
      <alignment horizontal="center" wrapText="1"/>
    </xf>
    <xf numFmtId="168" fontId="3" fillId="12" borderId="0" xfId="0" applyNumberFormat="1" applyFont="1" applyFill="1" applyAlignment="1">
      <alignment horizontal="center" vertical="top" wrapText="1"/>
    </xf>
    <xf numFmtId="168" fontId="3" fillId="12" borderId="53" xfId="0" applyNumberFormat="1" applyFont="1" applyFill="1" applyBorder="1" applyAlignment="1">
      <alignment horizontal="center" vertical="top" wrapText="1"/>
    </xf>
    <xf numFmtId="0" fontId="22" fillId="0" borderId="59" xfId="0" applyFont="1" applyBorder="1" applyAlignment="1">
      <alignment horizontal="left" vertical="top" wrapText="1"/>
    </xf>
    <xf numFmtId="168" fontId="3" fillId="7" borderId="60" xfId="0" applyNumberFormat="1" applyFont="1" applyFill="1" applyBorder="1" applyAlignment="1">
      <alignment horizontal="center" vertical="top" wrapText="1"/>
    </xf>
    <xf numFmtId="0" fontId="22" fillId="0" borderId="54" xfId="0" applyFont="1" applyBorder="1" applyAlignment="1">
      <alignment horizontal="left" vertical="top" wrapText="1"/>
    </xf>
    <xf numFmtId="3" fontId="22" fillId="0" borderId="55" xfId="0" applyNumberFormat="1" applyFont="1" applyBorder="1" applyAlignment="1">
      <alignment horizontal="center" vertical="top" wrapText="1"/>
    </xf>
    <xf numFmtId="168" fontId="22" fillId="0" borderId="55" xfId="0" applyNumberFormat="1" applyFont="1" applyBorder="1" applyAlignment="1">
      <alignment horizontal="center" vertical="top" wrapText="1"/>
    </xf>
    <xf numFmtId="0" fontId="16" fillId="0" borderId="58" xfId="0" applyFont="1" applyBorder="1"/>
    <xf numFmtId="10" fontId="22" fillId="0" borderId="0" xfId="0" applyNumberFormat="1" applyFont="1" applyAlignment="1">
      <alignment horizontal="center" vertical="top" wrapText="1"/>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28" fillId="0" borderId="68" xfId="0" applyFont="1" applyBorder="1" applyAlignment="1">
      <alignment horizontal="left" indent="2"/>
    </xf>
    <xf numFmtId="165" fontId="3" fillId="0" borderId="69" xfId="0" applyNumberFormat="1" applyFont="1" applyBorder="1" applyAlignment="1">
      <alignment horizontal="center" vertical="top" wrapText="1"/>
    </xf>
    <xf numFmtId="168" fontId="3" fillId="0" borderId="68" xfId="0" applyNumberFormat="1" applyFont="1" applyBorder="1" applyAlignment="1">
      <alignment horizontal="center" vertical="top" wrapText="1"/>
    </xf>
    <xf numFmtId="168" fontId="3" fillId="0" borderId="69" xfId="0" applyNumberFormat="1" applyFont="1" applyBorder="1" applyAlignment="1">
      <alignment horizontal="center" vertical="top" wrapText="1"/>
    </xf>
    <xf numFmtId="168" fontId="3" fillId="0" borderId="70" xfId="0" applyNumberFormat="1" applyFont="1" applyBorder="1" applyAlignment="1">
      <alignment horizontal="center" vertical="top" wrapText="1"/>
    </xf>
    <xf numFmtId="1" fontId="3" fillId="7" borderId="69" xfId="0" applyNumberFormat="1" applyFont="1" applyFill="1" applyBorder="1" applyAlignment="1">
      <alignment horizontal="center" vertical="top" wrapText="1"/>
    </xf>
    <xf numFmtId="0" fontId="28" fillId="0" borderId="67" xfId="0" applyFont="1" applyBorder="1" applyAlignment="1">
      <alignment horizontal="left" indent="2"/>
    </xf>
    <xf numFmtId="3" fontId="3" fillId="0" borderId="65" xfId="0" applyNumberFormat="1" applyFont="1" applyBorder="1" applyAlignment="1">
      <alignment horizontal="center" vertical="top" wrapText="1"/>
    </xf>
    <xf numFmtId="168" fontId="3" fillId="0" borderId="71" xfId="0" applyNumberFormat="1" applyFont="1" applyBorder="1" applyAlignment="1">
      <alignment horizontal="center" vertical="top" wrapText="1"/>
    </xf>
    <xf numFmtId="168" fontId="3" fillId="0" borderId="65" xfId="0" applyNumberFormat="1" applyFont="1" applyBorder="1" applyAlignment="1">
      <alignment horizontal="center" vertical="top" wrapText="1"/>
    </xf>
    <xf numFmtId="168" fontId="3" fillId="0" borderId="72" xfId="0" applyNumberFormat="1" applyFont="1" applyBorder="1" applyAlignment="1">
      <alignment horizontal="center" vertical="top" wrapText="1"/>
    </xf>
    <xf numFmtId="1" fontId="3" fillId="7" borderId="65" xfId="0" applyNumberFormat="1" applyFont="1" applyFill="1" applyBorder="1" applyAlignment="1">
      <alignment horizontal="center" vertical="top" wrapText="1"/>
    </xf>
    <xf numFmtId="1" fontId="3" fillId="7" borderId="66" xfId="0" applyNumberFormat="1" applyFont="1" applyFill="1" applyBorder="1" applyAlignment="1">
      <alignment horizontal="center" vertical="top" wrapText="1"/>
    </xf>
    <xf numFmtId="9" fontId="3" fillId="8" borderId="0" xfId="0" applyNumberFormat="1" applyFont="1" applyFill="1"/>
    <xf numFmtId="9" fontId="3" fillId="8" borderId="7" xfId="0" applyNumberFormat="1" applyFont="1" applyFill="1" applyBorder="1"/>
    <xf numFmtId="168" fontId="3" fillId="0" borderId="4" xfId="0" applyNumberFormat="1" applyFont="1" applyBorder="1" applyAlignment="1">
      <alignment horizontal="right" vertical="top" wrapText="1"/>
    </xf>
    <xf numFmtId="1" fontId="3" fillId="0" borderId="8" xfId="0" applyNumberFormat="1" applyFont="1" applyBorder="1" applyAlignment="1">
      <alignment horizontal="center"/>
    </xf>
    <xf numFmtId="174" fontId="28"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7" xfId="0" applyNumberFormat="1" applyFont="1" applyBorder="1"/>
    <xf numFmtId="9" fontId="3" fillId="0" borderId="8" xfId="0" applyNumberFormat="1" applyFont="1" applyBorder="1"/>
    <xf numFmtId="0" fontId="15" fillId="12" borderId="43" xfId="0" applyFont="1" applyFill="1" applyBorder="1" applyAlignment="1">
      <alignment horizontal="center"/>
    </xf>
    <xf numFmtId="0" fontId="3" fillId="0" borderId="4" xfId="0" applyFont="1" applyBorder="1" applyAlignment="1">
      <alignment horizontal="left" indent="1"/>
    </xf>
    <xf numFmtId="0" fontId="27" fillId="0" borderId="1" xfId="0" applyFont="1" applyBorder="1" applyAlignment="1">
      <alignment horizontal="left" wrapText="1"/>
    </xf>
    <xf numFmtId="168" fontId="3" fillId="0" borderId="5" xfId="0" applyNumberFormat="1" applyFont="1" applyBorder="1" applyAlignment="1">
      <alignment horizontal="right" vertical="top" wrapText="1"/>
    </xf>
    <xf numFmtId="1" fontId="3" fillId="0" borderId="7"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6" fillId="0" borderId="0" xfId="0" applyFont="1"/>
    <xf numFmtId="0" fontId="28" fillId="0" borderId="0" xfId="0" applyFont="1"/>
    <xf numFmtId="0" fontId="27" fillId="0" borderId="0" xfId="0" applyFont="1"/>
    <xf numFmtId="174" fontId="28" fillId="0" borderId="0" xfId="0" applyNumberFormat="1" applyFont="1"/>
    <xf numFmtId="167" fontId="3" fillId="12" borderId="6" xfId="0" applyNumberFormat="1" applyFont="1" applyFill="1" applyBorder="1" applyAlignment="1">
      <alignment horizontal="center"/>
    </xf>
    <xf numFmtId="167" fontId="3" fillId="12" borderId="7" xfId="0" applyNumberFormat="1" applyFont="1" applyFill="1" applyBorder="1" applyAlignment="1">
      <alignment horizontal="center"/>
    </xf>
    <xf numFmtId="167" fontId="3" fillId="12" borderId="8" xfId="0" applyNumberFormat="1" applyFont="1" applyFill="1" applyBorder="1" applyAlignment="1">
      <alignment horizontal="center"/>
    </xf>
    <xf numFmtId="0" fontId="35" fillId="0" borderId="1" xfId="0" applyFont="1" applyBorder="1" applyAlignment="1">
      <alignment horizontal="left"/>
    </xf>
    <xf numFmtId="174" fontId="28" fillId="0" borderId="3" xfId="0" applyNumberFormat="1" applyFont="1" applyBorder="1" applyAlignment="1">
      <alignment horizontal="center"/>
    </xf>
    <xf numFmtId="0" fontId="28" fillId="0" borderId="0" xfId="0" applyFont="1" applyAlignment="1">
      <alignment horizontal="center"/>
    </xf>
    <xf numFmtId="167" fontId="22" fillId="0" borderId="0" xfId="0" applyNumberFormat="1" applyFont="1"/>
    <xf numFmtId="0" fontId="22" fillId="0" borderId="6"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8" fillId="0" borderId="12" xfId="0" applyFont="1" applyBorder="1" applyAlignment="1">
      <alignment horizontal="left" indent="1"/>
    </xf>
    <xf numFmtId="0" fontId="28" fillId="0" borderId="13"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73" xfId="0" applyFont="1" applyBorder="1"/>
    <xf numFmtId="0" fontId="22" fillId="0" borderId="0" xfId="0" applyFont="1" applyAlignment="1">
      <alignment horizontal="left" vertical="top" wrapText="1"/>
    </xf>
    <xf numFmtId="168" fontId="22" fillId="0" borderId="0" xfId="0" applyNumberFormat="1" applyFont="1" applyAlignment="1">
      <alignment horizontal="right" vertical="top" wrapText="1"/>
    </xf>
    <xf numFmtId="174" fontId="27"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27" fillId="0" borderId="0" xfId="0" applyNumberFormat="1" applyFont="1" applyAlignment="1">
      <alignment horizontal="center"/>
    </xf>
    <xf numFmtId="174" fontId="27" fillId="0" borderId="0" xfId="0" applyNumberFormat="1" applyFont="1"/>
    <xf numFmtId="0" fontId="27" fillId="0" borderId="0" xfId="0" applyFont="1" applyAlignment="1">
      <alignment horizontal="left" indent="2"/>
    </xf>
    <xf numFmtId="175" fontId="27" fillId="0" borderId="0" xfId="0" applyNumberFormat="1" applyFont="1" applyAlignment="1">
      <alignment horizontal="center"/>
    </xf>
    <xf numFmtId="1" fontId="15" fillId="0" borderId="0" xfId="0" applyNumberFormat="1" applyFont="1" applyAlignment="1">
      <alignment horizontal="center"/>
    </xf>
    <xf numFmtId="174" fontId="27" fillId="0" borderId="5" xfId="0" applyNumberFormat="1" applyFont="1" applyBorder="1" applyAlignment="1">
      <alignment horizontal="center"/>
    </xf>
    <xf numFmtId="174" fontId="27" fillId="12"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168" fontId="22" fillId="0" borderId="7" xfId="0" applyNumberFormat="1" applyFont="1" applyBorder="1" applyAlignment="1">
      <alignment horizontal="center" vertical="top" wrapText="1"/>
    </xf>
    <xf numFmtId="3" fontId="22" fillId="0" borderId="7"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27" fillId="7" borderId="46" xfId="0" applyNumberFormat="1" applyFont="1" applyFill="1" applyBorder="1" applyAlignment="1">
      <alignment horizontal="center"/>
    </xf>
    <xf numFmtId="167" fontId="3" fillId="12" borderId="5" xfId="0" applyNumberFormat="1" applyFont="1" applyFill="1" applyBorder="1" applyAlignment="1">
      <alignment horizontal="center"/>
    </xf>
    <xf numFmtId="1" fontId="3" fillId="0" borderId="6" xfId="0" applyNumberFormat="1" applyFont="1" applyBorder="1" applyAlignment="1">
      <alignment horizontal="center"/>
    </xf>
    <xf numFmtId="175" fontId="28" fillId="0" borderId="0" xfId="0" applyNumberFormat="1" applyFont="1" applyAlignment="1">
      <alignment horizontal="center"/>
    </xf>
    <xf numFmtId="0" fontId="15" fillId="12" borderId="44" xfId="0" applyFont="1" applyFill="1" applyBorder="1" applyAlignment="1">
      <alignment horizontal="center"/>
    </xf>
    <xf numFmtId="0" fontId="15" fillId="12" borderId="46" xfId="0" applyFont="1" applyFill="1" applyBorder="1" applyAlignment="1">
      <alignment horizontal="center"/>
    </xf>
    <xf numFmtId="0" fontId="3" fillId="12" borderId="8" xfId="0" applyFont="1" applyFill="1" applyBorder="1"/>
    <xf numFmtId="2" fontId="3" fillId="12" borderId="0" xfId="0" applyNumberFormat="1" applyFont="1" applyFill="1" applyAlignment="1">
      <alignment horizontal="center"/>
    </xf>
    <xf numFmtId="2" fontId="3" fillId="12" borderId="4" xfId="0" applyNumberFormat="1" applyFont="1" applyFill="1" applyBorder="1" applyAlignment="1">
      <alignment horizontal="center"/>
    </xf>
    <xf numFmtId="2" fontId="3" fillId="12" borderId="5"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6" xfId="0" applyNumberFormat="1" applyFont="1" applyFill="1" applyBorder="1" applyAlignment="1">
      <alignment horizontal="center"/>
    </xf>
    <xf numFmtId="2" fontId="3" fillId="12" borderId="7" xfId="0" applyNumberFormat="1" applyFont="1" applyFill="1" applyBorder="1" applyAlignment="1">
      <alignment horizontal="center"/>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1" fontId="28" fillId="0" borderId="4" xfId="0" applyNumberFormat="1" applyFont="1" applyBorder="1" applyAlignment="1">
      <alignment horizontal="center"/>
    </xf>
    <xf numFmtId="1" fontId="28" fillId="0" borderId="5" xfId="0" applyNumberFormat="1" applyFont="1" applyBorder="1" applyAlignment="1">
      <alignment horizontal="center"/>
    </xf>
    <xf numFmtId="1" fontId="28" fillId="0" borderId="1" xfId="0" applyNumberFormat="1" applyFont="1" applyBorder="1" applyAlignment="1">
      <alignment horizontal="center"/>
    </xf>
    <xf numFmtId="1" fontId="28" fillId="0" borderId="2" xfId="0" applyNumberFormat="1" applyFont="1" applyBorder="1" applyAlignment="1">
      <alignment horizontal="center"/>
    </xf>
    <xf numFmtId="0" fontId="28" fillId="0" borderId="1" xfId="0" applyFont="1" applyBorder="1"/>
    <xf numFmtId="174" fontId="27" fillId="12" borderId="4" xfId="0" applyNumberFormat="1" applyFont="1" applyFill="1" applyBorder="1" applyAlignment="1">
      <alignment horizontal="center"/>
    </xf>
    <xf numFmtId="174" fontId="27" fillId="12" borderId="2" xfId="0" applyNumberFormat="1" applyFont="1" applyFill="1" applyBorder="1" applyAlignment="1">
      <alignment horizontal="center"/>
    </xf>
    <xf numFmtId="167" fontId="3" fillId="12" borderId="4" xfId="0" applyNumberFormat="1" applyFont="1" applyFill="1" applyBorder="1" applyAlignment="1">
      <alignment horizontal="center"/>
    </xf>
    <xf numFmtId="167" fontId="3" fillId="12" borderId="2" xfId="0" applyNumberFormat="1" applyFont="1" applyFill="1" applyBorder="1" applyAlignment="1">
      <alignment horizontal="center"/>
    </xf>
    <xf numFmtId="174" fontId="27" fillId="0" borderId="44" xfId="0" applyNumberFormat="1" applyFont="1" applyBorder="1" applyAlignment="1">
      <alignment horizontal="center"/>
    </xf>
    <xf numFmtId="174" fontId="27" fillId="12" borderId="43" xfId="0" applyNumberFormat="1" applyFont="1" applyFill="1" applyBorder="1" applyAlignment="1">
      <alignment horizontal="center"/>
    </xf>
    <xf numFmtId="174" fontId="27" fillId="12" borderId="44" xfId="0" applyNumberFormat="1" applyFont="1" applyFill="1" applyBorder="1" applyAlignment="1">
      <alignment horizontal="center"/>
    </xf>
    <xf numFmtId="174" fontId="27" fillId="12" borderId="46" xfId="0" applyNumberFormat="1" applyFont="1" applyFill="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67" fontId="3" fillId="0" borderId="1" xfId="0" applyNumberFormat="1" applyFont="1" applyBorder="1" applyAlignment="1">
      <alignment horizontal="center"/>
    </xf>
    <xf numFmtId="167" fontId="3" fillId="0" borderId="2" xfId="0" applyNumberFormat="1" applyFont="1" applyBorder="1" applyAlignment="1">
      <alignment horizontal="center"/>
    </xf>
    <xf numFmtId="174" fontId="28" fillId="0" borderId="0" xfId="0" applyNumberFormat="1" applyFont="1" applyAlignment="1">
      <alignment horizontal="left"/>
    </xf>
    <xf numFmtId="0" fontId="3" fillId="0" borderId="1" xfId="0" applyFont="1" applyBorder="1" applyAlignment="1">
      <alignment horizontal="left" indent="1"/>
    </xf>
    <xf numFmtId="0" fontId="3" fillId="0" borderId="6" xfId="0" applyFont="1" applyBorder="1" applyAlignment="1">
      <alignment horizontal="left" indent="1"/>
    </xf>
    <xf numFmtId="0" fontId="28" fillId="0" borderId="1" xfId="0" applyFont="1" applyBorder="1" applyAlignment="1">
      <alignment horizontal="left" indent="1"/>
    </xf>
    <xf numFmtId="0" fontId="28"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5" xfId="0" applyNumberFormat="1" applyFont="1" applyFill="1" applyBorder="1" applyAlignment="1">
      <alignment horizontal="center"/>
    </xf>
    <xf numFmtId="1" fontId="3" fillId="7" borderId="2"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7" xfId="0" applyNumberFormat="1" applyFont="1" applyFill="1" applyBorder="1" applyAlignment="1">
      <alignment horizontal="center"/>
    </xf>
    <xf numFmtId="167" fontId="3" fillId="7" borderId="8" xfId="0" applyNumberFormat="1" applyFont="1" applyFill="1" applyBorder="1" applyAlignment="1">
      <alignment horizontal="center"/>
    </xf>
    <xf numFmtId="2" fontId="3" fillId="12" borderId="2"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2" fillId="0" borderId="1" xfId="0" applyNumberFormat="1" applyFont="1" applyBorder="1" applyAlignment="1">
      <alignment horizontal="center" vertical="top" wrapText="1"/>
    </xf>
    <xf numFmtId="168" fontId="22" fillId="0" borderId="1" xfId="0" applyNumberFormat="1" applyFont="1" applyBorder="1" applyAlignment="1">
      <alignment horizontal="center" vertical="top" wrapText="1"/>
    </xf>
    <xf numFmtId="168" fontId="22" fillId="0" borderId="6" xfId="0" applyNumberFormat="1" applyFont="1" applyBorder="1" applyAlignment="1">
      <alignment horizontal="center" vertical="top" wrapText="1"/>
    </xf>
    <xf numFmtId="168" fontId="3" fillId="12" borderId="3" xfId="0" applyNumberFormat="1" applyFont="1" applyFill="1" applyBorder="1" applyAlignment="1">
      <alignment horizontal="right" vertical="top" wrapText="1"/>
    </xf>
    <xf numFmtId="174" fontId="27" fillId="7" borderId="43" xfId="0" applyNumberFormat="1" applyFont="1" applyFill="1" applyBorder="1" applyAlignment="1">
      <alignment horizontal="center"/>
    </xf>
    <xf numFmtId="174" fontId="27" fillId="7" borderId="44" xfId="0" applyNumberFormat="1" applyFont="1" applyFill="1" applyBorder="1" applyAlignment="1">
      <alignment horizontal="center"/>
    </xf>
    <xf numFmtId="1" fontId="28" fillId="0" borderId="3" xfId="0" applyNumberFormat="1" applyFont="1" applyBorder="1" applyAlignment="1">
      <alignment horizontal="center"/>
    </xf>
    <xf numFmtId="0" fontId="3" fillId="12" borderId="3" xfId="0" applyFont="1" applyFill="1" applyBorder="1"/>
    <xf numFmtId="0" fontId="15" fillId="0" borderId="45" xfId="0" applyFont="1" applyBorder="1" applyAlignment="1">
      <alignment horizontal="left" indent="1"/>
    </xf>
    <xf numFmtId="167" fontId="3" fillId="0" borderId="3" xfId="0" applyNumberFormat="1" applyFont="1" applyBorder="1" applyAlignment="1">
      <alignment horizontal="center"/>
    </xf>
    <xf numFmtId="167" fontId="3" fillId="12" borderId="3" xfId="0" applyNumberFormat="1" applyFont="1" applyFill="1" applyBorder="1" applyAlignment="1">
      <alignment horizontal="center"/>
    </xf>
    <xf numFmtId="0" fontId="3" fillId="0" borderId="4" xfId="0" applyFont="1" applyBorder="1" applyAlignment="1">
      <alignment horizontal="left" indent="2"/>
    </xf>
    <xf numFmtId="167" fontId="3" fillId="7" borderId="3" xfId="0" applyNumberFormat="1" applyFont="1" applyFill="1" applyBorder="1" applyAlignment="1">
      <alignment horizontal="center"/>
    </xf>
    <xf numFmtId="0" fontId="3" fillId="0" borderId="0" xfId="0" applyFont="1" applyAlignment="1">
      <alignment horizontal="left" indent="2"/>
    </xf>
    <xf numFmtId="165" fontId="18" fillId="0" borderId="0" xfId="0" applyNumberFormat="1" applyFont="1" applyAlignment="1">
      <alignment horizontal="right"/>
    </xf>
    <xf numFmtId="165" fontId="18" fillId="0" borderId="74" xfId="0" applyNumberFormat="1" applyFont="1" applyBorder="1" applyAlignment="1">
      <alignment horizontal="right"/>
    </xf>
    <xf numFmtId="168" fontId="1" fillId="0" borderId="75" xfId="0" applyNumberFormat="1" applyFont="1" applyBorder="1" applyAlignment="1">
      <alignment horizontal="center"/>
    </xf>
    <xf numFmtId="0" fontId="27" fillId="0" borderId="64" xfId="0" applyFont="1" applyBorder="1" applyAlignment="1">
      <alignment wrapText="1"/>
    </xf>
    <xf numFmtId="0" fontId="15" fillId="0" borderId="64"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74" fontId="28" fillId="0" borderId="8" xfId="0" applyNumberFormat="1" applyFont="1" applyBorder="1" applyAlignment="1">
      <alignment horizontal="center"/>
    </xf>
    <xf numFmtId="168" fontId="1" fillId="0" borderId="76" xfId="0" applyNumberFormat="1" applyFont="1" applyBorder="1" applyAlignment="1">
      <alignment horizontal="center"/>
    </xf>
    <xf numFmtId="168" fontId="3" fillId="7" borderId="7" xfId="0" applyNumberFormat="1" applyFont="1" applyFill="1" applyBorder="1" applyAlignment="1">
      <alignment horizontal="center" vertical="top" wrapText="1"/>
    </xf>
    <xf numFmtId="0" fontId="3" fillId="7" borderId="4" xfId="0" applyFont="1" applyFill="1" applyBorder="1"/>
    <xf numFmtId="168" fontId="3" fillId="0" borderId="2" xfId="0" applyNumberFormat="1" applyFont="1" applyBorder="1" applyAlignment="1">
      <alignment horizontal="right" vertical="top" wrapText="1"/>
    </xf>
    <xf numFmtId="168" fontId="3" fillId="0" borderId="3" xfId="0" applyNumberFormat="1" applyFont="1" applyBorder="1" applyAlignment="1">
      <alignment horizontal="right" vertical="top" wrapText="1"/>
    </xf>
    <xf numFmtId="1" fontId="22"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68" fontId="22" fillId="0" borderId="3" xfId="0" applyNumberFormat="1" applyFont="1" applyBorder="1" applyAlignment="1">
      <alignment horizontal="center" vertical="top" wrapText="1"/>
    </xf>
    <xf numFmtId="0" fontId="3" fillId="0" borderId="0" xfId="0" applyFont="1" applyAlignment="1">
      <alignment vertical="center"/>
    </xf>
    <xf numFmtId="1" fontId="3" fillId="0" borderId="7" xfId="0" applyNumberFormat="1" applyFont="1" applyBorder="1"/>
    <xf numFmtId="3" fontId="3" fillId="0" borderId="7" xfId="0" applyNumberFormat="1" applyFont="1" applyBorder="1"/>
    <xf numFmtId="3" fontId="3" fillId="0" borderId="7" xfId="0" applyNumberFormat="1" applyFont="1" applyBorder="1" applyAlignment="1">
      <alignment horizontal="right"/>
    </xf>
    <xf numFmtId="0" fontId="3" fillId="0" borderId="7"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1" fontId="38" fillId="0" borderId="77" xfId="0" applyNumberFormat="1" applyFont="1" applyBorder="1" applyAlignment="1">
      <alignment vertical="top"/>
    </xf>
    <xf numFmtId="1" fontId="38" fillId="0" borderId="77" xfId="0" applyNumberFormat="1" applyFont="1" applyBorder="1" applyAlignment="1">
      <alignment horizontal="right" vertical="top"/>
    </xf>
    <xf numFmtId="0" fontId="39" fillId="19" borderId="77" xfId="0" applyFont="1" applyFill="1" applyBorder="1" applyAlignment="1">
      <alignment vertical="top"/>
    </xf>
    <xf numFmtId="0" fontId="16" fillId="0" borderId="0" xfId="0" applyFont="1" applyAlignment="1">
      <alignment wrapText="1"/>
    </xf>
    <xf numFmtId="0" fontId="16" fillId="0" borderId="43" xfId="0" applyFont="1" applyBorder="1"/>
    <xf numFmtId="0" fontId="16" fillId="0" borderId="44" xfId="0" applyFont="1" applyBorder="1"/>
    <xf numFmtId="3" fontId="16" fillId="0" borderId="44" xfId="0" applyNumberFormat="1" applyFont="1" applyBorder="1"/>
    <xf numFmtId="3" fontId="16" fillId="0" borderId="46" xfId="0" applyNumberFormat="1" applyFont="1" applyBorder="1"/>
    <xf numFmtId="1" fontId="38" fillId="0" borderId="0" xfId="0" applyNumberFormat="1" applyFont="1" applyAlignment="1">
      <alignment vertical="top"/>
    </xf>
    <xf numFmtId="1" fontId="38" fillId="0" borderId="0" xfId="0" applyNumberFormat="1" applyFont="1" applyAlignment="1">
      <alignment horizontal="right" vertical="top"/>
    </xf>
    <xf numFmtId="0" fontId="39" fillId="19" borderId="0" xfId="0" applyFont="1" applyFill="1" applyAlignment="1">
      <alignment vertical="top"/>
    </xf>
    <xf numFmtId="0" fontId="39" fillId="19" borderId="7" xfId="0" applyFont="1" applyFill="1" applyBorder="1" applyAlignment="1">
      <alignment vertical="top"/>
    </xf>
    <xf numFmtId="0" fontId="16" fillId="0" borderId="1" xfId="0" applyFont="1" applyBorder="1"/>
    <xf numFmtId="0" fontId="16" fillId="0" borderId="3" xfId="0" applyFont="1" applyBorder="1"/>
    <xf numFmtId="0" fontId="16" fillId="0" borderId="6" xfId="0" applyFont="1" applyBorder="1"/>
    <xf numFmtId="0" fontId="16" fillId="0" borderId="8" xfId="0" applyFont="1" applyBorder="1"/>
    <xf numFmtId="0" fontId="16" fillId="0" borderId="4" xfId="0" applyFont="1" applyBorder="1"/>
    <xf numFmtId="0" fontId="16" fillId="0" borderId="2" xfId="0" applyFont="1" applyBorder="1"/>
    <xf numFmtId="1" fontId="40" fillId="0" borderId="0" xfId="0" applyNumberFormat="1" applyFont="1"/>
    <xf numFmtId="1" fontId="41" fillId="20" borderId="0" xfId="0" applyNumberFormat="1" applyFont="1" applyFill="1" applyAlignment="1">
      <alignment horizontal="center"/>
    </xf>
    <xf numFmtId="0" fontId="42" fillId="19" borderId="0" xfId="0" applyFont="1" applyFill="1" applyAlignment="1">
      <alignment horizontal="center" vertical="center"/>
    </xf>
    <xf numFmtId="0" fontId="41" fillId="19" borderId="0" xfId="0" applyFont="1" applyFill="1" applyAlignment="1">
      <alignment horizontal="left" vertical="center" wrapText="1"/>
    </xf>
    <xf numFmtId="1" fontId="42" fillId="6" borderId="0" xfId="0" applyNumberFormat="1" applyFont="1" applyFill="1" applyAlignment="1">
      <alignment horizontal="center" vertical="top"/>
    </xf>
    <xf numFmtId="0" fontId="41" fillId="6" borderId="0" xfId="0" applyFont="1" applyFill="1" applyAlignment="1">
      <alignment horizontal="center" vertical="top"/>
    </xf>
    <xf numFmtId="0" fontId="40" fillId="0" borderId="0" xfId="0" applyFont="1"/>
    <xf numFmtId="0" fontId="4" fillId="21"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40" fillId="0" borderId="0" xfId="0" applyNumberFormat="1" applyFont="1"/>
    <xf numFmtId="2" fontId="40" fillId="0" borderId="0" xfId="0" applyNumberFormat="1" applyFont="1"/>
    <xf numFmtId="0" fontId="43" fillId="0" borderId="0" xfId="0" applyFont="1"/>
    <xf numFmtId="0" fontId="41" fillId="0" borderId="0" xfId="0" applyFont="1" applyAlignment="1">
      <alignment horizontal="left"/>
    </xf>
    <xf numFmtId="0" fontId="41" fillId="0" borderId="0" xfId="0" applyFont="1" applyAlignment="1">
      <alignment horizontal="center" wrapText="1"/>
    </xf>
    <xf numFmtId="1" fontId="42" fillId="0" borderId="77" xfId="0" applyNumberFormat="1" applyFont="1" applyBorder="1" applyAlignment="1">
      <alignment horizontal="center" vertical="top"/>
    </xf>
    <xf numFmtId="0" fontId="41" fillId="19" borderId="77"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21" borderId="0" xfId="0" applyNumberFormat="1" applyFont="1" applyFill="1" applyAlignment="1">
      <alignment horizontal="center" vertical="top"/>
    </xf>
    <xf numFmtId="0" fontId="41" fillId="21" borderId="0" xfId="0" applyFont="1" applyFill="1" applyAlignment="1">
      <alignment horizontal="center" vertical="top"/>
    </xf>
    <xf numFmtId="0" fontId="41" fillId="21" borderId="0" xfId="0" applyFont="1" applyFill="1" applyAlignment="1">
      <alignment horizontal="left" vertical="top" wrapText="1"/>
    </xf>
    <xf numFmtId="0" fontId="41" fillId="0" borderId="0" xfId="0" applyFont="1" applyAlignment="1">
      <alignment horizontal="left" vertical="top" wrapText="1"/>
    </xf>
    <xf numFmtId="0" fontId="42" fillId="0" borderId="44" xfId="0" applyFont="1" applyBorder="1" applyAlignment="1">
      <alignment horizontal="left" vertical="top"/>
    </xf>
    <xf numFmtId="0" fontId="42" fillId="0" borderId="44" xfId="0" applyFont="1" applyBorder="1" applyAlignment="1">
      <alignment horizontal="center" vertical="top" wrapText="1"/>
    </xf>
    <xf numFmtId="1" fontId="42" fillId="3" borderId="44" xfId="0" applyNumberFormat="1" applyFont="1" applyFill="1" applyBorder="1" applyAlignment="1">
      <alignment horizontal="center" vertical="top"/>
    </xf>
    <xf numFmtId="3" fontId="42" fillId="3" borderId="44" xfId="0" applyNumberFormat="1" applyFont="1" applyFill="1" applyBorder="1" applyAlignment="1">
      <alignment horizontal="center" vertical="top"/>
    </xf>
    <xf numFmtId="0" fontId="41" fillId="3" borderId="44" xfId="0" applyFont="1" applyFill="1" applyBorder="1" applyAlignment="1">
      <alignment horizontal="center" vertical="top"/>
    </xf>
    <xf numFmtId="0" fontId="41" fillId="0" borderId="44" xfId="0" applyFont="1" applyBorder="1" applyAlignment="1">
      <alignment horizontal="left" vertical="top" wrapText="1"/>
    </xf>
    <xf numFmtId="0" fontId="42" fillId="0" borderId="5" xfId="0" applyFont="1" applyBorder="1" applyAlignment="1">
      <alignment horizontal="left" vertical="top"/>
    </xf>
    <xf numFmtId="0" fontId="42" fillId="0" borderId="5" xfId="0" applyFont="1" applyBorder="1" applyAlignment="1">
      <alignment horizontal="center" vertical="top" wrapText="1"/>
    </xf>
    <xf numFmtId="3" fontId="38" fillId="0" borderId="0" xfId="0" applyNumberFormat="1" applyFont="1" applyAlignment="1">
      <alignment vertical="top"/>
    </xf>
    <xf numFmtId="0" fontId="42" fillId="21" borderId="5" xfId="0" applyFont="1" applyFill="1" applyBorder="1" applyAlignment="1">
      <alignment horizontal="center" vertical="top"/>
    </xf>
    <xf numFmtId="0" fontId="41" fillId="0" borderId="5"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21" borderId="0" xfId="0" applyNumberFormat="1" applyFont="1" applyFill="1" applyAlignment="1">
      <alignment horizontal="center" vertical="top"/>
    </xf>
    <xf numFmtId="0" fontId="42" fillId="21" borderId="0" xfId="0" applyFont="1" applyFill="1" applyAlignment="1">
      <alignment horizontal="center" vertical="top"/>
    </xf>
    <xf numFmtId="1" fontId="41" fillId="21" borderId="0" xfId="0" applyNumberFormat="1" applyFont="1" applyFill="1" applyAlignment="1">
      <alignment horizontal="center" vertical="top"/>
    </xf>
    <xf numFmtId="0" fontId="41" fillId="0" borderId="0" xfId="0" applyFont="1" applyAlignment="1">
      <alignment horizontal="center" vertical="top"/>
    </xf>
    <xf numFmtId="1" fontId="41" fillId="21" borderId="0" xfId="0" applyNumberFormat="1" applyFont="1" applyFill="1" applyAlignment="1">
      <alignment horizontal="center"/>
    </xf>
    <xf numFmtId="1" fontId="41" fillId="21" borderId="0" xfId="0" applyNumberFormat="1" applyFont="1" applyFill="1" applyAlignment="1">
      <alignment horizontal="center" vertical="center"/>
    </xf>
    <xf numFmtId="1" fontId="42" fillId="21"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21" borderId="5" xfId="0" applyNumberFormat="1" applyFont="1" applyFill="1" applyBorder="1" applyAlignment="1">
      <alignment horizontal="center" vertical="top"/>
    </xf>
    <xf numFmtId="3" fontId="42" fillId="21" borderId="5" xfId="0" applyNumberFormat="1" applyFont="1" applyFill="1" applyBorder="1" applyAlignment="1">
      <alignment horizontal="center" vertical="top"/>
    </xf>
    <xf numFmtId="0" fontId="41" fillId="21" borderId="5" xfId="0" applyFont="1" applyFill="1" applyBorder="1" applyAlignment="1">
      <alignment horizontal="center" vertical="top"/>
    </xf>
    <xf numFmtId="0" fontId="17" fillId="21" borderId="5" xfId="0" applyFont="1" applyFill="1" applyBorder="1" applyAlignment="1">
      <alignment horizontal="left" vertical="top" wrapText="1"/>
    </xf>
    <xf numFmtId="0" fontId="42" fillId="19" borderId="0" xfId="0" applyFont="1" applyFill="1" applyAlignment="1">
      <alignment horizontal="center"/>
    </xf>
    <xf numFmtId="0" fontId="41" fillId="19" borderId="0" xfId="0" applyFont="1" applyFill="1" applyAlignment="1">
      <alignment horizontal="left" wrapText="1"/>
    </xf>
    <xf numFmtId="1" fontId="42" fillId="24" borderId="0" xfId="0" applyNumberFormat="1" applyFont="1" applyFill="1" applyAlignment="1">
      <alignment horizontal="center" vertical="top"/>
    </xf>
    <xf numFmtId="3" fontId="42" fillId="24" borderId="0" xfId="0" applyNumberFormat="1" applyFont="1" applyFill="1" applyAlignment="1">
      <alignment horizontal="center" vertical="top"/>
    </xf>
    <xf numFmtId="0" fontId="41" fillId="24" borderId="0" xfId="0" applyFont="1" applyFill="1" applyAlignment="1">
      <alignment horizontal="center" vertical="top"/>
    </xf>
    <xf numFmtId="0" fontId="41" fillId="24" borderId="0" xfId="0" applyFont="1" applyFill="1" applyAlignment="1">
      <alignment horizontal="left" vertical="top" wrapText="1"/>
    </xf>
    <xf numFmtId="1" fontId="41" fillId="25" borderId="0" xfId="0" applyNumberFormat="1" applyFont="1" applyFill="1" applyAlignment="1">
      <alignment horizontal="center" vertical="top"/>
    </xf>
    <xf numFmtId="0" fontId="41" fillId="25" borderId="0" xfId="0" applyFont="1" applyFill="1" applyAlignment="1">
      <alignment horizontal="center" vertical="top"/>
    </xf>
    <xf numFmtId="0" fontId="41" fillId="25" borderId="0" xfId="0" applyFont="1" applyFill="1" applyAlignment="1">
      <alignment horizontal="left" vertical="top" wrapText="1"/>
    </xf>
    <xf numFmtId="1" fontId="41" fillId="25" borderId="0" xfId="0" applyNumberFormat="1" applyFont="1" applyFill="1" applyAlignment="1">
      <alignment horizontal="center"/>
    </xf>
    <xf numFmtId="1" fontId="42" fillId="25" borderId="0" xfId="0" applyNumberFormat="1" applyFont="1" applyFill="1" applyAlignment="1">
      <alignment horizontal="center" vertical="top"/>
    </xf>
    <xf numFmtId="3" fontId="42" fillId="25" borderId="0" xfId="0" applyNumberFormat="1" applyFont="1" applyFill="1" applyAlignment="1">
      <alignment horizontal="center" vertical="top"/>
    </xf>
    <xf numFmtId="1" fontId="42" fillId="23" borderId="0" xfId="0" applyNumberFormat="1" applyFont="1" applyFill="1" applyAlignment="1">
      <alignment horizontal="center" vertical="top"/>
    </xf>
    <xf numFmtId="0" fontId="41" fillId="23" borderId="0" xfId="0" applyFont="1" applyFill="1" applyAlignment="1">
      <alignment horizontal="center" vertical="top"/>
    </xf>
    <xf numFmtId="3" fontId="42" fillId="23" borderId="0" xfId="0" applyNumberFormat="1" applyFont="1" applyFill="1" applyAlignment="1">
      <alignment horizontal="center" vertical="top"/>
    </xf>
    <xf numFmtId="0" fontId="42" fillId="23" borderId="0" xfId="0" applyFont="1" applyFill="1" applyAlignment="1">
      <alignment horizontal="center" vertical="top"/>
    </xf>
    <xf numFmtId="0" fontId="42" fillId="10" borderId="0" xfId="0" applyFont="1" applyFill="1" applyAlignment="1">
      <alignment horizontal="left" vertical="top"/>
    </xf>
    <xf numFmtId="0" fontId="42" fillId="10" borderId="0" xfId="0" applyFont="1" applyFill="1" applyAlignment="1">
      <alignment horizontal="center" vertical="top" wrapText="1"/>
    </xf>
    <xf numFmtId="0" fontId="41" fillId="10" borderId="0" xfId="0" applyFont="1" applyFill="1" applyAlignment="1">
      <alignment horizontal="left" vertical="top" wrapText="1"/>
    </xf>
    <xf numFmtId="1" fontId="42" fillId="23" borderId="43" xfId="0" applyNumberFormat="1" applyFont="1" applyFill="1" applyBorder="1" applyAlignment="1">
      <alignment horizontal="center" vertical="top"/>
    </xf>
    <xf numFmtId="1" fontId="42" fillId="23" borderId="44" xfId="0" applyNumberFormat="1" applyFont="1" applyFill="1" applyBorder="1" applyAlignment="1">
      <alignment horizontal="center" vertical="top"/>
    </xf>
    <xf numFmtId="3" fontId="42" fillId="23" borderId="44" xfId="0" applyNumberFormat="1" applyFont="1" applyFill="1" applyBorder="1" applyAlignment="1">
      <alignment horizontal="center" vertical="top"/>
    </xf>
    <xf numFmtId="0" fontId="41" fillId="23" borderId="46" xfId="0" applyFont="1" applyFill="1" applyBorder="1" applyAlignment="1">
      <alignment horizontal="center" vertical="top" wrapText="1"/>
    </xf>
    <xf numFmtId="1" fontId="42" fillId="11" borderId="0" xfId="0" applyNumberFormat="1" applyFont="1" applyFill="1" applyAlignment="1">
      <alignment horizontal="center" vertical="top"/>
    </xf>
    <xf numFmtId="1" fontId="41" fillId="11" borderId="0" xfId="0" applyNumberFormat="1" applyFont="1" applyFill="1" applyAlignment="1">
      <alignment horizontal="center" vertical="top"/>
    </xf>
    <xf numFmtId="0" fontId="42" fillId="11" borderId="0" xfId="0" applyFont="1" applyFill="1" applyAlignment="1">
      <alignment horizontal="center" vertical="top"/>
    </xf>
    <xf numFmtId="0" fontId="17" fillId="0" borderId="0" xfId="0" applyFont="1" applyAlignment="1">
      <alignment horizontal="left" vertical="top" wrapText="1"/>
    </xf>
    <xf numFmtId="1" fontId="42" fillId="20" borderId="0" xfId="0" applyNumberFormat="1" applyFont="1" applyFill="1" applyAlignment="1">
      <alignment horizontal="center" vertical="top"/>
    </xf>
    <xf numFmtId="3" fontId="42" fillId="20" borderId="0" xfId="0" applyNumberFormat="1" applyFont="1" applyFill="1" applyAlignment="1">
      <alignment horizontal="center" vertical="top"/>
    </xf>
    <xf numFmtId="0" fontId="42" fillId="0" borderId="0" xfId="0" applyFont="1" applyAlignment="1">
      <alignment horizontal="center" vertical="top"/>
    </xf>
    <xf numFmtId="0" fontId="41" fillId="20" borderId="0" xfId="0" applyFont="1" applyFill="1" applyAlignment="1">
      <alignment horizontal="left" vertical="top" wrapText="1"/>
    </xf>
    <xf numFmtId="0" fontId="41" fillId="20" borderId="0" xfId="0" applyFont="1" applyFill="1" applyAlignment="1">
      <alignment horizontal="center" vertical="top"/>
    </xf>
    <xf numFmtId="0" fontId="42" fillId="20" borderId="0" xfId="0" applyFont="1" applyFill="1" applyAlignment="1">
      <alignment horizontal="center" vertical="top"/>
    </xf>
    <xf numFmtId="0" fontId="44" fillId="20" borderId="0" xfId="0" applyFont="1" applyFill="1" applyAlignment="1">
      <alignment horizontal="left" vertical="top" wrapText="1"/>
    </xf>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5" fillId="0" borderId="0" xfId="0" applyFont="1" applyAlignment="1">
      <alignment horizontal="left"/>
    </xf>
    <xf numFmtId="0" fontId="46" fillId="0" borderId="0" xfId="0" applyFont="1"/>
    <xf numFmtId="0" fontId="15" fillId="9" borderId="0" xfId="0" applyFont="1" applyFill="1"/>
    <xf numFmtId="0" fontId="15"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7" fillId="27" borderId="0" xfId="0" applyFont="1" applyFill="1" applyAlignment="1">
      <alignment wrapText="1"/>
    </xf>
    <xf numFmtId="0" fontId="7" fillId="29" borderId="0" xfId="0" applyFont="1" applyFill="1" applyAlignment="1">
      <alignment horizontal="center" wrapText="1"/>
    </xf>
    <xf numFmtId="1" fontId="7" fillId="0" borderId="0" xfId="0" applyNumberFormat="1" applyFont="1"/>
    <xf numFmtId="0" fontId="47" fillId="0" borderId="0" xfId="0" applyFont="1" applyAlignment="1">
      <alignment horizontal="right" vertical="top"/>
    </xf>
    <xf numFmtId="3" fontId="48" fillId="0" borderId="0" xfId="0" applyNumberFormat="1" applyFont="1"/>
    <xf numFmtId="3" fontId="49" fillId="0" borderId="0" xfId="0" applyNumberFormat="1" applyFont="1" applyAlignment="1">
      <alignment horizontal="right" vertical="top"/>
    </xf>
    <xf numFmtId="0" fontId="50" fillId="31" borderId="0" xfId="0" applyFont="1" applyFill="1" applyAlignment="1">
      <alignment horizontal="right"/>
    </xf>
    <xf numFmtId="0" fontId="51" fillId="0" borderId="0" xfId="0" applyFont="1"/>
    <xf numFmtId="0" fontId="42" fillId="0" borderId="0" xfId="0" applyFont="1" applyAlignment="1">
      <alignment horizontal="right"/>
    </xf>
    <xf numFmtId="165" fontId="52" fillId="0" borderId="0" xfId="0" applyNumberFormat="1" applyFont="1" applyAlignment="1">
      <alignment horizontal="right" vertical="top"/>
    </xf>
    <xf numFmtId="165" fontId="50" fillId="31"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53"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4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8" fillId="34" borderId="0" xfId="0" applyFont="1" applyFill="1"/>
    <xf numFmtId="0" fontId="7" fillId="34" borderId="0" xfId="0" applyFont="1" applyFill="1"/>
    <xf numFmtId="0" fontId="54"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54" fillId="0" borderId="0" xfId="0" applyFont="1"/>
    <xf numFmtId="1" fontId="8" fillId="0" borderId="0" xfId="0" applyNumberFormat="1" applyFont="1" applyAlignment="1">
      <alignment vertical="top"/>
    </xf>
    <xf numFmtId="0" fontId="7" fillId="0" borderId="0" xfId="0" applyFont="1" applyAlignment="1">
      <alignment horizontal="right"/>
    </xf>
    <xf numFmtId="0" fontId="48" fillId="0" borderId="0" xfId="0" applyFont="1" applyAlignment="1">
      <alignment horizontal="right"/>
    </xf>
    <xf numFmtId="0" fontId="48"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48" fillId="8" borderId="0" xfId="0" applyFont="1" applyFill="1" applyAlignment="1">
      <alignment horizontal="right"/>
    </xf>
    <xf numFmtId="0" fontId="7" fillId="8" borderId="0" xfId="0" applyFont="1" applyFill="1" applyAlignment="1">
      <alignment horizontal="right"/>
    </xf>
    <xf numFmtId="0" fontId="50" fillId="0" borderId="0" xfId="0" applyFont="1"/>
    <xf numFmtId="170" fontId="47" fillId="0" borderId="0" xfId="0" applyNumberFormat="1" applyFont="1" applyAlignment="1">
      <alignment horizontal="right" vertical="top"/>
    </xf>
    <xf numFmtId="9" fontId="1" fillId="0" borderId="0" xfId="0" applyNumberFormat="1" applyFont="1"/>
    <xf numFmtId="0" fontId="48" fillId="0" borderId="0" xfId="0" applyFont="1" applyAlignment="1">
      <alignment horizontal="center"/>
    </xf>
    <xf numFmtId="0" fontId="48"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3"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3" fillId="0" borderId="0" xfId="0" applyFont="1" applyAlignment="1">
      <alignment horizontal="center" wrapText="1"/>
    </xf>
    <xf numFmtId="0" fontId="12" fillId="12" borderId="0" xfId="0" applyFont="1" applyFill="1"/>
    <xf numFmtId="0" fontId="12" fillId="0" borderId="0" xfId="0" applyFont="1"/>
    <xf numFmtId="0" fontId="28" fillId="21" borderId="1" xfId="0" applyFont="1" applyFill="1" applyBorder="1" applyAlignment="1">
      <alignment horizontal="left" indent="2"/>
    </xf>
    <xf numFmtId="176" fontId="4" fillId="0" borderId="0" xfId="0" applyNumberFormat="1" applyFont="1"/>
    <xf numFmtId="176" fontId="1" fillId="0" borderId="0" xfId="0" applyNumberFormat="1" applyFont="1" applyAlignment="1">
      <alignment wrapText="1"/>
    </xf>
    <xf numFmtId="176" fontId="1" fillId="0" borderId="0" xfId="0" applyNumberFormat="1" applyFont="1"/>
    <xf numFmtId="0" fontId="4" fillId="0" borderId="0" xfId="0" applyFont="1" applyAlignment="1">
      <alignment horizontal="center"/>
    </xf>
    <xf numFmtId="0" fontId="3" fillId="7" borderId="5" xfId="0" applyFont="1" applyFill="1" applyBorder="1" applyAlignment="1">
      <alignment horizontal="center"/>
    </xf>
    <xf numFmtId="0" fontId="3" fillId="7" borderId="2" xfId="0" applyFont="1" applyFill="1" applyBorder="1" applyAlignment="1">
      <alignment horizontal="center"/>
    </xf>
    <xf numFmtId="168" fontId="0" fillId="0" borderId="0" xfId="0" applyNumberFormat="1"/>
    <xf numFmtId="169" fontId="0" fillId="0" borderId="0" xfId="0" applyNumberFormat="1"/>
    <xf numFmtId="0" fontId="22" fillId="0" borderId="0" xfId="0" applyFont="1" applyBorder="1" applyAlignment="1">
      <alignment horizontal="left" vertical="top" wrapText="1"/>
    </xf>
    <xf numFmtId="3" fontId="22" fillId="0" borderId="0" xfId="0" applyNumberFormat="1" applyFont="1" applyBorder="1" applyAlignment="1">
      <alignment horizontal="center" vertical="top" wrapText="1"/>
    </xf>
    <xf numFmtId="168" fontId="22" fillId="0" borderId="0" xfId="0" applyNumberFormat="1" applyFont="1" applyBorder="1" applyAlignment="1">
      <alignment horizontal="center" vertical="top" wrapText="1"/>
    </xf>
    <xf numFmtId="168" fontId="3" fillId="7" borderId="0" xfId="0" applyNumberFormat="1" applyFont="1" applyFill="1" applyBorder="1" applyAlignment="1">
      <alignment horizontal="center" vertical="top" wrapText="1"/>
    </xf>
    <xf numFmtId="176" fontId="22" fillId="0" borderId="0" xfId="0" applyNumberFormat="1" applyFont="1" applyBorder="1" applyAlignment="1">
      <alignment horizontal="center" vertical="top" wrapText="1"/>
    </xf>
    <xf numFmtId="168" fontId="15" fillId="0" borderId="0" xfId="0" applyNumberFormat="1" applyFont="1" applyAlignment="1">
      <alignment horizontal="right"/>
    </xf>
    <xf numFmtId="168" fontId="22" fillId="12" borderId="0" xfId="0" applyNumberFormat="1" applyFont="1" applyFill="1" applyBorder="1" applyAlignment="1">
      <alignment horizontal="center" vertical="top" wrapText="1"/>
    </xf>
    <xf numFmtId="168" fontId="3" fillId="0" borderId="0" xfId="0" applyNumberFormat="1" applyFont="1" applyBorder="1" applyAlignment="1">
      <alignment horizontal="center" wrapText="1"/>
    </xf>
    <xf numFmtId="168" fontId="3" fillId="7" borderId="0" xfId="0" applyNumberFormat="1" applyFont="1" applyFill="1" applyBorder="1" applyAlignment="1">
      <alignment horizontal="center" wrapText="1"/>
    </xf>
    <xf numFmtId="3" fontId="3" fillId="0" borderId="0" xfId="0" applyNumberFormat="1" applyFont="1" applyBorder="1" applyAlignment="1">
      <alignment horizontal="center" vertical="top" wrapText="1"/>
    </xf>
    <xf numFmtId="168" fontId="3" fillId="0" borderId="0" xfId="0" applyNumberFormat="1" applyFont="1" applyBorder="1" applyAlignment="1">
      <alignment horizontal="center" vertical="top" wrapText="1"/>
    </xf>
    <xf numFmtId="168" fontId="3" fillId="12" borderId="0" xfId="0" applyNumberFormat="1" applyFont="1" applyFill="1" applyBorder="1" applyAlignment="1">
      <alignment horizontal="center" vertical="top" wrapText="1"/>
    </xf>
    <xf numFmtId="0" fontId="22" fillId="0" borderId="0" xfId="0" applyFont="1" applyBorder="1" applyAlignment="1">
      <alignment horizontal="center" vertical="top" wrapText="1"/>
    </xf>
    <xf numFmtId="1" fontId="3" fillId="7" borderId="0" xfId="0" applyNumberFormat="1" applyFont="1" applyFill="1" applyBorder="1" applyAlignment="1">
      <alignment horizontal="center" vertical="top" wrapText="1"/>
    </xf>
    <xf numFmtId="0" fontId="27" fillId="0" borderId="4" xfId="0" applyFont="1" applyBorder="1" applyAlignment="1">
      <alignment horizontal="left"/>
    </xf>
    <xf numFmtId="168" fontId="3" fillId="12" borderId="5" xfId="0" applyNumberFormat="1" applyFont="1" applyFill="1" applyBorder="1" applyAlignment="1">
      <alignment horizontal="right" vertical="top" wrapText="1"/>
    </xf>
    <xf numFmtId="168" fontId="3" fillId="12" borderId="2" xfId="0" applyNumberFormat="1" applyFont="1" applyFill="1" applyBorder="1" applyAlignment="1">
      <alignment horizontal="right" vertical="top" wrapText="1"/>
    </xf>
    <xf numFmtId="168" fontId="22" fillId="12" borderId="3" xfId="0" applyNumberFormat="1" applyFont="1" applyFill="1" applyBorder="1" applyAlignment="1">
      <alignment horizontal="center" vertical="top" wrapText="1"/>
    </xf>
    <xf numFmtId="168" fontId="3" fillId="12" borderId="3" xfId="0" applyNumberFormat="1" applyFont="1" applyFill="1" applyBorder="1" applyAlignment="1">
      <alignment horizontal="center" vertical="top" wrapText="1"/>
    </xf>
    <xf numFmtId="168" fontId="3" fillId="7" borderId="8" xfId="0" applyNumberFormat="1" applyFont="1" applyFill="1" applyBorder="1" applyAlignment="1">
      <alignment horizontal="center" vertical="top" wrapText="1"/>
    </xf>
    <xf numFmtId="177" fontId="1" fillId="0" borderId="0" xfId="0" applyNumberFormat="1" applyFont="1"/>
    <xf numFmtId="0" fontId="3" fillId="0" borderId="0" xfId="0" applyFont="1" applyBorder="1" applyAlignment="1">
      <alignment horizontal="left" wrapText="1"/>
    </xf>
    <xf numFmtId="3" fontId="3" fillId="0" borderId="0" xfId="0" applyNumberFormat="1" applyFont="1" applyBorder="1" applyAlignment="1">
      <alignment horizontal="center"/>
    </xf>
    <xf numFmtId="3" fontId="3" fillId="7" borderId="0" xfId="0" applyNumberFormat="1" applyFont="1" applyFill="1" applyBorder="1" applyAlignment="1">
      <alignment horizontal="center"/>
    </xf>
    <xf numFmtId="164" fontId="3" fillId="0" borderId="0" xfId="1" applyNumberFormat="1" applyFont="1" applyBorder="1" applyAlignment="1">
      <alignment horizontal="center"/>
    </xf>
    <xf numFmtId="0" fontId="0" fillId="0" borderId="0" xfId="0" applyAlignment="1">
      <alignment horizontal="left"/>
    </xf>
    <xf numFmtId="165" fontId="3" fillId="11" borderId="0" xfId="0" applyNumberFormat="1" applyFont="1" applyFill="1" applyAlignment="1">
      <alignment horizontal="center" wrapText="1"/>
    </xf>
    <xf numFmtId="165" fontId="3" fillId="11" borderId="3" xfId="0" applyNumberFormat="1" applyFont="1" applyFill="1" applyBorder="1" applyAlignment="1">
      <alignment horizontal="center" wrapText="1"/>
    </xf>
    <xf numFmtId="165" fontId="3" fillId="17" borderId="0" xfId="0" applyNumberFormat="1" applyFont="1" applyFill="1" applyAlignment="1">
      <alignment horizontal="center"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15"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15" fillId="11" borderId="4" xfId="0" applyFont="1" applyFill="1" applyBorder="1" applyAlignment="1">
      <alignment horizontal="center" wrapText="1"/>
    </xf>
    <xf numFmtId="0" fontId="15" fillId="11" borderId="2"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6" xfId="0" applyFont="1" applyFill="1" applyBorder="1" applyAlignment="1">
      <alignment horizontal="center" wrapText="1"/>
    </xf>
    <xf numFmtId="0" fontId="15" fillId="11" borderId="7" xfId="0" applyFont="1" applyFill="1" applyBorder="1" applyAlignment="1">
      <alignment horizontal="center" wrapText="1"/>
    </xf>
    <xf numFmtId="0" fontId="3" fillId="11" borderId="2" xfId="0" applyFont="1" applyFill="1" applyBorder="1" applyAlignment="1">
      <alignment horizontal="center"/>
    </xf>
    <xf numFmtId="0" fontId="15" fillId="11" borderId="43"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0" fontId="15" fillId="11" borderId="2" xfId="0" applyFont="1" applyFill="1" applyBorder="1" applyAlignment="1">
      <alignment horizontal="center"/>
    </xf>
    <xf numFmtId="0" fontId="1" fillId="0" borderId="0" xfId="0" applyFont="1" applyAlignment="1">
      <alignment horizontal="left" vertical="top" wrapText="1"/>
    </xf>
    <xf numFmtId="0" fontId="4" fillId="11" borderId="4" xfId="0" applyFont="1" applyFill="1" applyBorder="1" applyAlignment="1">
      <alignment horizontal="center" wrapText="1"/>
    </xf>
    <xf numFmtId="0" fontId="4" fillId="11" borderId="5"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19" fillId="11" borderId="4" xfId="0" applyFont="1" applyFill="1" applyBorder="1" applyAlignment="1">
      <alignment horizontal="center"/>
    </xf>
    <xf numFmtId="0" fontId="19" fillId="11" borderId="5" xfId="0" applyFont="1" applyFill="1" applyBorder="1" applyAlignment="1">
      <alignment horizontal="center"/>
    </xf>
    <xf numFmtId="0" fontId="19" fillId="11" borderId="2" xfId="0" applyFont="1" applyFill="1" applyBorder="1" applyAlignment="1">
      <alignment horizontal="center"/>
    </xf>
    <xf numFmtId="0" fontId="1" fillId="7" borderId="5" xfId="0" applyFont="1" applyFill="1" applyBorder="1" applyAlignment="1">
      <alignment horizontal="center"/>
    </xf>
    <xf numFmtId="0" fontId="1" fillId="7" borderId="2" xfId="0" applyFont="1" applyFill="1" applyBorder="1" applyAlignment="1">
      <alignment horizontal="center"/>
    </xf>
    <xf numFmtId="0" fontId="1" fillId="11" borderId="4" xfId="0" applyFont="1" applyFill="1" applyBorder="1" applyAlignment="1">
      <alignment horizontal="right"/>
    </xf>
    <xf numFmtId="0" fontId="1" fillId="11" borderId="5"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4" xfId="0" applyFont="1" applyFill="1" applyBorder="1" applyAlignment="1">
      <alignment horizontal="center"/>
    </xf>
    <xf numFmtId="0" fontId="15" fillId="11" borderId="1" xfId="0" applyFont="1" applyFill="1" applyBorder="1" applyAlignment="1">
      <alignment horizontal="center"/>
    </xf>
    <xf numFmtId="0" fontId="15" fillId="11" borderId="3"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2" xfId="0" applyFont="1" applyFill="1" applyBorder="1" applyAlignment="1">
      <alignment horizontal="center"/>
    </xf>
    <xf numFmtId="0" fontId="3" fillId="11" borderId="4" xfId="0" applyFont="1" applyFill="1" applyBorder="1" applyAlignment="1">
      <alignment horizontal="right"/>
    </xf>
    <xf numFmtId="0" fontId="3" fillId="11" borderId="2" xfId="0" applyFont="1" applyFill="1" applyBorder="1" applyAlignment="1">
      <alignment horizontal="right"/>
    </xf>
    <xf numFmtId="0" fontId="15" fillId="11" borderId="46" xfId="0" applyFont="1" applyFill="1" applyBorder="1" applyAlignment="1">
      <alignment horizontal="center"/>
    </xf>
    <xf numFmtId="0" fontId="15" fillId="7" borderId="43" xfId="0" applyFont="1" applyFill="1" applyBorder="1" applyAlignment="1">
      <alignment horizontal="center"/>
    </xf>
    <xf numFmtId="0" fontId="15" fillId="7" borderId="44" xfId="0" applyFont="1" applyFill="1" applyBorder="1" applyAlignment="1">
      <alignment horizontal="center"/>
    </xf>
    <xf numFmtId="0" fontId="15" fillId="7" borderId="46" xfId="0" applyFont="1" applyFill="1" applyBorder="1" applyAlignment="1">
      <alignment horizontal="center"/>
    </xf>
    <xf numFmtId="0" fontId="3" fillId="0" borderId="1" xfId="0" applyFont="1" applyBorder="1" applyAlignment="1">
      <alignment horizontal="left" vertical="top" wrapText="1"/>
    </xf>
    <xf numFmtId="0" fontId="15" fillId="11" borderId="6" xfId="0" applyFont="1" applyFill="1" applyBorder="1" applyAlignment="1">
      <alignment horizontal="center"/>
    </xf>
    <xf numFmtId="0" fontId="15" fillId="11" borderId="8"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11" borderId="3" xfId="0" applyFont="1" applyFill="1" applyBorder="1" applyAlignment="1">
      <alignment horizontal="center"/>
    </xf>
    <xf numFmtId="0" fontId="15" fillId="13" borderId="43" xfId="0" applyFont="1" applyFill="1" applyBorder="1" applyAlignment="1">
      <alignment horizontal="center" vertical="center" wrapText="1"/>
    </xf>
    <xf numFmtId="0" fontId="15" fillId="13" borderId="44"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13" borderId="2" xfId="0" applyFont="1" applyFill="1" applyBorder="1" applyAlignment="1">
      <alignment horizontal="center" vertical="center" wrapText="1"/>
    </xf>
    <xf numFmtId="0" fontId="3" fillId="0" borderId="3" xfId="0" applyFont="1" applyBorder="1" applyAlignment="1">
      <alignment horizontal="center" wrapText="1"/>
    </xf>
    <xf numFmtId="0" fontId="15" fillId="0" borderId="0" xfId="0" applyFont="1" applyAlignment="1">
      <alignment horizontal="center"/>
    </xf>
    <xf numFmtId="0" fontId="15" fillId="0" borderId="0" xfId="0" applyFont="1" applyAlignment="1">
      <alignment horizontal="left" wrapText="1"/>
    </xf>
    <xf numFmtId="0" fontId="15" fillId="11" borderId="0" xfId="0" applyFont="1" applyFill="1" applyAlignment="1">
      <alignment horizontal="center"/>
    </xf>
    <xf numFmtId="0" fontId="15" fillId="11" borderId="7" xfId="0" applyFont="1" applyFill="1" applyBorder="1" applyAlignment="1">
      <alignment horizontal="center"/>
    </xf>
    <xf numFmtId="0" fontId="15" fillId="7" borderId="45"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1" borderId="4"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0" fillId="0" borderId="0" xfId="0" applyFont="1" applyAlignment="1">
      <alignment horizontal="left"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3" fillId="0" borderId="0" xfId="0" applyFont="1" applyAlignment="1">
      <alignment horizontal="left" vertical="top" wrapText="1"/>
    </xf>
    <xf numFmtId="0" fontId="1" fillId="11" borderId="14" xfId="0" applyFont="1" applyFill="1" applyBorder="1" applyAlignment="1">
      <alignment horizontal="center"/>
    </xf>
    <xf numFmtId="0" fontId="1" fillId="11" borderId="13" xfId="0" applyFont="1" applyFill="1" applyBorder="1" applyAlignment="1">
      <alignment horizontal="center"/>
    </xf>
    <xf numFmtId="0" fontId="1" fillId="0" borderId="0" xfId="0" applyFont="1" applyAlignment="1">
      <alignment horizontal="center"/>
    </xf>
    <xf numFmtId="0" fontId="15" fillId="7" borderId="4" xfId="0" applyFont="1" applyFill="1" applyBorder="1" applyAlignment="1">
      <alignment horizontal="center"/>
    </xf>
    <xf numFmtId="0" fontId="15" fillId="7" borderId="5" xfId="0" applyFont="1" applyFill="1" applyBorder="1" applyAlignment="1">
      <alignment horizontal="center"/>
    </xf>
    <xf numFmtId="0" fontId="15" fillId="7" borderId="2" xfId="0" applyFont="1" applyFill="1" applyBorder="1" applyAlignment="1">
      <alignment horizontal="center"/>
    </xf>
    <xf numFmtId="0" fontId="15" fillId="13" borderId="0" xfId="0" applyFont="1" applyFill="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7" xfId="0" applyFont="1" applyBorder="1" applyAlignment="1">
      <alignment horizontal="left" vertical="top"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65" xfId="0" applyNumberFormat="1" applyFont="1" applyBorder="1" applyAlignment="1">
      <alignment horizontal="center"/>
    </xf>
    <xf numFmtId="168" fontId="1" fillId="0" borderId="66" xfId="0" applyNumberFormat="1" applyFont="1" applyBorder="1" applyAlignment="1">
      <alignment horizontal="center"/>
    </xf>
    <xf numFmtId="1" fontId="1" fillId="0" borderId="67" xfId="0" applyNumberFormat="1" applyFont="1" applyBorder="1" applyAlignment="1">
      <alignment horizontal="center"/>
    </xf>
    <xf numFmtId="1" fontId="1" fillId="0" borderId="65" xfId="0" applyNumberFormat="1" applyFont="1" applyBorder="1" applyAlignment="1">
      <alignment horizontal="center"/>
    </xf>
    <xf numFmtId="1" fontId="1" fillId="0" borderId="66" xfId="0" applyNumberFormat="1" applyFont="1" applyBorder="1" applyAlignment="1">
      <alignment horizontal="center"/>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6" xfId="0" applyFont="1" applyBorder="1" applyAlignment="1">
      <alignment horizontal="center"/>
    </xf>
    <xf numFmtId="0" fontId="15" fillId="0" borderId="8"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15" fillId="11" borderId="43" xfId="0" applyFont="1" applyFill="1" applyBorder="1" applyAlignment="1">
      <alignment horizontal="center" wrapText="1"/>
    </xf>
    <xf numFmtId="0" fontId="15" fillId="11" borderId="44" xfId="0" applyFont="1" applyFill="1" applyBorder="1" applyAlignment="1">
      <alignment horizontal="center" wrapText="1"/>
    </xf>
    <xf numFmtId="0" fontId="15" fillId="11" borderId="46" xfId="0" applyFont="1" applyFill="1" applyBorder="1" applyAlignment="1">
      <alignment horizontal="center" wrapText="1"/>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38" fillId="0" borderId="78" xfId="0" applyNumberFormat="1" applyFont="1" applyBorder="1" applyAlignment="1">
      <alignment horizontal="center" vertical="top"/>
    </xf>
    <xf numFmtId="1" fontId="38" fillId="0" borderId="0" xfId="0" applyNumberFormat="1" applyFont="1" applyAlignment="1">
      <alignment horizontal="center" vertical="top"/>
    </xf>
    <xf numFmtId="1" fontId="38" fillId="0" borderId="43" xfId="0" applyNumberFormat="1" applyFont="1" applyBorder="1" applyAlignment="1">
      <alignment horizontal="center" vertical="top"/>
    </xf>
    <xf numFmtId="1" fontId="38" fillId="0" borderId="44" xfId="0" applyNumberFormat="1" applyFont="1" applyBorder="1" applyAlignment="1">
      <alignment horizontal="center" vertical="top"/>
    </xf>
    <xf numFmtId="1" fontId="38"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7" borderId="0" xfId="0" applyFont="1" applyFill="1" applyAlignment="1">
      <alignment wrapText="1"/>
    </xf>
    <xf numFmtId="0" fontId="1" fillId="0" borderId="0" xfId="0" applyFont="1" applyAlignment="1">
      <alignment wrapText="1"/>
    </xf>
    <xf numFmtId="0" fontId="7" fillId="28" borderId="0" xfId="0" applyFont="1" applyFill="1" applyAlignment="1">
      <alignment horizontal="center" wrapText="1"/>
    </xf>
    <xf numFmtId="0" fontId="1" fillId="8" borderId="0" xfId="0" applyFont="1" applyFill="1" applyAlignment="1">
      <alignment horizontal="center" wrapText="1"/>
    </xf>
    <xf numFmtId="0" fontId="7" fillId="29" borderId="0" xfId="0" applyFont="1" applyFill="1" applyAlignment="1">
      <alignment horizontal="center" wrapText="1"/>
    </xf>
    <xf numFmtId="0" fontId="7" fillId="30" borderId="0" xfId="0" applyFont="1" applyFill="1" applyAlignment="1">
      <alignment horizontal="center" wrapText="1"/>
    </xf>
  </cellXfs>
  <cellStyles count="2">
    <cellStyle name="Normal" xfId="0" builtinId="0"/>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Purchases'!$H$41:$U$41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Purchases'!$AO$91:$BB$91</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Purchases'!$H$41:$U$41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Purchases'!$H$45:$U$45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2842.1146046511626</c:v>
                </c:pt>
                <c:pt idx="12">
                  <c:v>2881.8753488372095</c:v>
                </c:pt>
                <c:pt idx="13">
                  <c:v>2917.0682790697679</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Purchases'!$AO$93:$BB$93</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Purchases'!$H$41:$U$41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Purchases'!$AO$92:$BB$92</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Purchases'!$AO$86:$BB$86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Purchases'!$AO$95:$BB$95</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2049.5452790933386</c:v>
                </c:pt>
                <c:pt idx="12">
                  <c:v>2082.4974597048958</c:v>
                </c:pt>
                <c:pt idx="13">
                  <c:v>2123.5664046211277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Purchases'!$AO$86:$BB$86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Purchases'!$H$46:$U$46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2270.6598837445013</c:v>
                </c:pt>
                <c:pt idx="12">
                  <c:v>2318.3728085421053</c:v>
                </c:pt>
                <c:pt idx="13">
                  <c:v>2368.6346836908956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Purchases'!$AO$97:$BB$97</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2095.9452790933387</c:v>
                </c:pt>
                <c:pt idx="12">
                  <c:v>2127.0974597048958</c:v>
                </c:pt>
                <c:pt idx="13">
                  <c:v>2165.3664046211279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Purchases'!$AO$86:$BB$86</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Purchases'!$AO$96:$BB$96</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1890.5452790933386</c:v>
                      </c:pt>
                      <c:pt idx="12">
                        <c:v>1922.4974597048958</c:v>
                      </c:pt>
                      <c:pt idx="13">
                        <c:v>1964.5664046211277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95250</xdr:rowOff>
    </xdr:from>
    <xdr:to>
      <xdr:col>4</xdr:col>
      <xdr:colOff>0</xdr:colOff>
      <xdr:row>38</xdr:row>
      <xdr:rowOff>76200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118110</xdr:rowOff>
    </xdr:from>
    <xdr:to>
      <xdr:col>5</xdr:col>
      <xdr:colOff>0</xdr:colOff>
      <xdr:row>75</xdr:row>
      <xdr:rowOff>2858</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149542</xdr:rowOff>
    </xdr:from>
    <xdr:to>
      <xdr:col>4</xdr:col>
      <xdr:colOff>800100</xdr:colOff>
      <xdr:row>69</xdr:row>
      <xdr:rowOff>35242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118110</xdr:rowOff>
    </xdr:from>
    <xdr:to>
      <xdr:col>5</xdr:col>
      <xdr:colOff>0</xdr:colOff>
      <xdr:row>75</xdr:row>
      <xdr:rowOff>2858</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106</xdr:row>
      <xdr:rowOff>41434</xdr:rowOff>
    </xdr:from>
    <xdr:to>
      <xdr:col>20</xdr:col>
      <xdr:colOff>381000</xdr:colOff>
      <xdr:row>107</xdr:row>
      <xdr:rowOff>453390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151447</xdr:rowOff>
    </xdr:from>
    <xdr:to>
      <xdr:col>20</xdr:col>
      <xdr:colOff>381000</xdr:colOff>
      <xdr:row>107</xdr:row>
      <xdr:rowOff>186690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151447</xdr:rowOff>
    </xdr:from>
    <xdr:to>
      <xdr:col>20</xdr:col>
      <xdr:colOff>381000</xdr:colOff>
      <xdr:row>107</xdr:row>
      <xdr:rowOff>186690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151447</xdr:rowOff>
    </xdr:from>
    <xdr:to>
      <xdr:col>20</xdr:col>
      <xdr:colOff>381000</xdr:colOff>
      <xdr:row>107</xdr:row>
      <xdr:rowOff>186690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151447</xdr:rowOff>
    </xdr:from>
    <xdr:to>
      <xdr:col>20</xdr:col>
      <xdr:colOff>381000</xdr:colOff>
      <xdr:row>107</xdr:row>
      <xdr:rowOff>186690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232410</xdr:rowOff>
    </xdr:from>
    <xdr:to>
      <xdr:col>5</xdr:col>
      <xdr:colOff>0</xdr:colOff>
      <xdr:row>61</xdr:row>
      <xdr:rowOff>3333</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232410</xdr:rowOff>
    </xdr:from>
    <xdr:to>
      <xdr:col>5</xdr:col>
      <xdr:colOff>0</xdr:colOff>
      <xdr:row>61</xdr:row>
      <xdr:rowOff>3333</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105</xdr:row>
      <xdr:rowOff>79534</xdr:rowOff>
    </xdr:from>
    <xdr:to>
      <xdr:col>20</xdr:col>
      <xdr:colOff>381000</xdr:colOff>
      <xdr:row>107</xdr:row>
      <xdr:rowOff>377190</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190500</xdr:rowOff>
    </xdr:from>
    <xdr:to>
      <xdr:col>5</xdr:col>
      <xdr:colOff>0</xdr:colOff>
      <xdr:row>83</xdr:row>
      <xdr:rowOff>339090</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186690</xdr:rowOff>
    </xdr:from>
    <xdr:to>
      <xdr:col>4</xdr:col>
      <xdr:colOff>800100</xdr:colOff>
      <xdr:row>77</xdr:row>
      <xdr:rowOff>190500</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190500</xdr:rowOff>
    </xdr:from>
    <xdr:to>
      <xdr:col>5</xdr:col>
      <xdr:colOff>0</xdr:colOff>
      <xdr:row>83</xdr:row>
      <xdr:rowOff>339090</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139</xdr:row>
      <xdr:rowOff>110490</xdr:rowOff>
    </xdr:from>
    <xdr:to>
      <xdr:col>20</xdr:col>
      <xdr:colOff>381000</xdr:colOff>
      <xdr:row>144</xdr:row>
      <xdr:rowOff>34290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44</xdr:row>
      <xdr:rowOff>0</xdr:rowOff>
    </xdr:from>
    <xdr:to>
      <xdr:col>44</xdr:col>
      <xdr:colOff>539348</xdr:colOff>
      <xdr:row>81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44</xdr:row>
      <xdr:rowOff>0</xdr:rowOff>
    </xdr:from>
    <xdr:to>
      <xdr:col>55</xdr:col>
      <xdr:colOff>-1</xdr:colOff>
      <xdr:row>81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149434</xdr:rowOff>
    </xdr:from>
    <xdr:to>
      <xdr:col>38</xdr:col>
      <xdr:colOff>644416</xdr:colOff>
      <xdr:row>66</xdr:row>
      <xdr:rowOff>149434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149434</xdr:rowOff>
    </xdr:from>
    <xdr:to>
      <xdr:col>38</xdr:col>
      <xdr:colOff>530116</xdr:colOff>
      <xdr:row>68</xdr:row>
      <xdr:rowOff>37197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78</xdr:row>
      <xdr:rowOff>1390</xdr:rowOff>
    </xdr:from>
    <xdr:to>
      <xdr:col>38</xdr:col>
      <xdr:colOff>530116</xdr:colOff>
      <xdr:row>78</xdr:row>
      <xdr:rowOff>1390</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78</xdr:row>
      <xdr:rowOff>1390</xdr:rowOff>
    </xdr:from>
    <xdr:to>
      <xdr:col>38</xdr:col>
      <xdr:colOff>606316</xdr:colOff>
      <xdr:row>78</xdr:row>
      <xdr:rowOff>1390</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149434</xdr:rowOff>
    </xdr:from>
    <xdr:to>
      <xdr:col>38</xdr:col>
      <xdr:colOff>606316</xdr:colOff>
      <xdr:row>66</xdr:row>
      <xdr:rowOff>149434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33468</xdr:rowOff>
    </xdr:from>
    <xdr:to>
      <xdr:col>38</xdr:col>
      <xdr:colOff>644416</xdr:colOff>
      <xdr:row>51</xdr:row>
      <xdr:rowOff>33468</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51</xdr:row>
      <xdr:rowOff>33468</xdr:rowOff>
    </xdr:from>
    <xdr:to>
      <xdr:col>38</xdr:col>
      <xdr:colOff>530116</xdr:colOff>
      <xdr:row>56</xdr:row>
      <xdr:rowOff>37060</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58</xdr:row>
      <xdr:rowOff>110766</xdr:rowOff>
    </xdr:from>
    <xdr:to>
      <xdr:col>38</xdr:col>
      <xdr:colOff>530116</xdr:colOff>
      <xdr:row>58</xdr:row>
      <xdr:rowOff>110766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58</xdr:row>
      <xdr:rowOff>110766</xdr:rowOff>
    </xdr:from>
    <xdr:to>
      <xdr:col>38</xdr:col>
      <xdr:colOff>606316</xdr:colOff>
      <xdr:row>58</xdr:row>
      <xdr:rowOff>110766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33468</xdr:rowOff>
    </xdr:from>
    <xdr:to>
      <xdr:col>38</xdr:col>
      <xdr:colOff>606316</xdr:colOff>
      <xdr:row>51</xdr:row>
      <xdr:rowOff>33468</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72885</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155343</xdr:rowOff>
    </xdr:from>
    <xdr:to>
      <xdr:col>38</xdr:col>
      <xdr:colOff>492418</xdr:colOff>
      <xdr:row>54</xdr:row>
      <xdr:rowOff>76902</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155343</xdr:rowOff>
    </xdr:from>
    <xdr:to>
      <xdr:col>38</xdr:col>
      <xdr:colOff>568618</xdr:colOff>
      <xdr:row>54</xdr:row>
      <xdr:rowOff>76902</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72885</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155343</xdr:rowOff>
    </xdr:from>
    <xdr:to>
      <xdr:col>38</xdr:col>
      <xdr:colOff>492418</xdr:colOff>
      <xdr:row>54</xdr:row>
      <xdr:rowOff>76902</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155343</xdr:rowOff>
    </xdr:from>
    <xdr:to>
      <xdr:col>38</xdr:col>
      <xdr:colOff>568618</xdr:colOff>
      <xdr:row>54</xdr:row>
      <xdr:rowOff>76902</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71705</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155737</xdr:rowOff>
    </xdr:from>
    <xdr:to>
      <xdr:col>38</xdr:col>
      <xdr:colOff>492418</xdr:colOff>
      <xdr:row>54</xdr:row>
      <xdr:rowOff>75753</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155737</xdr:rowOff>
    </xdr:from>
    <xdr:to>
      <xdr:col>38</xdr:col>
      <xdr:colOff>568618</xdr:colOff>
      <xdr:row>54</xdr:row>
      <xdr:rowOff>75753</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71705</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155737</xdr:rowOff>
    </xdr:from>
    <xdr:to>
      <xdr:col>38</xdr:col>
      <xdr:colOff>492418</xdr:colOff>
      <xdr:row>54</xdr:row>
      <xdr:rowOff>75753</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155737</xdr:rowOff>
    </xdr:from>
    <xdr:to>
      <xdr:col>38</xdr:col>
      <xdr:colOff>568618</xdr:colOff>
      <xdr:row>54</xdr:row>
      <xdr:rowOff>75753</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75875</xdr:rowOff>
    </xdr:from>
    <xdr:to>
      <xdr:col>38</xdr:col>
      <xdr:colOff>608623</xdr:colOff>
      <xdr:row>44</xdr:row>
      <xdr:rowOff>114610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71705</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155737</xdr:rowOff>
    </xdr:from>
    <xdr:to>
      <xdr:col>38</xdr:col>
      <xdr:colOff>492418</xdr:colOff>
      <xdr:row>54</xdr:row>
      <xdr:rowOff>75753</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53</xdr:row>
      <xdr:rowOff>155737</xdr:rowOff>
    </xdr:from>
    <xdr:to>
      <xdr:col>38</xdr:col>
      <xdr:colOff>568618</xdr:colOff>
      <xdr:row>54</xdr:row>
      <xdr:rowOff>75753</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75875</xdr:rowOff>
    </xdr:from>
    <xdr:to>
      <xdr:col>38</xdr:col>
      <xdr:colOff>568618</xdr:colOff>
      <xdr:row>44</xdr:row>
      <xdr:rowOff>114610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608623</xdr:colOff>
      <xdr:row>45</xdr:row>
      <xdr:rowOff>4657</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3811</xdr:rowOff>
    </xdr:from>
    <xdr:to>
      <xdr:col>38</xdr:col>
      <xdr:colOff>456223</xdr:colOff>
      <xdr:row>58</xdr:row>
      <xdr:rowOff>71738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187569</xdr:rowOff>
    </xdr:from>
    <xdr:to>
      <xdr:col>38</xdr:col>
      <xdr:colOff>456223</xdr:colOff>
      <xdr:row>52</xdr:row>
      <xdr:rowOff>187569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187569</xdr:rowOff>
    </xdr:from>
    <xdr:to>
      <xdr:col>38</xdr:col>
      <xdr:colOff>532423</xdr:colOff>
      <xdr:row>52</xdr:row>
      <xdr:rowOff>187569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532423</xdr:colOff>
      <xdr:row>45</xdr:row>
      <xdr:rowOff>4657</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4558</xdr:rowOff>
    </xdr:from>
    <xdr:to>
      <xdr:col>3</xdr:col>
      <xdr:colOff>304800</xdr:colOff>
      <xdr:row>26</xdr:row>
      <xdr:rowOff>156714</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148785</xdr:rowOff>
    </xdr:from>
    <xdr:to>
      <xdr:col>20</xdr:col>
      <xdr:colOff>149519</xdr:colOff>
      <xdr:row>29</xdr:row>
      <xdr:rowOff>117767</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608623</xdr:colOff>
      <xdr:row>45</xdr:row>
      <xdr:rowOff>4657</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3811</xdr:rowOff>
    </xdr:from>
    <xdr:to>
      <xdr:col>38</xdr:col>
      <xdr:colOff>456223</xdr:colOff>
      <xdr:row>58</xdr:row>
      <xdr:rowOff>71738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187569</xdr:rowOff>
    </xdr:from>
    <xdr:to>
      <xdr:col>38</xdr:col>
      <xdr:colOff>456223</xdr:colOff>
      <xdr:row>52</xdr:row>
      <xdr:rowOff>187569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187569</xdr:rowOff>
    </xdr:from>
    <xdr:to>
      <xdr:col>38</xdr:col>
      <xdr:colOff>532423</xdr:colOff>
      <xdr:row>52</xdr:row>
      <xdr:rowOff>187569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532423</xdr:colOff>
      <xdr:row>45</xdr:row>
      <xdr:rowOff>4657</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4558</xdr:rowOff>
    </xdr:from>
    <xdr:to>
      <xdr:col>3</xdr:col>
      <xdr:colOff>304800</xdr:colOff>
      <xdr:row>26</xdr:row>
      <xdr:rowOff>156714</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148785</xdr:rowOff>
    </xdr:from>
    <xdr:to>
      <xdr:col>20</xdr:col>
      <xdr:colOff>149519</xdr:colOff>
      <xdr:row>29</xdr:row>
      <xdr:rowOff>117767</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608623</xdr:colOff>
      <xdr:row>63</xdr:row>
      <xdr:rowOff>186954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186081</xdr:rowOff>
    </xdr:from>
    <xdr:to>
      <xdr:col>38</xdr:col>
      <xdr:colOff>456223</xdr:colOff>
      <xdr:row>69</xdr:row>
      <xdr:rowOff>155727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532423</xdr:colOff>
      <xdr:row>63</xdr:row>
      <xdr:rowOff>186954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149519</xdr:colOff>
      <xdr:row>38</xdr:row>
      <xdr:rowOff>155869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608623</xdr:colOff>
      <xdr:row>63</xdr:row>
      <xdr:rowOff>186954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186081</xdr:rowOff>
    </xdr:from>
    <xdr:to>
      <xdr:col>38</xdr:col>
      <xdr:colOff>456223</xdr:colOff>
      <xdr:row>69</xdr:row>
      <xdr:rowOff>155727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532423</xdr:colOff>
      <xdr:row>63</xdr:row>
      <xdr:rowOff>186954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117134</xdr:colOff>
      <xdr:row>38</xdr:row>
      <xdr:rowOff>155869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608623</xdr:colOff>
      <xdr:row>63</xdr:row>
      <xdr:rowOff>186954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186912</xdr:rowOff>
    </xdr:from>
    <xdr:to>
      <xdr:col>38</xdr:col>
      <xdr:colOff>456223</xdr:colOff>
      <xdr:row>69</xdr:row>
      <xdr:rowOff>155727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532423</xdr:colOff>
      <xdr:row>63</xdr:row>
      <xdr:rowOff>186954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113324</xdr:colOff>
      <xdr:row>38</xdr:row>
      <xdr:rowOff>155869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608623</xdr:colOff>
      <xdr:row>63</xdr:row>
      <xdr:rowOff>186954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186912</xdr:rowOff>
    </xdr:from>
    <xdr:to>
      <xdr:col>38</xdr:col>
      <xdr:colOff>456223</xdr:colOff>
      <xdr:row>69</xdr:row>
      <xdr:rowOff>155727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532423</xdr:colOff>
      <xdr:row>63</xdr:row>
      <xdr:rowOff>186954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113324</xdr:colOff>
      <xdr:row>38</xdr:row>
      <xdr:rowOff>155869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65</xdr:row>
      <xdr:rowOff>645660</xdr:rowOff>
    </xdr:from>
    <xdr:to>
      <xdr:col>40</xdr:col>
      <xdr:colOff>346710</xdr:colOff>
      <xdr:row>67</xdr:row>
      <xdr:rowOff>118161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147665</xdr:rowOff>
    </xdr:from>
    <xdr:to>
      <xdr:col>40</xdr:col>
      <xdr:colOff>228600</xdr:colOff>
      <xdr:row>88</xdr:row>
      <xdr:rowOff>186839</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65</xdr:row>
      <xdr:rowOff>155650</xdr:rowOff>
    </xdr:from>
    <xdr:to>
      <xdr:col>38</xdr:col>
      <xdr:colOff>457200</xdr:colOff>
      <xdr:row>65</xdr:row>
      <xdr:rowOff>461775</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65</xdr:row>
      <xdr:rowOff>155650</xdr:rowOff>
    </xdr:from>
    <xdr:to>
      <xdr:col>38</xdr:col>
      <xdr:colOff>533400</xdr:colOff>
      <xdr:row>65</xdr:row>
      <xdr:rowOff>461775</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37333</xdr:rowOff>
    </xdr:from>
    <xdr:to>
      <xdr:col>40</xdr:col>
      <xdr:colOff>228600</xdr:colOff>
      <xdr:row>75</xdr:row>
      <xdr:rowOff>71677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149469</xdr:rowOff>
    </xdr:from>
    <xdr:to>
      <xdr:col>3</xdr:col>
      <xdr:colOff>304800</xdr:colOff>
      <xdr:row>33</xdr:row>
      <xdr:rowOff>263281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1466</xdr:rowOff>
    </xdr:from>
    <xdr:to>
      <xdr:col>20</xdr:col>
      <xdr:colOff>152400</xdr:colOff>
      <xdr:row>49</xdr:row>
      <xdr:rowOff>112438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80889</xdr:rowOff>
    </xdr:from>
    <xdr:to>
      <xdr:col>20</xdr:col>
      <xdr:colOff>308610</xdr:colOff>
      <xdr:row>43</xdr:row>
      <xdr:rowOff>33753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83</xdr:row>
      <xdr:rowOff>76200</xdr:rowOff>
    </xdr:from>
    <xdr:to>
      <xdr:col>40</xdr:col>
      <xdr:colOff>342900</xdr:colOff>
      <xdr:row>86</xdr:row>
      <xdr:rowOff>304800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87</xdr:row>
      <xdr:rowOff>228600</xdr:rowOff>
    </xdr:from>
    <xdr:to>
      <xdr:col>40</xdr:col>
      <xdr:colOff>228600</xdr:colOff>
      <xdr:row>112</xdr:row>
      <xdr:rowOff>114300</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80</xdr:row>
      <xdr:rowOff>186690</xdr:rowOff>
    </xdr:from>
    <xdr:to>
      <xdr:col>38</xdr:col>
      <xdr:colOff>453390</xdr:colOff>
      <xdr:row>82</xdr:row>
      <xdr:rowOff>114300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80</xdr:row>
      <xdr:rowOff>186690</xdr:rowOff>
    </xdr:from>
    <xdr:to>
      <xdr:col>38</xdr:col>
      <xdr:colOff>533400</xdr:colOff>
      <xdr:row>82</xdr:row>
      <xdr:rowOff>114300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87</xdr:row>
      <xdr:rowOff>228600</xdr:rowOff>
    </xdr:from>
    <xdr:to>
      <xdr:col>40</xdr:col>
      <xdr:colOff>228600</xdr:colOff>
      <xdr:row>92</xdr:row>
      <xdr:rowOff>228600</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72390</xdr:rowOff>
    </xdr:from>
    <xdr:to>
      <xdr:col>3</xdr:col>
      <xdr:colOff>304800</xdr:colOff>
      <xdr:row>43</xdr:row>
      <xdr:rowOff>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186690</xdr:rowOff>
    </xdr:from>
    <xdr:to>
      <xdr:col>20</xdr:col>
      <xdr:colOff>148590</xdr:colOff>
      <xdr:row>65</xdr:row>
      <xdr:rowOff>722331</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47</xdr:row>
      <xdr:rowOff>79450</xdr:rowOff>
    </xdr:from>
    <xdr:to>
      <xdr:col>3</xdr:col>
      <xdr:colOff>304800</xdr:colOff>
      <xdr:row>50</xdr:row>
      <xdr:rowOff>76200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49</xdr:row>
      <xdr:rowOff>74631</xdr:rowOff>
    </xdr:from>
    <xdr:to>
      <xdr:col>20</xdr:col>
      <xdr:colOff>339090</xdr:colOff>
      <xdr:row>52</xdr:row>
      <xdr:rowOff>72390</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83</xdr:row>
      <xdr:rowOff>152400</xdr:rowOff>
    </xdr:from>
    <xdr:to>
      <xdr:col>22</xdr:col>
      <xdr:colOff>217170</xdr:colOff>
      <xdr:row>87</xdr:row>
      <xdr:rowOff>140970</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190500</xdr:rowOff>
    </xdr:from>
    <xdr:to>
      <xdr:col>4</xdr:col>
      <xdr:colOff>0</xdr:colOff>
      <xdr:row>26</xdr:row>
      <xdr:rowOff>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47413</xdr:rowOff>
    </xdr:from>
    <xdr:to>
      <xdr:col>6</xdr:col>
      <xdr:colOff>0</xdr:colOff>
      <xdr:row>25</xdr:row>
      <xdr:rowOff>41979</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3395</xdr:rowOff>
    </xdr:from>
    <xdr:to>
      <xdr:col>4</xdr:col>
      <xdr:colOff>228600</xdr:colOff>
      <xdr:row>30</xdr:row>
      <xdr:rowOff>3222</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47413</xdr:rowOff>
    </xdr:from>
    <xdr:to>
      <xdr:col>6</xdr:col>
      <xdr:colOff>0</xdr:colOff>
      <xdr:row>25</xdr:row>
      <xdr:rowOff>41979</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3395</xdr:rowOff>
    </xdr:from>
    <xdr:to>
      <xdr:col>4</xdr:col>
      <xdr:colOff>228600</xdr:colOff>
      <xdr:row>30</xdr:row>
      <xdr:rowOff>3222</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82550</xdr:rowOff>
    </xdr:from>
    <xdr:to>
      <xdr:col>4</xdr:col>
      <xdr:colOff>453390</xdr:colOff>
      <xdr:row>26</xdr:row>
      <xdr:rowOff>42756</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453390</xdr:colOff>
      <xdr:row>22</xdr:row>
      <xdr:rowOff>158750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453390</xdr:colOff>
      <xdr:row>22</xdr:row>
      <xdr:rowOff>158750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453390</xdr:colOff>
      <xdr:row>22</xdr:row>
      <xdr:rowOff>158750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419100</xdr:colOff>
      <xdr:row>22</xdr:row>
      <xdr:rowOff>158750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44450</xdr:rowOff>
    </xdr:from>
    <xdr:to>
      <xdr:col>4</xdr:col>
      <xdr:colOff>419100</xdr:colOff>
      <xdr:row>22</xdr:row>
      <xdr:rowOff>158750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44450</xdr:rowOff>
    </xdr:from>
    <xdr:to>
      <xdr:col>4</xdr:col>
      <xdr:colOff>419100</xdr:colOff>
      <xdr:row>22</xdr:row>
      <xdr:rowOff>158750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44450</xdr:rowOff>
    </xdr:from>
    <xdr:to>
      <xdr:col>4</xdr:col>
      <xdr:colOff>419100</xdr:colOff>
      <xdr:row>22</xdr:row>
      <xdr:rowOff>158750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44450</xdr:rowOff>
    </xdr:from>
    <xdr:to>
      <xdr:col>4</xdr:col>
      <xdr:colOff>419100</xdr:colOff>
      <xdr:row>23</xdr:row>
      <xdr:rowOff>234950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44450</xdr:rowOff>
    </xdr:from>
    <xdr:to>
      <xdr:col>4</xdr:col>
      <xdr:colOff>419100</xdr:colOff>
      <xdr:row>23</xdr:row>
      <xdr:rowOff>234950</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44450</xdr:rowOff>
    </xdr:from>
    <xdr:to>
      <xdr:col>4</xdr:col>
      <xdr:colOff>419100</xdr:colOff>
      <xdr:row>23</xdr:row>
      <xdr:rowOff>234950</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62653</xdr:rowOff>
    </xdr:from>
    <xdr:to>
      <xdr:col>4</xdr:col>
      <xdr:colOff>419100</xdr:colOff>
      <xdr:row>23</xdr:row>
      <xdr:rowOff>251036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64770</xdr:rowOff>
    </xdr:from>
    <xdr:to>
      <xdr:col>4</xdr:col>
      <xdr:colOff>419100</xdr:colOff>
      <xdr:row>23</xdr:row>
      <xdr:rowOff>255270</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225062</xdr:colOff>
      <xdr:row>102</xdr:row>
      <xdr:rowOff>34766</xdr:rowOff>
    </xdr:from>
    <xdr:to>
      <xdr:col>11</xdr:col>
      <xdr:colOff>301262</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102</xdr:row>
      <xdr:rowOff>34766</xdr:rowOff>
    </xdr:from>
    <xdr:to>
      <xdr:col>14</xdr:col>
      <xdr:colOff>301262</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224790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102</xdr:row>
      <xdr:rowOff>34766</xdr:rowOff>
    </xdr:from>
    <xdr:to>
      <xdr:col>11</xdr:col>
      <xdr:colOff>301262</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102</xdr:row>
      <xdr:rowOff>34766</xdr:rowOff>
    </xdr:from>
    <xdr:to>
      <xdr:col>14</xdr:col>
      <xdr:colOff>301262</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609600</xdr:rowOff>
    </xdr:from>
    <xdr:to>
      <xdr:col>11</xdr:col>
      <xdr:colOff>301262</xdr:colOff>
      <xdr:row>77</xdr:row>
      <xdr:rowOff>609600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609600</xdr:rowOff>
    </xdr:from>
    <xdr:to>
      <xdr:col>14</xdr:col>
      <xdr:colOff>301262</xdr:colOff>
      <xdr:row>77</xdr:row>
      <xdr:rowOff>609600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609600</xdr:rowOff>
    </xdr:from>
    <xdr:to>
      <xdr:col>11</xdr:col>
      <xdr:colOff>301262</xdr:colOff>
      <xdr:row>77</xdr:row>
      <xdr:rowOff>609600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609600</xdr:rowOff>
    </xdr:from>
    <xdr:to>
      <xdr:col>14</xdr:col>
      <xdr:colOff>301262</xdr:colOff>
      <xdr:row>77</xdr:row>
      <xdr:rowOff>609600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79</xdr:row>
      <xdr:rowOff>2240</xdr:rowOff>
    </xdr:from>
    <xdr:to>
      <xdr:col>5</xdr:col>
      <xdr:colOff>190500</xdr:colOff>
      <xdr:row>85</xdr:row>
      <xdr:rowOff>77169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79346</xdr:rowOff>
    </xdr:from>
    <xdr:to>
      <xdr:col>5</xdr:col>
      <xdr:colOff>190500</xdr:colOff>
      <xdr:row>86</xdr:row>
      <xdr:rowOff>79920</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148983</xdr:rowOff>
    </xdr:from>
    <xdr:to>
      <xdr:col>5</xdr:col>
      <xdr:colOff>190500</xdr:colOff>
      <xdr:row>86</xdr:row>
      <xdr:rowOff>232169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3841</xdr:rowOff>
    </xdr:from>
    <xdr:to>
      <xdr:col>5</xdr:col>
      <xdr:colOff>190500</xdr:colOff>
      <xdr:row>87</xdr:row>
      <xdr:rowOff>111036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72814</xdr:rowOff>
    </xdr:from>
    <xdr:to>
      <xdr:col>5</xdr:col>
      <xdr:colOff>190500</xdr:colOff>
      <xdr:row>132</xdr:row>
      <xdr:rowOff>186719</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109</xdr:row>
      <xdr:rowOff>3266</xdr:rowOff>
    </xdr:from>
    <xdr:to>
      <xdr:col>5</xdr:col>
      <xdr:colOff>190500</xdr:colOff>
      <xdr:row>118</xdr:row>
      <xdr:rowOff>186508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79</xdr:row>
      <xdr:rowOff>4417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74</xdr:row>
      <xdr:rowOff>3478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69</xdr:row>
      <xdr:rowOff>117960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2329</xdr:rowOff>
    </xdr:from>
    <xdr:to>
      <xdr:col>5</xdr:col>
      <xdr:colOff>190500</xdr:colOff>
      <xdr:row>68</xdr:row>
      <xdr:rowOff>152976</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111095</xdr:rowOff>
    </xdr:from>
    <xdr:to>
      <xdr:col>5</xdr:col>
      <xdr:colOff>190500</xdr:colOff>
      <xdr:row>67</xdr:row>
      <xdr:rowOff>153913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34138</xdr:rowOff>
    </xdr:from>
    <xdr:to>
      <xdr:col>6</xdr:col>
      <xdr:colOff>38100</xdr:colOff>
      <xdr:row>116</xdr:row>
      <xdr:rowOff>79981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147955</xdr:rowOff>
    </xdr:from>
    <xdr:to>
      <xdr:col>19</xdr:col>
      <xdr:colOff>643466</xdr:colOff>
      <xdr:row>15</xdr:row>
      <xdr:rowOff>148590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1030</xdr:rowOff>
    </xdr:from>
    <xdr:to>
      <xdr:col>5</xdr:col>
      <xdr:colOff>190500</xdr:colOff>
      <xdr:row>67</xdr:row>
      <xdr:rowOff>152552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34623</xdr:rowOff>
    </xdr:from>
    <xdr:to>
      <xdr:col>5</xdr:col>
      <xdr:colOff>190500</xdr:colOff>
      <xdr:row>68</xdr:row>
      <xdr:rowOff>80313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73297</xdr:rowOff>
    </xdr:from>
    <xdr:to>
      <xdr:col>5</xdr:col>
      <xdr:colOff>190500</xdr:colOff>
      <xdr:row>69</xdr:row>
      <xdr:rowOff>80677</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147956</xdr:rowOff>
    </xdr:from>
    <xdr:to>
      <xdr:col>5</xdr:col>
      <xdr:colOff>190500</xdr:colOff>
      <xdr:row>70</xdr:row>
      <xdr:rowOff>79134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3659</xdr:rowOff>
    </xdr:from>
    <xdr:to>
      <xdr:col>5</xdr:col>
      <xdr:colOff>190500</xdr:colOff>
      <xdr:row>113</xdr:row>
      <xdr:rowOff>185752</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89</xdr:row>
      <xdr:rowOff>42424</xdr:rowOff>
    </xdr:from>
    <xdr:to>
      <xdr:col>5</xdr:col>
      <xdr:colOff>190500</xdr:colOff>
      <xdr:row>100</xdr:row>
      <xdr:rowOff>42576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2057</xdr:rowOff>
    </xdr:from>
    <xdr:to>
      <xdr:col>5</xdr:col>
      <xdr:colOff>190500</xdr:colOff>
      <xdr:row>61</xdr:row>
      <xdr:rowOff>34051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55</xdr:row>
      <xdr:rowOff>109766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48</xdr:row>
      <xdr:rowOff>938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71786</xdr:rowOff>
    </xdr:from>
    <xdr:to>
      <xdr:col>5</xdr:col>
      <xdr:colOff>190500</xdr:colOff>
      <xdr:row>47</xdr:row>
      <xdr:rowOff>33472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34441</xdr:rowOff>
    </xdr:from>
    <xdr:to>
      <xdr:col>5</xdr:col>
      <xdr:colOff>190500</xdr:colOff>
      <xdr:row>46</xdr:row>
      <xdr:rowOff>35106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111428</xdr:rowOff>
    </xdr:from>
    <xdr:to>
      <xdr:col>6</xdr:col>
      <xdr:colOff>38100</xdr:colOff>
      <xdr:row>97</xdr:row>
      <xdr:rowOff>185873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109855</xdr:rowOff>
    </xdr:from>
    <xdr:to>
      <xdr:col>19</xdr:col>
      <xdr:colOff>605366</xdr:colOff>
      <xdr:row>15</xdr:row>
      <xdr:rowOff>148590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117474</xdr:rowOff>
    </xdr:from>
    <xdr:to>
      <xdr:col>5</xdr:col>
      <xdr:colOff>190500</xdr:colOff>
      <xdr:row>87</xdr:row>
      <xdr:rowOff>41911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118745</xdr:rowOff>
    </xdr:from>
    <xdr:to>
      <xdr:col>5</xdr:col>
      <xdr:colOff>190500</xdr:colOff>
      <xdr:row>88</xdr:row>
      <xdr:rowOff>3809</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148591</xdr:rowOff>
    </xdr:from>
    <xdr:to>
      <xdr:col>5</xdr:col>
      <xdr:colOff>190500</xdr:colOff>
      <xdr:row>88</xdr:row>
      <xdr:rowOff>149012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3175</xdr:rowOff>
    </xdr:from>
    <xdr:to>
      <xdr:col>5</xdr:col>
      <xdr:colOff>190500</xdr:colOff>
      <xdr:row>89</xdr:row>
      <xdr:rowOff>149437</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111</xdr:row>
      <xdr:rowOff>42121</xdr:rowOff>
    </xdr:from>
    <xdr:to>
      <xdr:col>5</xdr:col>
      <xdr:colOff>190500</xdr:colOff>
      <xdr:row>124</xdr:row>
      <xdr:rowOff>117686</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68</xdr:row>
      <xdr:rowOff>41699</xdr:rowOff>
    </xdr:from>
    <xdr:to>
      <xdr:col>5</xdr:col>
      <xdr:colOff>190500</xdr:colOff>
      <xdr:row>84</xdr:row>
      <xdr:rowOff>186057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117688</xdr:rowOff>
    </xdr:from>
    <xdr:to>
      <xdr:col>5</xdr:col>
      <xdr:colOff>190500</xdr:colOff>
      <xdr:row>78</xdr:row>
      <xdr:rowOff>187114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153247</xdr:rowOff>
    </xdr:from>
    <xdr:to>
      <xdr:col>5</xdr:col>
      <xdr:colOff>190500</xdr:colOff>
      <xdr:row>71</xdr:row>
      <xdr:rowOff>342478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70</xdr:row>
      <xdr:rowOff>344595</xdr:rowOff>
    </xdr:from>
    <xdr:to>
      <xdr:col>5</xdr:col>
      <xdr:colOff>190500</xdr:colOff>
      <xdr:row>71</xdr:row>
      <xdr:rowOff>231988</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71</xdr:row>
      <xdr:rowOff>4445</xdr:rowOff>
    </xdr:from>
    <xdr:to>
      <xdr:col>5</xdr:col>
      <xdr:colOff>190500</xdr:colOff>
      <xdr:row>71</xdr:row>
      <xdr:rowOff>4445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42121</xdr:rowOff>
    </xdr:from>
    <xdr:to>
      <xdr:col>6</xdr:col>
      <xdr:colOff>38100</xdr:colOff>
      <xdr:row>122</xdr:row>
      <xdr:rowOff>71755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110702</xdr:rowOff>
    </xdr:from>
    <xdr:to>
      <xdr:col>18</xdr:col>
      <xdr:colOff>762000</xdr:colOff>
      <xdr:row>31</xdr:row>
      <xdr:rowOff>148802</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110702</xdr:rowOff>
    </xdr:from>
    <xdr:to>
      <xdr:col>19</xdr:col>
      <xdr:colOff>719666</xdr:colOff>
      <xdr:row>35</xdr:row>
      <xdr:rowOff>148801</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115570</xdr:rowOff>
    </xdr:from>
    <xdr:to>
      <xdr:col>5</xdr:col>
      <xdr:colOff>190500</xdr:colOff>
      <xdr:row>100</xdr:row>
      <xdr:rowOff>4233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109643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115570</xdr:rowOff>
    </xdr:from>
    <xdr:to>
      <xdr:col>6</xdr:col>
      <xdr:colOff>38100</xdr:colOff>
      <xdr:row>97</xdr:row>
      <xdr:rowOff>111335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115570</xdr:rowOff>
    </xdr:from>
    <xdr:to>
      <xdr:col>5</xdr:col>
      <xdr:colOff>190500</xdr:colOff>
      <xdr:row>100</xdr:row>
      <xdr:rowOff>4233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115570</xdr:rowOff>
    </xdr:from>
    <xdr:to>
      <xdr:col>6</xdr:col>
      <xdr:colOff>38100</xdr:colOff>
      <xdr:row>97</xdr:row>
      <xdr:rowOff>111335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77470</xdr:rowOff>
    </xdr:from>
    <xdr:to>
      <xdr:col>5</xdr:col>
      <xdr:colOff>190500</xdr:colOff>
      <xdr:row>100</xdr:row>
      <xdr:rowOff>4233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115570</xdr:rowOff>
    </xdr:from>
    <xdr:to>
      <xdr:col>6</xdr:col>
      <xdr:colOff>38100</xdr:colOff>
      <xdr:row>97</xdr:row>
      <xdr:rowOff>111335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77470</xdr:rowOff>
    </xdr:from>
    <xdr:to>
      <xdr:col>5</xdr:col>
      <xdr:colOff>190500</xdr:colOff>
      <xdr:row>100</xdr:row>
      <xdr:rowOff>4233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77470</xdr:rowOff>
    </xdr:from>
    <xdr:to>
      <xdr:col>6</xdr:col>
      <xdr:colOff>38100</xdr:colOff>
      <xdr:row>97</xdr:row>
      <xdr:rowOff>111335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70</xdr:row>
      <xdr:rowOff>189442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70</xdr:row>
      <xdr:rowOff>344171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71</xdr:row>
      <xdr:rowOff>42121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71</xdr:row>
      <xdr:rowOff>230718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110914</xdr:rowOff>
    </xdr:from>
    <xdr:to>
      <xdr:col>5</xdr:col>
      <xdr:colOff>643890</xdr:colOff>
      <xdr:row>91</xdr:row>
      <xdr:rowOff>111124</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643890</xdr:colOff>
      <xdr:row>93</xdr:row>
      <xdr:rowOff>41063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643890</xdr:colOff>
      <xdr:row>95</xdr:row>
      <xdr:rowOff>41275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70</xdr:row>
      <xdr:rowOff>189442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70</xdr:row>
      <xdr:rowOff>344171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71</xdr:row>
      <xdr:rowOff>42121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71</xdr:row>
      <xdr:rowOff>230718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110914</xdr:rowOff>
    </xdr:from>
    <xdr:to>
      <xdr:col>5</xdr:col>
      <xdr:colOff>643890</xdr:colOff>
      <xdr:row>91</xdr:row>
      <xdr:rowOff>111124</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643890</xdr:colOff>
      <xdr:row>93</xdr:row>
      <xdr:rowOff>41063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643890</xdr:colOff>
      <xdr:row>95</xdr:row>
      <xdr:rowOff>41275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643890</xdr:colOff>
      <xdr:row>48</xdr:row>
      <xdr:rowOff>635</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34291</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643890</xdr:colOff>
      <xdr:row>70</xdr:row>
      <xdr:rowOff>189442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643890</xdr:colOff>
      <xdr:row>70</xdr:row>
      <xdr:rowOff>344171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643890</xdr:colOff>
      <xdr:row>71</xdr:row>
      <xdr:rowOff>42121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643890</xdr:colOff>
      <xdr:row>71</xdr:row>
      <xdr:rowOff>230718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643890</xdr:colOff>
      <xdr:row>91</xdr:row>
      <xdr:rowOff>111124</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643890</xdr:colOff>
      <xdr:row>93</xdr:row>
      <xdr:rowOff>41063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643890</xdr:colOff>
      <xdr:row>95</xdr:row>
      <xdr:rowOff>41275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70</xdr:row>
      <xdr:rowOff>189442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70</xdr:row>
      <xdr:rowOff>344171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71</xdr:row>
      <xdr:rowOff>42121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71</xdr:row>
      <xdr:rowOff>230718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609600</xdr:colOff>
      <xdr:row>91</xdr:row>
      <xdr:rowOff>111124</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609600</xdr:colOff>
      <xdr:row>93</xdr:row>
      <xdr:rowOff>41063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609600</xdr:colOff>
      <xdr:row>95</xdr:row>
      <xdr:rowOff>41275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70</xdr:row>
      <xdr:rowOff>189442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70</xdr:row>
      <xdr:rowOff>344171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71</xdr:row>
      <xdr:rowOff>42121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71</xdr:row>
      <xdr:rowOff>230718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609600</xdr:colOff>
      <xdr:row>91</xdr:row>
      <xdr:rowOff>111124</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609600</xdr:colOff>
      <xdr:row>93</xdr:row>
      <xdr:rowOff>41063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609600</xdr:colOff>
      <xdr:row>95</xdr:row>
      <xdr:rowOff>41275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70</xdr:row>
      <xdr:rowOff>189442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70</xdr:row>
      <xdr:rowOff>344171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71</xdr:row>
      <xdr:rowOff>42121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71</xdr:row>
      <xdr:rowOff>230718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609600</xdr:colOff>
      <xdr:row>91</xdr:row>
      <xdr:rowOff>111124</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609600</xdr:colOff>
      <xdr:row>93</xdr:row>
      <xdr:rowOff>41063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609600</xdr:colOff>
      <xdr:row>95</xdr:row>
      <xdr:rowOff>41275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41698</xdr:rowOff>
    </xdr:from>
    <xdr:to>
      <xdr:col>6</xdr:col>
      <xdr:colOff>38100</xdr:colOff>
      <xdr:row>101</xdr:row>
      <xdr:rowOff>4444</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72813</xdr:rowOff>
    </xdr:from>
    <xdr:to>
      <xdr:col>5</xdr:col>
      <xdr:colOff>609600</xdr:colOff>
      <xdr:row>54</xdr:row>
      <xdr:rowOff>33443</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2117</xdr:rowOff>
    </xdr:from>
    <xdr:to>
      <xdr:col>5</xdr:col>
      <xdr:colOff>609600</xdr:colOff>
      <xdr:row>54</xdr:row>
      <xdr:rowOff>109643</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147744</xdr:rowOff>
    </xdr:from>
    <xdr:to>
      <xdr:col>5</xdr:col>
      <xdr:colOff>609600</xdr:colOff>
      <xdr:row>51</xdr:row>
      <xdr:rowOff>147955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109855</xdr:rowOff>
    </xdr:from>
    <xdr:to>
      <xdr:col>5</xdr:col>
      <xdr:colOff>609600</xdr:colOff>
      <xdr:row>52</xdr:row>
      <xdr:rowOff>34926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111126</xdr:rowOff>
    </xdr:from>
    <xdr:to>
      <xdr:col>5</xdr:col>
      <xdr:colOff>609600</xdr:colOff>
      <xdr:row>53</xdr:row>
      <xdr:rowOff>72389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42545</xdr:rowOff>
    </xdr:from>
    <xdr:to>
      <xdr:col>5</xdr:col>
      <xdr:colOff>609600</xdr:colOff>
      <xdr:row>71</xdr:row>
      <xdr:rowOff>381001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231564</xdr:rowOff>
    </xdr:from>
    <xdr:to>
      <xdr:col>5</xdr:col>
      <xdr:colOff>609600</xdr:colOff>
      <xdr:row>72</xdr:row>
      <xdr:rowOff>193463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452543</xdr:rowOff>
    </xdr:from>
    <xdr:to>
      <xdr:col>5</xdr:col>
      <xdr:colOff>609600</xdr:colOff>
      <xdr:row>73</xdr:row>
      <xdr:rowOff>149436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118110</xdr:rowOff>
    </xdr:from>
    <xdr:to>
      <xdr:col>5</xdr:col>
      <xdr:colOff>609600</xdr:colOff>
      <xdr:row>74</xdr:row>
      <xdr:rowOff>149226</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4444</xdr:rowOff>
    </xdr:from>
    <xdr:to>
      <xdr:col>5</xdr:col>
      <xdr:colOff>609600</xdr:colOff>
      <xdr:row>95</xdr:row>
      <xdr:rowOff>72602</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72602</xdr:rowOff>
    </xdr:from>
    <xdr:to>
      <xdr:col>5</xdr:col>
      <xdr:colOff>609600</xdr:colOff>
      <xdr:row>103</xdr:row>
      <xdr:rowOff>4444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72602</xdr:rowOff>
    </xdr:from>
    <xdr:to>
      <xdr:col>5</xdr:col>
      <xdr:colOff>609600</xdr:colOff>
      <xdr:row>101</xdr:row>
      <xdr:rowOff>147743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224578</xdr:rowOff>
    </xdr:from>
    <xdr:to>
      <xdr:col>6</xdr:col>
      <xdr:colOff>72390</xdr:colOff>
      <xdr:row>123</xdr:row>
      <xdr:rowOff>117687</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71</xdr:row>
      <xdr:rowOff>3387</xdr:rowOff>
    </xdr:from>
    <xdr:to>
      <xdr:col>5</xdr:col>
      <xdr:colOff>609600</xdr:colOff>
      <xdr:row>84</xdr:row>
      <xdr:rowOff>75565</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70</xdr:row>
      <xdr:rowOff>152612</xdr:rowOff>
    </xdr:from>
    <xdr:to>
      <xdr:col>5</xdr:col>
      <xdr:colOff>643890</xdr:colOff>
      <xdr:row>82</xdr:row>
      <xdr:rowOff>41698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72</xdr:row>
      <xdr:rowOff>79375</xdr:rowOff>
    </xdr:from>
    <xdr:to>
      <xdr:col>5</xdr:col>
      <xdr:colOff>609600</xdr:colOff>
      <xdr:row>75</xdr:row>
      <xdr:rowOff>186266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74</xdr:row>
      <xdr:rowOff>191982</xdr:rowOff>
    </xdr:from>
    <xdr:to>
      <xdr:col>5</xdr:col>
      <xdr:colOff>609600</xdr:colOff>
      <xdr:row>76</xdr:row>
      <xdr:rowOff>80857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75</xdr:row>
      <xdr:rowOff>148166</xdr:rowOff>
    </xdr:from>
    <xdr:to>
      <xdr:col>5</xdr:col>
      <xdr:colOff>609600</xdr:colOff>
      <xdr:row>77</xdr:row>
      <xdr:rowOff>34925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90</xdr:row>
      <xdr:rowOff>149014</xdr:rowOff>
    </xdr:from>
    <xdr:to>
      <xdr:col>5</xdr:col>
      <xdr:colOff>609600</xdr:colOff>
      <xdr:row>95</xdr:row>
      <xdr:rowOff>42333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91</xdr:row>
      <xdr:rowOff>149013</xdr:rowOff>
    </xdr:from>
    <xdr:to>
      <xdr:col>5</xdr:col>
      <xdr:colOff>609600</xdr:colOff>
      <xdr:row>96</xdr:row>
      <xdr:rowOff>42334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149013</xdr:rowOff>
    </xdr:from>
    <xdr:to>
      <xdr:col>5</xdr:col>
      <xdr:colOff>609600</xdr:colOff>
      <xdr:row>97</xdr:row>
      <xdr:rowOff>42333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93</xdr:row>
      <xdr:rowOff>149014</xdr:rowOff>
    </xdr:from>
    <xdr:to>
      <xdr:col>5</xdr:col>
      <xdr:colOff>609600</xdr:colOff>
      <xdr:row>98</xdr:row>
      <xdr:rowOff>42333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118</xdr:row>
      <xdr:rowOff>33867</xdr:rowOff>
    </xdr:from>
    <xdr:to>
      <xdr:col>5</xdr:col>
      <xdr:colOff>609600</xdr:colOff>
      <xdr:row>118</xdr:row>
      <xdr:rowOff>41487</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33866</xdr:rowOff>
    </xdr:from>
    <xdr:to>
      <xdr:col>5</xdr:col>
      <xdr:colOff>609600</xdr:colOff>
      <xdr:row>141</xdr:row>
      <xdr:rowOff>3810</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33866</xdr:rowOff>
    </xdr:from>
    <xdr:to>
      <xdr:col>5</xdr:col>
      <xdr:colOff>609600</xdr:colOff>
      <xdr:row>139</xdr:row>
      <xdr:rowOff>110913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Hutchins%20Fiscal%20Impact%20Measure/fim/data/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 ref="B36" dT="2022-07-27T15:11:58.57" personId="{104078EE-2393-4C21-9029-18A325FBDB70}" id="{E7DE0D97-6F23-4781-B037-31AABB074A69}">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49" dT="2022-09-30T19:04:36.69" personId="{104078EE-2393-4C21-9029-18A325FBDB70}" id="{52B73EBC-59DE-4AFE-A4BC-5DCFD4E527B4}">
    <text>Add factor to match data</text>
  </threadedComment>
  <threadedComment ref="C77" dT="2021-06-14T11:28:38.43" personId="{58CF8BEC-4104-46F7-BE4F-2C9403635492}" id="{BB2BD600-D27D-45BD-8287-F361E12EE9C4}">
    <text>https://www.cbo.gov/system/files/2020-04/hr748.pdf</text>
  </threadedComment>
  <threadedComment ref="C78"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9" dT="2021-06-11T14:09:21.80" personId="{58CF8BEC-4104-46F7-BE4F-2C9403635492}" id="{57CD4897-BB4E-42F1-89BB-E63A5874F81B}">
    <text>Total provider relief fund is 100, but we assume that 27% is in the form of grants based on the BEA data that came in.</text>
  </threadedComment>
  <threadedComment ref="J105" dT="2022-09-30T19:04:58.57" personId="{104078EE-2393-4C21-9029-18A325FBDB70}" id="{4D719FE1-A97C-46FC-9D71-7ECFBB4F6D87}">
    <text>Using data -- not a different spending pattern</text>
  </threadedComment>
  <threadedComment ref="R141"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16" dT="2022-07-27T15:16:37.13" personId="{104078EE-2393-4C21-9029-18A325FBDB70}" id="{B8A32247-DD1F-4DCE-83EE-D79062743972}">
    <text>May 2022 CBO economic projections row 127 quarterly table</text>
  </threadedComment>
  <threadedComment ref="B18" dT="2022-07-27T15:17:23.40" personId="{104078EE-2393-4C21-9029-18A325FBDB70}" id="{37B68D67-075B-4A87-BE37-581CDDA2F090}">
    <text>May 2022 CBO economic projections row 128 quarterly table</text>
  </threadedComment>
  <threadedComment ref="B43" dT="2022-06-30T18:28:35.88" personId="{104078EE-2393-4C21-9029-18A325FBDB70}" id="{3D5BBFAC-4E76-4F2A-B34F-264D54111B07}">
    <text>May 2022 CBO economic projections row 129 quarterly table</text>
  </threadedComment>
  <threadedComment ref="R44" dT="2022-07-28T09:43:05.00" personId="{104078EE-2393-4C21-9029-18A325FBDB70}" id="{C49E6240-A907-4D0A-9954-9A2A9B1F4C48}">
    <text>Louise, we applied a judgemental gr based on data in the last quarter. Would you want to update the gr based on new data?</text>
  </threadedComment>
  <threadedComment ref="R44" dT="2022-07-28T14:19:09.31" personId="{104078EE-2393-4C21-9029-18A325FBDB70}" id="{7430FEA9-8516-4B56-B1C3-5BBB7552D724}" parentId="{C49E6240-A907-4D0A-9954-9A2A9B1F4C48}">
    <text>Doing so would push this up to a 13.6</text>
  </threadedComment>
  <threadedComment ref="B50" dT="2022-06-30T18:28:35.88" personId="{104078EE-2393-4C21-9029-18A325FBDB70}" id="{B5075B33-3A01-4E6D-9B77-D376AB2C0FAC}">
    <text>May 2022 CBO economic projections row 129 quarterly table</text>
  </threadedComment>
  <threadedComment ref="R51" dT="2022-07-28T09:43:05.00" personId="{104078EE-2393-4C21-9029-18A325FBDB70}" id="{70B4E774-41CC-472B-8EAA-BEEBFB59BCA3}">
    <text>Louise, we applied a judgemental gr based on data in the last quarter. Would you want to update the gr based on new data?</text>
  </threadedComment>
  <threadedComment ref="R51" dT="2022-07-28T14:19:09.31" personId="{104078EE-2393-4C21-9029-18A325FBDB70}" id="{BF8A3A43-DDD0-42B1-91B4-7054B4E0C949}" parentId="{70B4E774-41CC-472B-8EAA-BEEBFB59BCA3}">
    <text>Doing so would push this up to a 13.6</text>
  </threadedComment>
  <threadedComment ref="AM87" dT="2021-06-07T15:35:26.89" personId="{58CF8BEC-4104-46F7-BE4F-2C9403635492}" id="{5B268A7E-4684-4417-99DA-FD209D4D638F}">
    <text>January 2020 Ten Year Economic Projections, Quarterly Table, Row 131</text>
  </threadedComment>
  <threadedComment ref="AM88" dT="2021-07-07T15:58:20.18" personId="{58CF8BEC-4104-46F7-BE4F-2C9403635492}" id="{EDDC02C6-9D5A-4D48-BD38-306F90DEE81E}">
    <text>July 2021 Ten-Year Economic Projections, Quarterly Table, Row 130</text>
  </threadedComment>
  <threadedComment ref="AM91" dT="2021-06-08T18:07:26.42" personId="{58CF8BEC-4104-46F7-BE4F-2C9403635492}" id="{740ECA18-D6DC-4F42-982C-CBA3C5290FBF}">
    <text>January 2020 Ten Year Economic Projections, Quarterly Table, Row 130</text>
  </threadedComment>
  <threadedComment ref="AM92" dT="2021-06-08T18:07:37.18" personId="{58CF8BEC-4104-46F7-BE4F-2C9403635492}" id="{1C07D7AD-E31D-4773-BE5C-B49586DCA617}">
    <text>February 2021 Ten Year Economic Projections, Quarterly Table, Row 130</text>
  </threadedComment>
  <threadedComment ref="AM93"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 ref="R59" dT="2022-07-28T13:44:35.53" personId="{104078EE-2393-4C21-9029-18A325FBDB70}" id="{DE53FE9D-8C1E-46DC-B042-CAC65484D78F}">
    <text>We had these coming in at 21 and 6 respectively</text>
  </threadedComment>
  <threadedComment ref="R62" dT="2022-04-28T19:15:48.71" personId="{104078EE-2393-4C21-9029-18A325FBDB70}" id="{80E241D0-71D6-4A58-94C1-D19D1E0FDD7B}">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65" dT="2022-01-28T16:13:54.75" personId="{58CF8BEC-4104-46F7-BE4F-2C9403635492}" id="{94593835-C8BC-4AC8-9898-34BFE8C3E81E}">
    <text>This is used to keep line 12 (non-leg subsidies) at a consistent level</text>
  </threadedComment>
  <threadedComment ref="S86" dT="2022-07-28T13:50:14.43" personId="{104078EE-2393-4C21-9029-18A325FBDB70}" id="{B4684DEE-BA63-48D6-A67B-2D5E9B5F64DB}">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6"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73" dT="2022-07-27T15:51:26.42" personId="{104078EE-2393-4C21-9029-18A325FBDB70}" id="{1F09D10C-D690-4114-9BF1-2EC77E8CF729}">
    <text>May 2022 CBO Revenue Projections, Table 1, Row 10</text>
  </threadedComment>
  <threadedComment ref="D74" dT="2022-07-27T15:51:47.98" personId="{104078EE-2393-4C21-9029-18A325FBDB70}" id="{61B8BFB1-3686-4221-A789-3E8E4ED150E8}">
    <text>May 2022 CBO Revenue Projections, Table 1, Row 11</text>
  </threadedComment>
  <threadedComment ref="D76" dT="2022-07-27T15:52:32.00" personId="{104078EE-2393-4C21-9029-18A325FBDB70}" id="{96AD0B56-665E-45B3-8EC7-21E5F6DCD149}">
    <text>May 2022 CBO Revenue Projections, Table 1, Row 14</text>
  </threadedComment>
  <threadedComment ref="D77" dT="2022-07-27T15:52:46.05" personId="{104078EE-2393-4C21-9029-18A325FBDB70}" id="{291B3A2C-0242-451F-9C7C-691A3E499120}">
    <text>May 2022 CBO Revenue Projections, Table 1, Row 16</text>
  </threadedComment>
  <threadedComment ref="D78" dT="2022-07-27T15:53:07.84" personId="{104078EE-2393-4C21-9029-18A325FBDB70}" id="{9F3EE33C-5BEE-4035-92B3-03F363699E8F}">
    <text>May 2022 CBO Revenue Projections, Table 1, Row 12</text>
  </threadedComment>
  <threadedComment ref="D96" dT="2022-07-27T15:54:14.53" personId="{104078EE-2393-4C21-9029-18A325FBDB70}" id="{A5A53FB3-DAD9-4431-BC17-DE8533EBEBA7}">
    <text>May 2022 CBO Economic Projections, Fiscal Year Table, Row 92</text>
  </threadedComment>
  <threadedComment ref="D97" dT="2022-07-27T15:54:45.28" personId="{104078EE-2393-4C21-9029-18A325FBDB70}" id="{F60F16A6-D839-4373-9BA5-EC2FED164153}">
    <text>May 2022 CBO Economic Projections, Fiscal Year Table, Row 96</text>
  </threadedComment>
  <threadedComment ref="D98" dT="2022-07-27T15:55:08.90" personId="{104078EE-2393-4C21-9029-18A325FBDB70}" id="{866A2822-7717-4700-A376-2CCB1FB07C1B}">
    <text>May 2022 CBO Economic Projections, Fiscal Year Table, Row 116</text>
  </threadedComment>
  <threadedComment ref="D99" dT="2022-07-27T15:55:40.56" personId="{104078EE-2393-4C21-9029-18A325FBDB70}" id="{577EB3F0-E41D-40F3-99BD-1BCE1A91B538}">
    <text>May 2022 CBO Economic Projections, Fiscal Year Table, Row 110</text>
  </threadedComment>
  <threadedComment ref="D120" dT="2022-07-27T16:01:10.90" personId="{104078EE-2393-4C21-9029-18A325FBDB70}" id="{6D3A4604-69CE-4F3F-813F-7F7EA08ED613}">
    <text>May 2022 CBO Ten Year Economic Projections, Quarterly Table, Row 96</text>
  </threadedComment>
  <threadedComment ref="D121" dT="2022-07-27T16:01:37.37" personId="{104078EE-2393-4C21-9029-18A325FBDB70}" id="{2FAA442C-06B5-4B8F-BB61-A81BAEC7050D}">
    <text>May 2022 CBO Ten Year Economic Projections, Quarterly Table, Row 98</text>
  </threadedComment>
  <threadedComment ref="D122" dT="2022-07-27T16:02:04.85" personId="{104078EE-2393-4C21-9029-18A325FBDB70}" id="{C4EBBB9E-22EA-4672-A509-43BCF8EEAB30}">
    <text>May 2022 CBO Ten Year Economic Projections, Quarterly Table, Row 116</text>
  </threadedComment>
  <threadedComment ref="D12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26953125" customWidth="1"/>
    <col min="17" max="17" width="38.453125" customWidth="1"/>
  </cols>
  <sheetData>
    <row r="10" spans="2:17" x14ac:dyDescent="0.35">
      <c r="B10" s="1205" t="s">
        <v>0</v>
      </c>
      <c r="C10" s="1206"/>
      <c r="D10" s="1206"/>
      <c r="E10" s="1206"/>
      <c r="F10" s="1206"/>
      <c r="G10" s="1206"/>
      <c r="H10" s="1206"/>
      <c r="I10" s="1206"/>
      <c r="J10" s="1206"/>
      <c r="K10" s="1206"/>
      <c r="L10" s="1206"/>
      <c r="M10" s="1206"/>
      <c r="N10" s="1206"/>
      <c r="O10" s="1206"/>
      <c r="P10" s="1206"/>
      <c r="Q10" s="1207"/>
    </row>
    <row r="11" spans="2:17" x14ac:dyDescent="0.35">
      <c r="B11" s="1208"/>
      <c r="C11" s="1209"/>
      <c r="D11" s="1209"/>
      <c r="E11" s="1209"/>
      <c r="F11" s="1209"/>
      <c r="G11" s="1209"/>
      <c r="H11" s="1209"/>
      <c r="I11" s="1209"/>
      <c r="J11" s="1209"/>
      <c r="K11" s="1209"/>
      <c r="L11" s="1209"/>
      <c r="M11" s="1209"/>
      <c r="N11" s="1209"/>
      <c r="O11" s="1209"/>
      <c r="P11" s="1209"/>
      <c r="Q11" s="1210"/>
    </row>
    <row r="12" spans="2:17" x14ac:dyDescent="0.35">
      <c r="B12" s="12" t="s">
        <v>1</v>
      </c>
      <c r="C12" s="9"/>
      <c r="D12" s="9"/>
      <c r="E12" s="9"/>
      <c r="F12" s="9"/>
      <c r="G12" s="9"/>
      <c r="H12" s="9"/>
      <c r="I12" s="9"/>
      <c r="J12" s="9"/>
      <c r="K12" s="9"/>
      <c r="L12" s="9"/>
      <c r="M12" s="9"/>
      <c r="N12" s="9"/>
      <c r="O12" s="9"/>
      <c r="P12" s="9"/>
      <c r="Q12" s="2"/>
    </row>
    <row r="13" spans="2:17" x14ac:dyDescent="0.35">
      <c r="B13" s="11" t="s">
        <v>2</v>
      </c>
      <c r="C13" s="1211" t="s">
        <v>3</v>
      </c>
      <c r="D13" s="1211"/>
      <c r="E13" s="1211"/>
      <c r="F13" s="1211"/>
      <c r="G13" s="1211"/>
      <c r="H13" s="1211"/>
      <c r="I13" s="1211"/>
      <c r="J13" s="1211"/>
      <c r="K13" s="1211"/>
      <c r="L13" s="1211"/>
      <c r="M13" s="1211"/>
      <c r="N13" s="1211"/>
      <c r="O13" s="1211"/>
      <c r="P13" s="1211"/>
      <c r="Q13" s="1212"/>
    </row>
    <row r="14" spans="2:17" x14ac:dyDescent="0.35">
      <c r="B14" s="11" t="s">
        <v>4</v>
      </c>
      <c r="C14" s="3" t="s">
        <v>5</v>
      </c>
      <c r="D14" s="3"/>
      <c r="E14" s="3"/>
      <c r="F14" s="3"/>
      <c r="G14" s="3"/>
      <c r="H14" s="3"/>
      <c r="I14" s="3"/>
      <c r="J14" s="3"/>
      <c r="K14" s="3"/>
      <c r="L14" s="3"/>
      <c r="M14" s="3"/>
      <c r="N14" s="3"/>
      <c r="O14" s="3"/>
      <c r="P14" s="3"/>
      <c r="Q14" s="4"/>
    </row>
    <row r="15" spans="2:17" x14ac:dyDescent="0.35">
      <c r="B15" s="11" t="s">
        <v>6</v>
      </c>
      <c r="C15" s="3" t="s">
        <v>7</v>
      </c>
      <c r="D15" s="3"/>
      <c r="E15" s="3"/>
      <c r="F15" s="3"/>
      <c r="G15" s="3"/>
      <c r="H15" s="3"/>
      <c r="I15" s="3"/>
      <c r="J15" s="3"/>
      <c r="K15" s="3"/>
      <c r="L15" s="3"/>
      <c r="M15" s="3"/>
      <c r="N15" s="3"/>
      <c r="O15" s="3"/>
      <c r="P15" s="3"/>
      <c r="Q15" s="4"/>
    </row>
    <row r="16" spans="2:17" x14ac:dyDescent="0.35">
      <c r="B16" s="11" t="s">
        <v>8</v>
      </c>
      <c r="C16" s="3" t="s">
        <v>905</v>
      </c>
      <c r="D16" s="3"/>
      <c r="E16" s="3"/>
      <c r="F16" s="3"/>
      <c r="G16" s="3"/>
      <c r="H16" s="3"/>
      <c r="I16" s="3"/>
      <c r="J16" s="3"/>
      <c r="K16" s="3"/>
      <c r="L16" s="3"/>
      <c r="M16" s="3"/>
      <c r="N16" s="3"/>
      <c r="O16" s="3"/>
      <c r="P16" s="3"/>
      <c r="Q16" s="4"/>
    </row>
    <row r="17" spans="2:17" x14ac:dyDescent="0.35">
      <c r="B17" s="11" t="s">
        <v>9</v>
      </c>
      <c r="C17" s="3" t="s">
        <v>10</v>
      </c>
      <c r="D17" s="3"/>
      <c r="E17" s="3"/>
      <c r="F17" s="3"/>
      <c r="G17" s="3"/>
      <c r="H17" s="3"/>
      <c r="I17" s="3"/>
      <c r="J17" s="3"/>
      <c r="K17" s="3"/>
      <c r="L17" s="3"/>
      <c r="M17" s="3"/>
      <c r="N17" s="3"/>
      <c r="O17" s="3"/>
      <c r="P17" s="3"/>
      <c r="Q17" s="4"/>
    </row>
    <row r="18" spans="2:17" x14ac:dyDescent="0.35">
      <c r="B18" s="11" t="s">
        <v>906</v>
      </c>
      <c r="C18" s="3" t="s">
        <v>11</v>
      </c>
      <c r="D18" s="3"/>
      <c r="E18" s="3"/>
      <c r="F18" s="3"/>
      <c r="G18" s="3"/>
      <c r="H18" s="3"/>
      <c r="I18" s="3"/>
      <c r="J18" s="3"/>
      <c r="K18" s="3"/>
      <c r="L18" s="3"/>
      <c r="M18" s="3"/>
      <c r="N18" s="3"/>
      <c r="O18" s="3"/>
      <c r="P18" s="3"/>
      <c r="Q18" s="4"/>
    </row>
    <row r="19" spans="2:17" x14ac:dyDescent="0.35">
      <c r="B19" s="11" t="s">
        <v>12</v>
      </c>
      <c r="C19" s="3" t="s">
        <v>907</v>
      </c>
      <c r="D19" s="3"/>
      <c r="E19" s="3"/>
      <c r="F19" s="3"/>
      <c r="G19" s="3"/>
      <c r="H19" s="3"/>
      <c r="I19" s="3"/>
      <c r="J19" s="3"/>
      <c r="K19" s="3"/>
      <c r="L19" s="3"/>
      <c r="M19" s="3"/>
      <c r="N19" s="3"/>
      <c r="O19" s="3"/>
      <c r="P19" s="3"/>
      <c r="Q19" s="4"/>
    </row>
    <row r="20" spans="2:17" ht="30.75" customHeight="1" x14ac:dyDescent="0.35">
      <c r="B20" s="11" t="s">
        <v>13</v>
      </c>
      <c r="C20" s="1203" t="s">
        <v>14</v>
      </c>
      <c r="D20" s="1203"/>
      <c r="E20" s="1203"/>
      <c r="F20" s="1203"/>
      <c r="G20" s="1203"/>
      <c r="H20" s="1203"/>
      <c r="I20" s="1203"/>
      <c r="J20" s="1203"/>
      <c r="K20" s="1203"/>
      <c r="L20" s="1203"/>
      <c r="M20" s="1203"/>
      <c r="N20" s="1203"/>
      <c r="O20" s="1203"/>
      <c r="P20" s="1203"/>
      <c r="Q20" s="1204"/>
    </row>
    <row r="21" spans="2:17" x14ac:dyDescent="0.35">
      <c r="B21" s="11" t="s">
        <v>15</v>
      </c>
      <c r="C21" s="3" t="s">
        <v>16</v>
      </c>
      <c r="D21" s="3"/>
      <c r="E21" s="3"/>
      <c r="F21" s="3"/>
      <c r="G21" s="3"/>
      <c r="H21" s="3"/>
      <c r="I21" s="3"/>
      <c r="J21" s="3"/>
      <c r="K21" s="3"/>
      <c r="L21" s="3"/>
      <c r="M21" s="3"/>
      <c r="N21" s="3"/>
      <c r="O21" s="3"/>
      <c r="P21" s="3"/>
      <c r="Q21" s="4"/>
    </row>
    <row r="22" spans="2:17" ht="32.25" customHeight="1" x14ac:dyDescent="0.35">
      <c r="B22" s="1" t="s">
        <v>909</v>
      </c>
      <c r="C22" s="1203" t="s">
        <v>908</v>
      </c>
      <c r="D22" s="1203"/>
      <c r="E22" s="1203"/>
      <c r="F22" s="1203"/>
      <c r="G22" s="1203"/>
      <c r="H22" s="1203"/>
      <c r="I22" s="1203"/>
      <c r="J22" s="1203"/>
      <c r="K22" s="1203"/>
      <c r="L22" s="1203"/>
      <c r="M22" s="1203"/>
      <c r="N22" s="1203"/>
      <c r="O22" s="1203"/>
      <c r="P22" s="1203"/>
      <c r="Q22" s="1204"/>
    </row>
    <row r="23" spans="2:17" ht="31.15" customHeight="1" x14ac:dyDescent="0.35">
      <c r="B23" s="11" t="s">
        <v>17</v>
      </c>
      <c r="C23" s="1203" t="s">
        <v>910</v>
      </c>
      <c r="D23" s="1203"/>
      <c r="E23" s="1203"/>
      <c r="F23" s="1203"/>
      <c r="G23" s="1203"/>
      <c r="H23" s="1203"/>
      <c r="I23" s="1203"/>
      <c r="J23" s="1203"/>
      <c r="K23" s="1203"/>
      <c r="L23" s="1203"/>
      <c r="M23" s="1203"/>
      <c r="N23" s="1203"/>
      <c r="O23" s="1203"/>
      <c r="P23" s="1203"/>
      <c r="Q23" s="1204"/>
    </row>
    <row r="24" spans="2:17" x14ac:dyDescent="0.35">
      <c r="B24" s="11" t="s">
        <v>18</v>
      </c>
      <c r="C24" s="3" t="s">
        <v>19</v>
      </c>
      <c r="D24" s="3"/>
      <c r="E24" s="3"/>
      <c r="F24" s="3"/>
      <c r="G24" s="3"/>
      <c r="H24" s="3"/>
      <c r="I24" s="3"/>
      <c r="J24" s="3"/>
      <c r="K24" s="3"/>
      <c r="L24" s="3"/>
      <c r="M24" s="3"/>
      <c r="N24" s="3"/>
      <c r="O24" s="3"/>
      <c r="P24" s="3"/>
      <c r="Q24" s="4"/>
    </row>
    <row r="25" spans="2:17" x14ac:dyDescent="0.35">
      <c r="B25" s="11" t="s">
        <v>20</v>
      </c>
      <c r="C25" s="3" t="s">
        <v>21</v>
      </c>
      <c r="D25" s="3"/>
      <c r="E25" s="3"/>
      <c r="F25" s="3"/>
      <c r="G25" s="3"/>
      <c r="H25" s="3"/>
      <c r="I25" s="3"/>
      <c r="J25" s="3"/>
      <c r="K25" s="3"/>
      <c r="L25" s="3"/>
      <c r="M25" s="3"/>
      <c r="N25" s="3"/>
      <c r="O25" s="3"/>
      <c r="P25" s="3"/>
      <c r="Q25" s="4"/>
    </row>
    <row r="26" spans="2:17" x14ac:dyDescent="0.35">
      <c r="B26" s="11" t="s">
        <v>22</v>
      </c>
      <c r="C26" s="3" t="s">
        <v>23</v>
      </c>
      <c r="D26" s="3"/>
      <c r="E26" s="3"/>
      <c r="F26" s="3"/>
      <c r="G26" s="3"/>
      <c r="H26" s="3"/>
      <c r="I26" s="3"/>
      <c r="J26" s="3"/>
      <c r="K26" s="3"/>
      <c r="L26" s="3"/>
      <c r="M26" s="3"/>
      <c r="N26" s="3"/>
      <c r="O26" s="3"/>
      <c r="P26" s="3"/>
      <c r="Q26" s="4"/>
    </row>
    <row r="27" spans="2:17" x14ac:dyDescent="0.35">
      <c r="B27" s="11" t="s">
        <v>24</v>
      </c>
      <c r="C27" s="3" t="s">
        <v>911</v>
      </c>
      <c r="D27" s="3"/>
      <c r="E27" s="3"/>
      <c r="F27" s="3"/>
      <c r="G27" s="3"/>
      <c r="H27" s="3"/>
      <c r="I27" s="3"/>
      <c r="J27" s="3"/>
      <c r="K27" s="3"/>
      <c r="L27" s="3"/>
      <c r="M27" s="3"/>
      <c r="N27" s="3"/>
      <c r="O27" s="3"/>
      <c r="P27" s="3"/>
      <c r="Q27" s="4"/>
    </row>
    <row r="28" spans="2:17" x14ac:dyDescent="0.35">
      <c r="B28" s="11" t="s">
        <v>25</v>
      </c>
      <c r="C28" s="3" t="s">
        <v>912</v>
      </c>
      <c r="D28" s="3"/>
      <c r="E28" s="3"/>
      <c r="F28" s="3"/>
      <c r="G28" s="3"/>
      <c r="H28" s="3"/>
      <c r="I28" s="3"/>
      <c r="J28" s="3"/>
      <c r="K28" s="3"/>
      <c r="L28" s="3"/>
      <c r="M28" s="3"/>
      <c r="N28" s="3"/>
      <c r="O28" s="3"/>
      <c r="P28" s="3"/>
      <c r="Q28" s="4"/>
    </row>
    <row r="29" spans="2:17" x14ac:dyDescent="0.35">
      <c r="B29" s="11" t="s">
        <v>26</v>
      </c>
      <c r="C29" s="3" t="s">
        <v>27</v>
      </c>
      <c r="D29" s="3"/>
      <c r="E29" s="3"/>
      <c r="F29" s="3"/>
      <c r="G29" s="3"/>
      <c r="H29" s="3"/>
      <c r="I29" s="3"/>
      <c r="J29" s="3"/>
      <c r="K29" s="3"/>
      <c r="L29" s="3"/>
      <c r="M29" s="3"/>
      <c r="N29" s="3"/>
      <c r="O29" s="3"/>
      <c r="P29" s="3"/>
      <c r="Q29" s="4"/>
    </row>
    <row r="30" spans="2:17" x14ac:dyDescent="0.35">
      <c r="B30" s="11"/>
      <c r="C30" s="3"/>
      <c r="D30" s="3"/>
      <c r="E30" s="3"/>
      <c r="F30" s="3"/>
      <c r="G30" s="3"/>
      <c r="H30" s="3"/>
      <c r="I30" s="3"/>
      <c r="J30" s="3"/>
      <c r="K30" s="3"/>
      <c r="L30" s="3"/>
      <c r="M30" s="3"/>
      <c r="N30" s="3"/>
      <c r="O30" s="3"/>
      <c r="P30" s="3"/>
      <c r="Q30" s="4"/>
    </row>
    <row r="31" spans="2:17" x14ac:dyDescent="0.35">
      <c r="B31" s="13" t="s">
        <v>28</v>
      </c>
      <c r="C31" s="3"/>
      <c r="D31" s="3"/>
      <c r="E31" s="3"/>
      <c r="F31" s="3"/>
      <c r="G31" s="3"/>
      <c r="H31" s="3"/>
      <c r="I31" s="3"/>
      <c r="J31" s="3"/>
      <c r="K31" s="3"/>
      <c r="L31" s="3"/>
      <c r="M31" s="3"/>
      <c r="N31" s="3"/>
      <c r="O31" s="3"/>
      <c r="P31" s="3"/>
      <c r="Q31" s="4"/>
    </row>
    <row r="32" spans="2:17" x14ac:dyDescent="0.35">
      <c r="B32" s="11" t="s">
        <v>29</v>
      </c>
      <c r="C32" s="3"/>
      <c r="D32" s="3"/>
      <c r="E32" s="3"/>
      <c r="F32" s="3"/>
      <c r="G32" s="3"/>
      <c r="H32" s="3"/>
      <c r="I32" s="3"/>
      <c r="J32" s="3"/>
      <c r="K32" s="3"/>
      <c r="L32" s="3"/>
      <c r="M32" s="3"/>
      <c r="N32" s="3"/>
      <c r="O32" s="3"/>
      <c r="P32" s="3"/>
      <c r="Q32" s="4"/>
    </row>
    <row r="33" spans="2:17" ht="30.75" customHeight="1" x14ac:dyDescent="0.35">
      <c r="B33" s="1202" t="s">
        <v>913</v>
      </c>
      <c r="C33" s="1203"/>
      <c r="D33" s="1203"/>
      <c r="E33" s="1203"/>
      <c r="F33" s="1203"/>
      <c r="G33" s="1203"/>
      <c r="H33" s="1203"/>
      <c r="I33" s="1203"/>
      <c r="J33" s="1203"/>
      <c r="K33" s="1203"/>
      <c r="L33" s="1203"/>
      <c r="M33" s="1203"/>
      <c r="N33" s="1203"/>
      <c r="O33" s="1203"/>
      <c r="P33" s="1203"/>
      <c r="Q33" s="1204"/>
    </row>
    <row r="34" spans="2:17" x14ac:dyDescent="0.35">
      <c r="B34" s="7" t="s">
        <v>30</v>
      </c>
      <c r="C34" s="3"/>
      <c r="D34" s="3"/>
      <c r="E34" s="3"/>
      <c r="F34" s="3"/>
      <c r="G34" s="3"/>
      <c r="H34" s="3"/>
      <c r="I34" s="3"/>
      <c r="J34" s="3"/>
      <c r="K34" s="3"/>
      <c r="L34" s="3"/>
      <c r="M34" s="3"/>
      <c r="N34" s="3"/>
      <c r="O34" s="3"/>
      <c r="P34" s="3"/>
      <c r="Q34" s="4"/>
    </row>
    <row r="35" spans="2:17" x14ac:dyDescent="0.35">
      <c r="B35" s="11" t="s">
        <v>31</v>
      </c>
      <c r="C35" s="3"/>
      <c r="D35" s="3"/>
      <c r="E35" s="3"/>
      <c r="F35" s="3"/>
      <c r="G35" s="3"/>
      <c r="H35" s="3"/>
      <c r="I35" s="3"/>
      <c r="J35" s="3"/>
      <c r="K35" s="3"/>
      <c r="L35" s="3"/>
      <c r="M35" s="3"/>
      <c r="N35" s="3"/>
      <c r="O35" s="3"/>
      <c r="P35" s="3"/>
      <c r="Q35" s="4"/>
    </row>
    <row r="36" spans="2:17" x14ac:dyDescent="0.35">
      <c r="B36" s="10" t="s">
        <v>32</v>
      </c>
      <c r="C36" s="5"/>
      <c r="D36" s="5"/>
      <c r="E36" s="5"/>
      <c r="F36" s="5"/>
      <c r="G36" s="5"/>
      <c r="H36" s="5"/>
      <c r="I36" s="5"/>
      <c r="J36" s="5"/>
      <c r="K36" s="5"/>
      <c r="L36" s="5"/>
      <c r="M36" s="5"/>
      <c r="N36" s="5"/>
      <c r="O36" s="5"/>
      <c r="P36" s="5"/>
      <c r="Q36" s="6"/>
    </row>
    <row r="39" spans="2:17" x14ac:dyDescent="0.35">
      <c r="B39" s="8"/>
      <c r="C39" s="8"/>
      <c r="D39" s="8"/>
      <c r="E39" s="8"/>
      <c r="F39" s="8"/>
      <c r="G39" s="8"/>
      <c r="H39" s="8"/>
      <c r="I39" s="8"/>
      <c r="J39" s="8"/>
      <c r="K39" s="8"/>
      <c r="L39" s="8"/>
      <c r="M39" s="8"/>
      <c r="N39" s="8"/>
      <c r="O39" s="8"/>
      <c r="P39" s="8"/>
      <c r="Q39" s="8"/>
    </row>
    <row r="40" spans="2:17" x14ac:dyDescent="0.35">
      <c r="B40" s="8"/>
      <c r="C40" s="8"/>
      <c r="D40" s="8"/>
      <c r="E40" s="8"/>
      <c r="F40" s="8"/>
      <c r="G40" s="8"/>
      <c r="H40" s="8"/>
      <c r="I40" s="8"/>
      <c r="J40" s="8"/>
      <c r="K40" s="8"/>
      <c r="L40" s="8"/>
      <c r="M40" s="8"/>
      <c r="N40" s="8"/>
      <c r="O40" s="8"/>
      <c r="P40" s="8"/>
      <c r="Q40" s="8"/>
    </row>
    <row r="41" spans="2:17" x14ac:dyDescent="0.35">
      <c r="B41" s="8"/>
      <c r="C41" s="8"/>
      <c r="D41" s="8"/>
      <c r="E41" s="8"/>
      <c r="F41" s="8"/>
      <c r="G41" s="8"/>
      <c r="H41" s="8"/>
      <c r="I41" s="8"/>
      <c r="J41" s="8"/>
      <c r="K41" s="8"/>
      <c r="L41" s="8"/>
      <c r="M41" s="8"/>
      <c r="N41" s="8"/>
      <c r="O41" s="8"/>
      <c r="P41" s="8"/>
      <c r="Q41" s="8"/>
    </row>
    <row r="42" spans="2:17" x14ac:dyDescent="0.35">
      <c r="B42" s="8"/>
      <c r="C42" s="8"/>
      <c r="D42" s="8"/>
      <c r="E42" s="8"/>
      <c r="F42" s="8"/>
      <c r="G42" s="8"/>
      <c r="H42" s="8"/>
      <c r="I42" s="8"/>
      <c r="J42" s="8"/>
      <c r="K42" s="8"/>
      <c r="L42" s="8"/>
      <c r="M42" s="8"/>
      <c r="N42" s="8"/>
      <c r="O42" s="8"/>
      <c r="P42" s="8"/>
      <c r="Q42" s="8"/>
    </row>
    <row r="43" spans="2:17" x14ac:dyDescent="0.35">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B9" sqref="B9"/>
    </sheetView>
  </sheetViews>
  <sheetFormatPr defaultColWidth="11.453125" defaultRowHeight="14.5" x14ac:dyDescent="0.35"/>
  <cols>
    <col min="1" max="1" width="33" customWidth="1"/>
    <col min="2" max="2" width="27.1796875" customWidth="1"/>
  </cols>
  <sheetData>
    <row r="1" spans="1:11" x14ac:dyDescent="0.35">
      <c r="A1" s="77" t="s">
        <v>178</v>
      </c>
      <c r="B1" s="77" t="s">
        <v>179</v>
      </c>
      <c r="C1" s="142" t="s">
        <v>292</v>
      </c>
      <c r="D1" s="142" t="s">
        <v>293</v>
      </c>
      <c r="E1" s="142" t="s">
        <v>294</v>
      </c>
      <c r="F1" s="142" t="s">
        <v>295</v>
      </c>
      <c r="G1" s="77" t="s">
        <v>296</v>
      </c>
      <c r="H1" s="77" t="s">
        <v>180</v>
      </c>
      <c r="I1" s="77" t="s">
        <v>181</v>
      </c>
      <c r="J1" s="77" t="s">
        <v>182</v>
      </c>
      <c r="K1" s="77" t="s">
        <v>183</v>
      </c>
    </row>
    <row r="2" spans="1:11" ht="28.9" customHeight="1" x14ac:dyDescent="0.35">
      <c r="A2" s="14" t="s">
        <v>297</v>
      </c>
      <c r="B2" t="s">
        <v>298</v>
      </c>
      <c r="C2">
        <f>Grants!J97</f>
        <v>325.28399999999999</v>
      </c>
      <c r="D2">
        <f>Grants!K97</f>
        <v>297.32000000000005</v>
      </c>
      <c r="E2">
        <f>Grants!L97</f>
        <v>289.54199999999997</v>
      </c>
      <c r="F2">
        <f>Grants!M97</f>
        <v>315.67900000000003</v>
      </c>
      <c r="G2">
        <f>Grants!N97</f>
        <v>361.52700000000004</v>
      </c>
      <c r="H2">
        <f>Grants!O97</f>
        <v>374.99100000000004</v>
      </c>
      <c r="I2" s="36">
        <f>Grants!P97</f>
        <v>401.58485200000007</v>
      </c>
      <c r="J2" s="36">
        <f>Grants!Q97</f>
        <v>438.45827479999997</v>
      </c>
      <c r="K2" s="36">
        <f>Grants!R97</f>
        <v>505.04903199999995</v>
      </c>
    </row>
    <row r="3" spans="1:11" ht="28.9" customHeight="1" x14ac:dyDescent="0.35">
      <c r="A3" s="14" t="s">
        <v>860</v>
      </c>
      <c r="B3" t="s">
        <v>857</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row>
    <row r="4" spans="1:11" ht="28.9" customHeight="1" x14ac:dyDescent="0.3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5">
      <c r="A5" s="14" t="s">
        <v>861</v>
      </c>
      <c r="B5" t="s">
        <v>859</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row>
    <row r="6" spans="1:11" x14ac:dyDescent="0.35">
      <c r="A6" s="36" t="s">
        <v>201</v>
      </c>
      <c r="B6" s="36" t="s">
        <v>901</v>
      </c>
      <c r="C6" s="143">
        <f>Subsidies!J45</f>
        <v>0</v>
      </c>
      <c r="D6" s="143">
        <f>Subsidies!K45</f>
        <v>0</v>
      </c>
      <c r="E6" s="143">
        <f>Subsidies!L45</f>
        <v>0</v>
      </c>
      <c r="F6" s="143">
        <f>Subsidies!M45</f>
        <v>0</v>
      </c>
      <c r="G6" s="143">
        <f>Subsidies!N45</f>
        <v>58.782959999999989</v>
      </c>
      <c r="H6" s="143">
        <f>Subsidies!O45</f>
        <v>267.78904</v>
      </c>
      <c r="I6" s="143">
        <f>Subsidies!P45</f>
        <v>110.24799999999999</v>
      </c>
      <c r="J6" s="143">
        <f>Subsidies!Q45</f>
        <v>110.24799999999999</v>
      </c>
      <c r="K6" s="143">
        <f>Subsidies!R45</f>
        <v>110.24799999999999</v>
      </c>
    </row>
    <row r="7" spans="1:11" ht="28.9" customHeight="1" x14ac:dyDescent="0.35">
      <c r="A7" s="14" t="s">
        <v>943</v>
      </c>
      <c r="B7" t="s">
        <v>941</v>
      </c>
      <c r="C7" s="36"/>
      <c r="D7" s="36"/>
      <c r="E7" s="36"/>
      <c r="F7" s="36"/>
      <c r="G7" s="36"/>
      <c r="H7" s="36"/>
      <c r="J7" s="141"/>
      <c r="K7" s="141">
        <f>forecast!C21</f>
        <v>353.2</v>
      </c>
    </row>
    <row r="8" spans="1:11" x14ac:dyDescent="0.35">
      <c r="A8" t="s">
        <v>944</v>
      </c>
      <c r="B8" t="s">
        <v>942</v>
      </c>
      <c r="C8" s="36"/>
      <c r="D8" s="36"/>
      <c r="E8" s="36"/>
      <c r="F8" s="36"/>
      <c r="G8" s="36"/>
      <c r="H8" s="36"/>
      <c r="J8" s="141"/>
      <c r="K8" s="141">
        <f>forecast!C22</f>
        <v>109.8</v>
      </c>
    </row>
    <row r="9" spans="1:11" x14ac:dyDescent="0.35">
      <c r="A9" s="14" t="s">
        <v>1022</v>
      </c>
      <c r="B9" t="s">
        <v>1023</v>
      </c>
      <c r="C9">
        <f>Grants!J141</f>
        <v>76.015000000000001</v>
      </c>
      <c r="D9">
        <f>Grants!K141</f>
        <v>78.872</v>
      </c>
      <c r="E9">
        <f>Grants!L141</f>
        <v>75.819000000000003</v>
      </c>
      <c r="F9">
        <f>Grants!M141</f>
        <v>73.662000000000006</v>
      </c>
      <c r="G9">
        <f>Grants!N141</f>
        <v>75.066000000000003</v>
      </c>
      <c r="H9">
        <f>Grants!O141</f>
        <v>69.344999999999999</v>
      </c>
      <c r="I9">
        <f>Grants!P141</f>
        <v>72.477000000000004</v>
      </c>
      <c r="J9">
        <f>Grants!Q141</f>
        <v>72.528999999999996</v>
      </c>
      <c r="K9">
        <f>Grants!R141</f>
        <v>75.340000000000018</v>
      </c>
    </row>
    <row r="10" spans="1:11" x14ac:dyDescent="0.3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7265625" customWidth="1"/>
    <col min="16" max="16" width="11.7265625" customWidth="1"/>
    <col min="17" max="18" width="8.7265625" customWidth="1"/>
    <col min="19" max="19" width="9.453125" customWidth="1"/>
  </cols>
  <sheetData>
    <row r="1" spans="8:22" x14ac:dyDescent="0.35">
      <c r="H1" s="1243" t="s">
        <v>364</v>
      </c>
      <c r="I1" s="1243"/>
      <c r="J1" s="1243"/>
      <c r="K1" s="1243"/>
      <c r="L1" s="1243"/>
      <c r="M1" s="1243"/>
      <c r="N1" s="1243"/>
      <c r="O1" s="1243"/>
      <c r="P1" s="1243"/>
      <c r="Q1" s="1243"/>
      <c r="R1" s="1243"/>
      <c r="S1" s="1243"/>
    </row>
    <row r="2" spans="8:22" x14ac:dyDescent="0.35">
      <c r="H2" s="1242" t="s">
        <v>365</v>
      </c>
      <c r="I2" s="1242"/>
      <c r="J2" s="1242"/>
      <c r="K2" s="1242"/>
      <c r="L2" s="1242"/>
      <c r="M2" s="1242"/>
      <c r="N2" s="1242"/>
      <c r="O2" s="1242"/>
      <c r="P2" s="1242"/>
      <c r="Q2" s="1242"/>
      <c r="R2" s="1242"/>
      <c r="S2" s="1242"/>
    </row>
    <row r="3" spans="8:22" x14ac:dyDescent="0.35">
      <c r="H3" s="1242"/>
      <c r="I3" s="1242"/>
      <c r="J3" s="1242"/>
      <c r="K3" s="1242"/>
      <c r="L3" s="1242"/>
      <c r="M3" s="1242"/>
      <c r="N3" s="1242"/>
      <c r="O3" s="1242"/>
      <c r="P3" s="1242"/>
      <c r="Q3" s="1242"/>
      <c r="R3" s="1242"/>
      <c r="S3" s="1242"/>
    </row>
    <row r="4" spans="8:22" x14ac:dyDescent="0.35">
      <c r="H4" s="1242"/>
      <c r="I4" s="1242"/>
      <c r="J4" s="1242"/>
      <c r="K4" s="1242"/>
      <c r="L4" s="1242"/>
      <c r="M4" s="1242"/>
      <c r="N4" s="1242"/>
      <c r="O4" s="1242"/>
      <c r="P4" s="1242"/>
      <c r="Q4" s="1242"/>
      <c r="R4" s="1242"/>
      <c r="S4" s="1242"/>
    </row>
    <row r="5" spans="8:22" ht="54.75" customHeight="1" x14ac:dyDescent="0.35">
      <c r="H5" s="1242"/>
      <c r="I5" s="1242"/>
      <c r="J5" s="1242"/>
      <c r="K5" s="1242"/>
      <c r="L5" s="1242"/>
      <c r="M5" s="1242"/>
      <c r="N5" s="1242"/>
      <c r="O5" s="1242"/>
      <c r="P5" s="1242"/>
      <c r="Q5" s="1242"/>
      <c r="R5" s="1242"/>
      <c r="S5" s="1242"/>
    </row>
    <row r="6" spans="8:22" x14ac:dyDescent="0.35">
      <c r="H6" s="182"/>
      <c r="I6" s="182"/>
      <c r="J6" s="182"/>
      <c r="K6" s="182"/>
      <c r="L6" s="182"/>
      <c r="M6" s="182"/>
      <c r="N6" s="182"/>
      <c r="O6" s="182"/>
      <c r="P6" s="182"/>
      <c r="Q6" s="182"/>
      <c r="R6" s="182"/>
      <c r="S6" s="182"/>
    </row>
    <row r="7" spans="8:22" x14ac:dyDescent="0.35">
      <c r="H7" s="163" t="s">
        <v>366</v>
      </c>
    </row>
    <row r="8" spans="8:22" ht="16.149999999999999" customHeight="1" x14ac:dyDescent="0.35"/>
    <row r="9" spans="8:22" ht="15.75" customHeight="1" x14ac:dyDescent="0.35">
      <c r="L9" s="1244">
        <v>2020</v>
      </c>
      <c r="M9" s="1245"/>
      <c r="N9" s="1245"/>
      <c r="O9" s="190">
        <v>2021</v>
      </c>
      <c r="P9" s="190"/>
      <c r="Q9" s="190"/>
      <c r="R9" s="189"/>
    </row>
    <row r="10" spans="8:22" ht="41.5" customHeight="1" x14ac:dyDescent="0.35">
      <c r="H10" s="194" t="s">
        <v>367</v>
      </c>
      <c r="I10" s="194" t="s">
        <v>368</v>
      </c>
      <c r="J10" s="195" t="s">
        <v>369</v>
      </c>
      <c r="K10" s="151"/>
      <c r="L10" s="186" t="s">
        <v>329</v>
      </c>
      <c r="M10" s="188" t="s">
        <v>238</v>
      </c>
      <c r="N10" s="188" t="s">
        <v>327</v>
      </c>
      <c r="O10" s="188" t="s">
        <v>328</v>
      </c>
      <c r="P10" s="188" t="s">
        <v>329</v>
      </c>
      <c r="Q10" s="188" t="s">
        <v>238</v>
      </c>
      <c r="R10" s="191" t="s">
        <v>327</v>
      </c>
      <c r="S10" s="182" t="s">
        <v>370</v>
      </c>
      <c r="T10" s="151"/>
      <c r="U10" s="151"/>
      <c r="V10" s="151"/>
    </row>
    <row r="11" spans="8:22" x14ac:dyDescent="0.35">
      <c r="H11" s="196">
        <v>43934</v>
      </c>
      <c r="I11" s="144">
        <v>248</v>
      </c>
      <c r="J11" s="155">
        <f>I11</f>
        <v>248</v>
      </c>
      <c r="K11" s="144"/>
      <c r="L11" s="171">
        <f>S11/26*J11</f>
        <v>95.384615384615387</v>
      </c>
      <c r="M11" s="167">
        <f>13/26*J11</f>
        <v>124</v>
      </c>
      <c r="N11" s="167">
        <f>J11-SUM(L11:M11)</f>
        <v>28.615384615384613</v>
      </c>
      <c r="O11" s="167"/>
      <c r="P11" s="167"/>
      <c r="Q11" s="167"/>
      <c r="R11" s="172"/>
      <c r="S11" s="144">
        <v>10</v>
      </c>
      <c r="T11" s="144"/>
      <c r="U11" s="168"/>
      <c r="V11" s="144"/>
    </row>
    <row r="12" spans="8:22" x14ac:dyDescent="0.35">
      <c r="H12" s="169">
        <v>43937</v>
      </c>
      <c r="I12" s="144">
        <v>342</v>
      </c>
      <c r="J12" s="155">
        <f>I12-I11</f>
        <v>94</v>
      </c>
      <c r="K12" s="144"/>
      <c r="L12" s="171">
        <f t="shared" ref="L12:L20" si="0">S12/26*J12</f>
        <v>36.153846153846153</v>
      </c>
      <c r="M12" s="167">
        <f t="shared" ref="M12:M20" si="1">13/26*J12</f>
        <v>47</v>
      </c>
      <c r="N12" s="167">
        <f t="shared" ref="N12:N21" si="2">J12-SUM(L12:M12)</f>
        <v>10.84615384615384</v>
      </c>
      <c r="O12" s="167"/>
      <c r="P12" s="167"/>
      <c r="Q12" s="167"/>
      <c r="R12" s="172"/>
      <c r="S12" s="144">
        <v>10</v>
      </c>
      <c r="T12" s="144"/>
      <c r="U12" s="144"/>
      <c r="V12" s="144"/>
    </row>
    <row r="13" spans="8:22" x14ac:dyDescent="0.35">
      <c r="H13" s="169">
        <v>43952</v>
      </c>
      <c r="I13" s="144">
        <v>518</v>
      </c>
      <c r="J13" s="155">
        <f>I13-I12</f>
        <v>176</v>
      </c>
      <c r="K13" s="144"/>
      <c r="L13" s="171">
        <f t="shared" si="0"/>
        <v>54.15384615384616</v>
      </c>
      <c r="M13" s="167">
        <f t="shared" si="1"/>
        <v>88</v>
      </c>
      <c r="N13" s="167">
        <f t="shared" si="2"/>
        <v>33.84615384615384</v>
      </c>
      <c r="O13" s="167"/>
      <c r="P13" s="167"/>
      <c r="Q13" s="167"/>
      <c r="R13" s="172"/>
      <c r="S13" s="144">
        <v>8</v>
      </c>
      <c r="T13" s="144"/>
      <c r="U13" s="144"/>
      <c r="V13" s="144"/>
    </row>
    <row r="14" spans="8:22" x14ac:dyDescent="0.35">
      <c r="H14" s="169">
        <v>43959</v>
      </c>
      <c r="I14" s="144">
        <v>531</v>
      </c>
      <c r="J14" s="155">
        <f t="shared" ref="J14:J45" si="3">I14-I13</f>
        <v>13</v>
      </c>
      <c r="K14" s="144"/>
      <c r="L14" s="171">
        <f t="shared" si="0"/>
        <v>3.5</v>
      </c>
      <c r="M14" s="167">
        <f t="shared" si="1"/>
        <v>6.5</v>
      </c>
      <c r="N14" s="167">
        <f t="shared" si="2"/>
        <v>3</v>
      </c>
      <c r="O14" s="167"/>
      <c r="P14" s="167"/>
      <c r="Q14" s="167"/>
      <c r="R14" s="172"/>
      <c r="S14" s="144">
        <f t="shared" ref="S14:S20" si="4">S13-1</f>
        <v>7</v>
      </c>
      <c r="T14" s="144"/>
      <c r="U14" s="144"/>
      <c r="V14" s="144"/>
    </row>
    <row r="15" spans="8:22" x14ac:dyDescent="0.35">
      <c r="H15" s="169">
        <v>43967</v>
      </c>
      <c r="I15" s="144">
        <v>513</v>
      </c>
      <c r="J15" s="155">
        <f t="shared" si="3"/>
        <v>-18</v>
      </c>
      <c r="K15" s="144"/>
      <c r="L15" s="171">
        <f t="shared" ref="L15:L17" si="5">S15/26*J15</f>
        <v>-4.1538461538461542</v>
      </c>
      <c r="M15" s="167">
        <f t="shared" ref="M15:M17" si="6">13/26*J15</f>
        <v>-9</v>
      </c>
      <c r="N15" s="167">
        <f t="shared" ref="N15:N17" si="7">J15-SUM(L15:M15)</f>
        <v>-4.8461538461538467</v>
      </c>
      <c r="O15" s="167"/>
      <c r="P15" s="167"/>
      <c r="Q15" s="167"/>
      <c r="R15" s="172"/>
      <c r="S15" s="144">
        <f t="shared" si="4"/>
        <v>6</v>
      </c>
      <c r="T15" s="144"/>
      <c r="U15" s="144"/>
      <c r="V15" s="144"/>
    </row>
    <row r="16" spans="8:22" x14ac:dyDescent="0.35">
      <c r="H16" s="169">
        <v>43974</v>
      </c>
      <c r="I16" s="144">
        <v>511</v>
      </c>
      <c r="J16" s="155">
        <f t="shared" si="3"/>
        <v>-2</v>
      </c>
      <c r="K16" s="144"/>
      <c r="L16" s="171">
        <f t="shared" si="5"/>
        <v>-0.38461538461538464</v>
      </c>
      <c r="M16" s="167">
        <f t="shared" si="6"/>
        <v>-1</v>
      </c>
      <c r="N16" s="167">
        <f t="shared" si="7"/>
        <v>-0.61538461538461542</v>
      </c>
      <c r="O16" s="167"/>
      <c r="P16" s="167"/>
      <c r="Q16" s="167"/>
      <c r="R16" s="172"/>
      <c r="S16" s="144">
        <f t="shared" si="4"/>
        <v>5</v>
      </c>
      <c r="T16" s="144"/>
      <c r="U16" s="144"/>
      <c r="V16" s="144"/>
    </row>
    <row r="17" spans="8:22" x14ac:dyDescent="0.35">
      <c r="H17" s="169">
        <v>43981</v>
      </c>
      <c r="I17" s="144">
        <v>510</v>
      </c>
      <c r="J17" s="155">
        <f t="shared" si="3"/>
        <v>-1</v>
      </c>
      <c r="K17" s="144"/>
      <c r="L17" s="171">
        <f t="shared" si="5"/>
        <v>-0.15384615384615385</v>
      </c>
      <c r="M17" s="167">
        <f t="shared" si="6"/>
        <v>-0.5</v>
      </c>
      <c r="N17" s="167">
        <f t="shared" si="7"/>
        <v>-0.34615384615384615</v>
      </c>
      <c r="O17" s="167"/>
      <c r="P17" s="167"/>
      <c r="Q17" s="167"/>
      <c r="R17" s="172"/>
      <c r="S17" s="144">
        <f t="shared" si="4"/>
        <v>4</v>
      </c>
      <c r="T17" s="144"/>
      <c r="U17" s="144"/>
      <c r="V17" s="144"/>
    </row>
    <row r="18" spans="8:22" x14ac:dyDescent="0.35">
      <c r="H18" s="169">
        <v>43988</v>
      </c>
      <c r="I18" s="144">
        <v>511</v>
      </c>
      <c r="J18" s="155">
        <f t="shared" si="3"/>
        <v>1</v>
      </c>
      <c r="K18" s="144"/>
      <c r="L18" s="171">
        <f t="shared" si="0"/>
        <v>0.11538461538461539</v>
      </c>
      <c r="M18" s="167">
        <f t="shared" si="1"/>
        <v>0.5</v>
      </c>
      <c r="N18" s="167">
        <f t="shared" si="2"/>
        <v>0.38461538461538458</v>
      </c>
      <c r="O18" s="167"/>
      <c r="P18" s="167"/>
      <c r="Q18" s="167"/>
      <c r="R18" s="172"/>
      <c r="S18" s="144">
        <f t="shared" si="4"/>
        <v>3</v>
      </c>
      <c r="T18" s="144"/>
      <c r="U18" s="144"/>
      <c r="V18" s="144"/>
    </row>
    <row r="19" spans="8:22" x14ac:dyDescent="0.35">
      <c r="H19" s="169">
        <v>43994</v>
      </c>
      <c r="I19" s="144">
        <v>512</v>
      </c>
      <c r="J19" s="155">
        <f t="shared" si="3"/>
        <v>1</v>
      </c>
      <c r="K19" s="144"/>
      <c r="L19" s="171">
        <f t="shared" si="0"/>
        <v>7.6923076923076927E-2</v>
      </c>
      <c r="M19" s="167">
        <f t="shared" si="1"/>
        <v>0.5</v>
      </c>
      <c r="N19" s="167">
        <f t="shared" si="2"/>
        <v>0.42307692307692313</v>
      </c>
      <c r="O19" s="167"/>
      <c r="P19" s="167"/>
      <c r="Q19" s="167"/>
      <c r="R19" s="172"/>
      <c r="S19" s="144">
        <f t="shared" si="4"/>
        <v>2</v>
      </c>
      <c r="T19" s="144"/>
      <c r="U19" s="144"/>
      <c r="V19" s="144"/>
    </row>
    <row r="20" spans="8:22" x14ac:dyDescent="0.35">
      <c r="H20" s="169">
        <v>44002</v>
      </c>
      <c r="I20" s="144">
        <v>515</v>
      </c>
      <c r="J20" s="155">
        <f t="shared" si="3"/>
        <v>3</v>
      </c>
      <c r="K20" s="144"/>
      <c r="L20" s="171">
        <f t="shared" si="0"/>
        <v>0.11538461538461539</v>
      </c>
      <c r="M20" s="167">
        <f t="shared" si="1"/>
        <v>1.5</v>
      </c>
      <c r="N20" s="167">
        <f t="shared" si="2"/>
        <v>1.3846153846153846</v>
      </c>
      <c r="O20" s="167"/>
      <c r="P20" s="167"/>
      <c r="Q20" s="167"/>
      <c r="R20" s="172"/>
      <c r="S20" s="144">
        <f t="shared" si="4"/>
        <v>1</v>
      </c>
      <c r="T20" s="144"/>
      <c r="U20" s="144"/>
      <c r="V20" s="144"/>
    </row>
    <row r="21" spans="8:22" x14ac:dyDescent="0.35">
      <c r="H21" s="169">
        <v>44009</v>
      </c>
      <c r="I21" s="144">
        <v>519</v>
      </c>
      <c r="J21" s="155">
        <f t="shared" si="3"/>
        <v>4</v>
      </c>
      <c r="K21" s="144"/>
      <c r="L21" s="171"/>
      <c r="M21" s="167">
        <f>S21/26*J21</f>
        <v>2</v>
      </c>
      <c r="N21" s="167">
        <f t="shared" si="2"/>
        <v>2</v>
      </c>
      <c r="O21" s="167"/>
      <c r="P21" s="167"/>
      <c r="Q21" s="167"/>
      <c r="R21" s="172"/>
      <c r="S21" s="144">
        <v>13</v>
      </c>
      <c r="T21" s="144"/>
      <c r="U21" s="144"/>
      <c r="V21" s="144"/>
    </row>
    <row r="22" spans="8:22" x14ac:dyDescent="0.35">
      <c r="H22" s="169">
        <v>44012</v>
      </c>
      <c r="I22" s="144">
        <v>521</v>
      </c>
      <c r="J22" s="155">
        <f t="shared" si="3"/>
        <v>2</v>
      </c>
      <c r="K22" s="144"/>
      <c r="L22" s="171"/>
      <c r="M22" s="167">
        <f t="shared" ref="M22:M26" si="8">S22/26*J22</f>
        <v>1</v>
      </c>
      <c r="N22" s="167">
        <f>J22-SUM(L22:M22)</f>
        <v>1</v>
      </c>
      <c r="O22" s="167"/>
      <c r="P22" s="167"/>
      <c r="Q22" s="167"/>
      <c r="R22" s="172"/>
      <c r="S22" s="144">
        <v>13</v>
      </c>
      <c r="T22" s="144"/>
      <c r="U22" s="144"/>
      <c r="V22" s="144"/>
    </row>
    <row r="23" spans="8:22" x14ac:dyDescent="0.35">
      <c r="H23" s="169">
        <v>44029</v>
      </c>
      <c r="I23" s="144">
        <v>518</v>
      </c>
      <c r="J23" s="155">
        <f t="shared" si="3"/>
        <v>-3</v>
      </c>
      <c r="K23" s="144"/>
      <c r="L23" s="171"/>
      <c r="M23" s="167">
        <f t="shared" ref="M23" si="9">S23/26*J23</f>
        <v>-1.153846153846154</v>
      </c>
      <c r="N23" s="167">
        <f t="shared" ref="N23" si="10">13/26*J23</f>
        <v>-1.5</v>
      </c>
      <c r="O23" s="167">
        <f t="shared" ref="O23" si="11">J23-N23-M23</f>
        <v>-0.34615384615384603</v>
      </c>
      <c r="P23" s="167"/>
      <c r="Q23" s="167"/>
      <c r="R23" s="172"/>
      <c r="S23" s="144">
        <f>S22-3</f>
        <v>10</v>
      </c>
      <c r="T23" s="144"/>
      <c r="U23" s="144"/>
      <c r="V23" s="144"/>
    </row>
    <row r="24" spans="8:22" x14ac:dyDescent="0.35">
      <c r="H24" s="169">
        <v>44036</v>
      </c>
      <c r="I24" s="144">
        <v>520</v>
      </c>
      <c r="J24" s="155">
        <f t="shared" si="3"/>
        <v>2</v>
      </c>
      <c r="K24" s="144"/>
      <c r="L24" s="171"/>
      <c r="M24" s="167">
        <f t="shared" si="8"/>
        <v>0.69230769230769229</v>
      </c>
      <c r="N24" s="167">
        <f t="shared" ref="N24:N26" si="12">13/26*J24</f>
        <v>1</v>
      </c>
      <c r="O24" s="167">
        <f t="shared" ref="O24:O26" si="13">J24-N24-M24</f>
        <v>0.30769230769230771</v>
      </c>
      <c r="P24" s="167"/>
      <c r="Q24" s="167"/>
      <c r="R24" s="172"/>
      <c r="S24" s="144">
        <f>S23-1</f>
        <v>9</v>
      </c>
      <c r="T24" s="144"/>
      <c r="U24" s="144"/>
      <c r="V24" s="144"/>
    </row>
    <row r="25" spans="8:22" x14ac:dyDescent="0.35">
      <c r="H25" s="169">
        <v>44043</v>
      </c>
      <c r="I25" s="144">
        <v>521</v>
      </c>
      <c r="J25" s="155">
        <f t="shared" si="3"/>
        <v>1</v>
      </c>
      <c r="K25" s="144"/>
      <c r="L25" s="171"/>
      <c r="M25" s="167">
        <f t="shared" si="8"/>
        <v>0.30769230769230771</v>
      </c>
      <c r="N25" s="167">
        <f t="shared" si="12"/>
        <v>0.5</v>
      </c>
      <c r="O25" s="167">
        <f t="shared" si="13"/>
        <v>0.19230769230769229</v>
      </c>
      <c r="P25" s="167"/>
      <c r="Q25" s="167"/>
      <c r="R25" s="172"/>
      <c r="S25" s="144">
        <f>S24-1</f>
        <v>8</v>
      </c>
      <c r="T25" s="144"/>
      <c r="U25" s="144"/>
      <c r="V25" s="144"/>
    </row>
    <row r="26" spans="8:22" x14ac:dyDescent="0.35">
      <c r="H26" s="169">
        <v>44051</v>
      </c>
      <c r="I26" s="144">
        <v>525</v>
      </c>
      <c r="J26" s="155">
        <f t="shared" si="3"/>
        <v>4</v>
      </c>
      <c r="K26" s="144"/>
      <c r="L26" s="171"/>
      <c r="M26" s="167">
        <f t="shared" si="8"/>
        <v>1.0769230769230769</v>
      </c>
      <c r="N26" s="167">
        <f t="shared" si="12"/>
        <v>2</v>
      </c>
      <c r="O26" s="167">
        <f t="shared" si="13"/>
        <v>0.92307692307692313</v>
      </c>
      <c r="P26" s="167"/>
      <c r="Q26" s="167"/>
      <c r="R26" s="172"/>
      <c r="S26" s="144">
        <f>S25-1</f>
        <v>7</v>
      </c>
      <c r="T26" s="144"/>
      <c r="U26" s="144"/>
      <c r="V26" s="144"/>
    </row>
    <row r="27" spans="8:22" x14ac:dyDescent="0.35">
      <c r="H27" s="169">
        <v>44220</v>
      </c>
      <c r="I27" s="144">
        <v>558</v>
      </c>
      <c r="J27" s="155">
        <f t="shared" si="3"/>
        <v>33</v>
      </c>
      <c r="K27" s="144"/>
      <c r="L27" s="171"/>
      <c r="M27" s="167"/>
      <c r="N27" s="167"/>
      <c r="O27" s="167">
        <f>S27/26*J27</f>
        <v>12.692307692307693</v>
      </c>
      <c r="P27" s="167">
        <f>J27/2</f>
        <v>16.5</v>
      </c>
      <c r="Q27" s="167">
        <f>J27-P27-O27</f>
        <v>3.8076923076923066</v>
      </c>
      <c r="R27" s="172"/>
      <c r="S27" s="144">
        <v>10</v>
      </c>
      <c r="T27" s="144">
        <v>10</v>
      </c>
      <c r="U27" s="144"/>
      <c r="V27" s="144"/>
    </row>
    <row r="28" spans="8:22" x14ac:dyDescent="0.35">
      <c r="H28" s="169">
        <v>44227</v>
      </c>
      <c r="I28" s="144">
        <v>596</v>
      </c>
      <c r="J28" s="155">
        <f t="shared" si="3"/>
        <v>38</v>
      </c>
      <c r="K28" s="144"/>
      <c r="L28" s="171"/>
      <c r="M28" s="167"/>
      <c r="N28" s="167"/>
      <c r="O28" s="167">
        <f t="shared" ref="O28:O36" si="14">S28/26*J28</f>
        <v>13.153846153846153</v>
      </c>
      <c r="P28" s="167">
        <f t="shared" ref="P28:P36" si="15">J28/2</f>
        <v>19</v>
      </c>
      <c r="Q28" s="167">
        <f t="shared" ref="Q28:Q36" si="16">J28-P28-O28</f>
        <v>5.8461538461538467</v>
      </c>
      <c r="R28" s="172"/>
      <c r="S28" s="144">
        <f>S27-1</f>
        <v>9</v>
      </c>
      <c r="T28" s="144">
        <f>T27-1</f>
        <v>9</v>
      </c>
      <c r="U28" s="144"/>
      <c r="V28" s="144"/>
    </row>
    <row r="29" spans="8:22" x14ac:dyDescent="0.35">
      <c r="H29" s="169">
        <v>44234</v>
      </c>
      <c r="I29" s="144">
        <v>623</v>
      </c>
      <c r="J29" s="155">
        <f t="shared" si="3"/>
        <v>27</v>
      </c>
      <c r="K29" s="144"/>
      <c r="L29" s="171"/>
      <c r="M29" s="167"/>
      <c r="N29" s="167"/>
      <c r="O29" s="167">
        <f t="shared" si="14"/>
        <v>8.3076923076923084</v>
      </c>
      <c r="P29" s="167">
        <f t="shared" si="15"/>
        <v>13.5</v>
      </c>
      <c r="Q29" s="167">
        <f t="shared" si="16"/>
        <v>5.1923076923076916</v>
      </c>
      <c r="R29" s="172"/>
      <c r="S29" s="144">
        <f t="shared" ref="S29:S36" si="17">S28-1</f>
        <v>8</v>
      </c>
      <c r="T29" s="144">
        <f t="shared" ref="T29:T36" si="18">T28-1</f>
        <v>8</v>
      </c>
      <c r="U29" s="144"/>
      <c r="V29" s="144"/>
    </row>
    <row r="30" spans="8:22" x14ac:dyDescent="0.35">
      <c r="H30" s="169">
        <v>44242</v>
      </c>
      <c r="I30" s="144">
        <v>648</v>
      </c>
      <c r="J30" s="155">
        <f t="shared" si="3"/>
        <v>25</v>
      </c>
      <c r="K30" s="144"/>
      <c r="L30" s="171"/>
      <c r="M30" s="167"/>
      <c r="N30" s="167"/>
      <c r="O30" s="167">
        <f t="shared" si="14"/>
        <v>6.7307692307692308</v>
      </c>
      <c r="P30" s="167">
        <f t="shared" si="15"/>
        <v>12.5</v>
      </c>
      <c r="Q30" s="167">
        <f t="shared" si="16"/>
        <v>5.7692307692307692</v>
      </c>
      <c r="R30" s="172"/>
      <c r="S30" s="144">
        <f t="shared" si="17"/>
        <v>7</v>
      </c>
      <c r="T30" s="144">
        <f t="shared" si="18"/>
        <v>7</v>
      </c>
      <c r="U30" s="144"/>
      <c r="V30" s="144"/>
    </row>
    <row r="31" spans="8:22" x14ac:dyDescent="0.35">
      <c r="H31" s="169">
        <v>44248</v>
      </c>
      <c r="I31" s="144">
        <v>663</v>
      </c>
      <c r="J31" s="155">
        <f t="shared" si="3"/>
        <v>15</v>
      </c>
      <c r="K31" s="144"/>
      <c r="L31" s="171"/>
      <c r="M31" s="167"/>
      <c r="N31" s="167"/>
      <c r="O31" s="167">
        <f t="shared" si="14"/>
        <v>3.4615384615384617</v>
      </c>
      <c r="P31" s="167">
        <f t="shared" si="15"/>
        <v>7.5</v>
      </c>
      <c r="Q31" s="167">
        <f t="shared" si="16"/>
        <v>4.0384615384615383</v>
      </c>
      <c r="R31" s="172"/>
      <c r="S31" s="144">
        <f t="shared" si="17"/>
        <v>6</v>
      </c>
      <c r="T31" s="144">
        <f t="shared" si="18"/>
        <v>6</v>
      </c>
      <c r="U31" s="144"/>
      <c r="V31" s="144"/>
    </row>
    <row r="32" spans="8:22" x14ac:dyDescent="0.35">
      <c r="H32" s="169">
        <v>44255</v>
      </c>
      <c r="I32" s="144">
        <v>679</v>
      </c>
      <c r="J32" s="155">
        <f t="shared" si="3"/>
        <v>16</v>
      </c>
      <c r="K32" s="144"/>
      <c r="L32" s="171"/>
      <c r="M32" s="167"/>
      <c r="N32" s="167"/>
      <c r="O32" s="167">
        <f t="shared" si="14"/>
        <v>3.0769230769230771</v>
      </c>
      <c r="P32" s="167">
        <f t="shared" si="15"/>
        <v>8</v>
      </c>
      <c r="Q32" s="167">
        <f t="shared" si="16"/>
        <v>4.9230769230769234</v>
      </c>
      <c r="R32" s="172"/>
      <c r="S32" s="144">
        <f t="shared" si="17"/>
        <v>5</v>
      </c>
      <c r="T32" s="144">
        <f t="shared" si="18"/>
        <v>5</v>
      </c>
      <c r="U32" s="144"/>
      <c r="V32" s="144"/>
    </row>
    <row r="33" spans="8:22" x14ac:dyDescent="0.35">
      <c r="H33" s="169">
        <v>44262</v>
      </c>
      <c r="I33" s="144">
        <v>687</v>
      </c>
      <c r="J33" s="155">
        <f t="shared" si="3"/>
        <v>8</v>
      </c>
      <c r="K33" s="144"/>
      <c r="L33" s="171"/>
      <c r="M33" s="167"/>
      <c r="N33" s="167"/>
      <c r="O33" s="167">
        <f t="shared" si="14"/>
        <v>1.2307692307692308</v>
      </c>
      <c r="P33" s="167">
        <f t="shared" si="15"/>
        <v>4</v>
      </c>
      <c r="Q33" s="167">
        <f t="shared" si="16"/>
        <v>2.7692307692307692</v>
      </c>
      <c r="R33" s="172"/>
      <c r="S33" s="144">
        <f t="shared" si="17"/>
        <v>4</v>
      </c>
      <c r="T33" s="144">
        <f t="shared" si="18"/>
        <v>4</v>
      </c>
      <c r="U33" s="144"/>
      <c r="V33" s="144"/>
    </row>
    <row r="34" spans="8:22" x14ac:dyDescent="0.35">
      <c r="H34" s="169">
        <v>44269</v>
      </c>
      <c r="I34" s="144">
        <v>704</v>
      </c>
      <c r="J34" s="155">
        <f t="shared" si="3"/>
        <v>17</v>
      </c>
      <c r="K34" s="144"/>
      <c r="L34" s="171"/>
      <c r="M34" s="167"/>
      <c r="N34" s="167"/>
      <c r="O34" s="167">
        <f t="shared" si="14"/>
        <v>1.9615384615384617</v>
      </c>
      <c r="P34" s="167">
        <f t="shared" si="15"/>
        <v>8.5</v>
      </c>
      <c r="Q34" s="167">
        <f t="shared" si="16"/>
        <v>6.5384615384615383</v>
      </c>
      <c r="R34" s="172"/>
      <c r="S34" s="144">
        <f t="shared" si="17"/>
        <v>3</v>
      </c>
      <c r="T34" s="144">
        <f t="shared" si="18"/>
        <v>3</v>
      </c>
      <c r="U34" s="144"/>
      <c r="V34" s="144"/>
    </row>
    <row r="35" spans="8:22" x14ac:dyDescent="0.35">
      <c r="H35" s="169">
        <v>44276</v>
      </c>
      <c r="I35" s="144">
        <v>718</v>
      </c>
      <c r="J35" s="155">
        <f t="shared" si="3"/>
        <v>14</v>
      </c>
      <c r="K35" s="144"/>
      <c r="L35" s="171"/>
      <c r="M35" s="167"/>
      <c r="N35" s="167"/>
      <c r="O35" s="167">
        <f t="shared" si="14"/>
        <v>1.0769230769230771</v>
      </c>
      <c r="P35" s="167">
        <f t="shared" si="15"/>
        <v>7</v>
      </c>
      <c r="Q35" s="167">
        <f t="shared" si="16"/>
        <v>5.9230769230769234</v>
      </c>
      <c r="R35" s="172"/>
      <c r="S35" s="144">
        <f t="shared" si="17"/>
        <v>2</v>
      </c>
      <c r="T35" s="144">
        <f t="shared" si="18"/>
        <v>2</v>
      </c>
      <c r="U35" s="144"/>
      <c r="V35" s="144"/>
    </row>
    <row r="36" spans="8:22" x14ac:dyDescent="0.35">
      <c r="H36" s="169">
        <v>44283</v>
      </c>
      <c r="I36" s="144">
        <v>734</v>
      </c>
      <c r="J36" s="155">
        <f t="shared" si="3"/>
        <v>16</v>
      </c>
      <c r="K36" s="144"/>
      <c r="L36" s="171"/>
      <c r="M36" s="167"/>
      <c r="N36" s="167"/>
      <c r="O36" s="167">
        <f t="shared" si="14"/>
        <v>0.61538461538461542</v>
      </c>
      <c r="P36" s="167">
        <f t="shared" si="15"/>
        <v>8</v>
      </c>
      <c r="Q36" s="167">
        <f t="shared" si="16"/>
        <v>7.384615384615385</v>
      </c>
      <c r="R36" s="172"/>
      <c r="S36" s="144">
        <f t="shared" si="17"/>
        <v>1</v>
      </c>
      <c r="T36" s="144">
        <f t="shared" si="18"/>
        <v>1</v>
      </c>
      <c r="U36" s="144"/>
      <c r="V36" s="144"/>
    </row>
    <row r="37" spans="8:22" x14ac:dyDescent="0.35">
      <c r="H37" s="169">
        <v>44290</v>
      </c>
      <c r="I37" s="144">
        <v>746</v>
      </c>
      <c r="J37" s="155">
        <f t="shared" si="3"/>
        <v>12</v>
      </c>
      <c r="K37" s="144"/>
      <c r="L37" s="171"/>
      <c r="M37" s="167"/>
      <c r="N37" s="167"/>
      <c r="O37" s="167"/>
      <c r="P37" s="167">
        <f>T37/26*J37</f>
        <v>6</v>
      </c>
      <c r="Q37" s="167">
        <f>J37/2</f>
        <v>6</v>
      </c>
      <c r="R37" s="172">
        <f>J37-Q37-P37</f>
        <v>0</v>
      </c>
      <c r="S37" s="144">
        <v>13</v>
      </c>
      <c r="T37" s="144">
        <v>13</v>
      </c>
      <c r="U37" s="144"/>
      <c r="V37" s="144"/>
    </row>
    <row r="38" spans="8:22" x14ac:dyDescent="0.35">
      <c r="H38" s="169">
        <v>44297</v>
      </c>
      <c r="I38" s="144">
        <v>755</v>
      </c>
      <c r="J38" s="155">
        <f t="shared" si="3"/>
        <v>9</v>
      </c>
      <c r="K38" s="144"/>
      <c r="L38" s="171"/>
      <c r="M38" s="167"/>
      <c r="N38" s="167"/>
      <c r="O38" s="167"/>
      <c r="P38" s="167">
        <f t="shared" ref="P38:P45" si="19">T38/26*J38</f>
        <v>4.1538461538461542</v>
      </c>
      <c r="Q38" s="167">
        <f t="shared" ref="Q38:Q45" si="20">J38/2</f>
        <v>4.5</v>
      </c>
      <c r="R38" s="172">
        <f t="shared" ref="R38:R45" si="21">J38-Q38-P38</f>
        <v>0.34615384615384581</v>
      </c>
      <c r="S38" s="144">
        <f>S37-1</f>
        <v>12</v>
      </c>
      <c r="T38" s="144">
        <f>T37-1</f>
        <v>12</v>
      </c>
      <c r="U38" s="144"/>
      <c r="V38" s="144"/>
    </row>
    <row r="39" spans="8:22" x14ac:dyDescent="0.35">
      <c r="H39" s="169">
        <v>44304</v>
      </c>
      <c r="I39" s="144">
        <v>762</v>
      </c>
      <c r="J39" s="155">
        <f t="shared" si="3"/>
        <v>7</v>
      </c>
      <c r="K39" s="144"/>
      <c r="L39" s="171"/>
      <c r="M39" s="167"/>
      <c r="N39" s="167"/>
      <c r="O39" s="167"/>
      <c r="P39" s="167">
        <f t="shared" si="19"/>
        <v>2.9615384615384617</v>
      </c>
      <c r="Q39" s="167">
        <f t="shared" si="20"/>
        <v>3.5</v>
      </c>
      <c r="R39" s="172">
        <f t="shared" si="21"/>
        <v>0.53846153846153832</v>
      </c>
      <c r="S39" s="144">
        <f t="shared" ref="S39:S45" si="22">S38-1</f>
        <v>11</v>
      </c>
      <c r="T39" s="144">
        <f t="shared" ref="T39:T45" si="23">T38-1</f>
        <v>11</v>
      </c>
      <c r="U39" s="144"/>
      <c r="V39" s="144"/>
    </row>
    <row r="40" spans="8:22" x14ac:dyDescent="0.35">
      <c r="H40" s="169">
        <v>44311</v>
      </c>
      <c r="I40" s="144">
        <v>771</v>
      </c>
      <c r="J40" s="155">
        <f t="shared" si="3"/>
        <v>9</v>
      </c>
      <c r="K40" s="144"/>
      <c r="L40" s="171"/>
      <c r="M40" s="167"/>
      <c r="N40" s="167"/>
      <c r="O40" s="167"/>
      <c r="P40" s="167">
        <f t="shared" si="19"/>
        <v>3.4615384615384617</v>
      </c>
      <c r="Q40" s="167">
        <f t="shared" si="20"/>
        <v>4.5</v>
      </c>
      <c r="R40" s="172">
        <f t="shared" si="21"/>
        <v>1.0384615384615383</v>
      </c>
      <c r="S40" s="144">
        <f t="shared" si="22"/>
        <v>10</v>
      </c>
      <c r="T40" s="144">
        <f t="shared" si="23"/>
        <v>10</v>
      </c>
      <c r="U40" s="144"/>
      <c r="V40" s="144"/>
    </row>
    <row r="41" spans="8:22" x14ac:dyDescent="0.35">
      <c r="H41" s="169">
        <v>44318</v>
      </c>
      <c r="I41" s="144">
        <v>780</v>
      </c>
      <c r="J41" s="155">
        <f t="shared" si="3"/>
        <v>9</v>
      </c>
      <c r="K41" s="144"/>
      <c r="L41" s="171"/>
      <c r="M41" s="167"/>
      <c r="N41" s="167"/>
      <c r="O41" s="167"/>
      <c r="P41" s="167">
        <f t="shared" si="19"/>
        <v>3.1153846153846154</v>
      </c>
      <c r="Q41" s="167">
        <f t="shared" si="20"/>
        <v>4.5</v>
      </c>
      <c r="R41" s="172">
        <f t="shared" si="21"/>
        <v>1.3846153846153846</v>
      </c>
      <c r="S41" s="144">
        <f t="shared" si="22"/>
        <v>9</v>
      </c>
      <c r="T41" s="144">
        <f t="shared" si="23"/>
        <v>9</v>
      </c>
      <c r="U41" s="144"/>
      <c r="V41" s="144"/>
    </row>
    <row r="42" spans="8:22" x14ac:dyDescent="0.35">
      <c r="H42" s="169">
        <v>44325</v>
      </c>
      <c r="I42" s="144">
        <v>782</v>
      </c>
      <c r="J42" s="155">
        <f t="shared" si="3"/>
        <v>2</v>
      </c>
      <c r="K42" s="144"/>
      <c r="L42" s="171"/>
      <c r="M42" s="167"/>
      <c r="N42" s="167"/>
      <c r="O42" s="167"/>
      <c r="P42" s="167">
        <f t="shared" si="19"/>
        <v>0.61538461538461542</v>
      </c>
      <c r="Q42" s="167">
        <f t="shared" si="20"/>
        <v>1</v>
      </c>
      <c r="R42" s="172">
        <f t="shared" si="21"/>
        <v>0.38461538461538458</v>
      </c>
      <c r="S42" s="144">
        <f t="shared" si="22"/>
        <v>8</v>
      </c>
      <c r="T42" s="144">
        <f t="shared" si="23"/>
        <v>8</v>
      </c>
      <c r="U42" s="144"/>
      <c r="V42" s="144"/>
    </row>
    <row r="43" spans="8:22" x14ac:dyDescent="0.35">
      <c r="H43" s="169">
        <v>44332</v>
      </c>
      <c r="I43" s="144">
        <v>788</v>
      </c>
      <c r="J43" s="155">
        <f t="shared" si="3"/>
        <v>6</v>
      </c>
      <c r="K43" s="144"/>
      <c r="L43" s="171"/>
      <c r="M43" s="167"/>
      <c r="N43" s="167"/>
      <c r="O43" s="167"/>
      <c r="P43" s="167">
        <f t="shared" si="19"/>
        <v>1.6153846153846154</v>
      </c>
      <c r="Q43" s="167">
        <f t="shared" si="20"/>
        <v>3</v>
      </c>
      <c r="R43" s="172">
        <f t="shared" si="21"/>
        <v>1.3846153846153846</v>
      </c>
      <c r="S43" s="144">
        <f t="shared" si="22"/>
        <v>7</v>
      </c>
      <c r="T43" s="144">
        <f t="shared" si="23"/>
        <v>7</v>
      </c>
      <c r="U43" s="144"/>
      <c r="V43" s="144"/>
    </row>
    <row r="44" spans="8:22" x14ac:dyDescent="0.35">
      <c r="H44" s="169">
        <v>44339</v>
      </c>
      <c r="I44" s="144">
        <v>796</v>
      </c>
      <c r="J44" s="155">
        <f t="shared" si="3"/>
        <v>8</v>
      </c>
      <c r="K44" s="144"/>
      <c r="L44" s="171"/>
      <c r="M44" s="167"/>
      <c r="N44" s="167"/>
      <c r="O44" s="167"/>
      <c r="P44" s="167">
        <f t="shared" si="19"/>
        <v>1.8461538461538463</v>
      </c>
      <c r="Q44" s="167">
        <f t="shared" si="20"/>
        <v>4</v>
      </c>
      <c r="R44" s="172">
        <f t="shared" si="21"/>
        <v>2.1538461538461537</v>
      </c>
      <c r="S44" s="144">
        <f t="shared" si="22"/>
        <v>6</v>
      </c>
      <c r="T44" s="144">
        <f t="shared" si="23"/>
        <v>6</v>
      </c>
      <c r="U44" s="144"/>
      <c r="V44" s="144"/>
    </row>
    <row r="45" spans="8:22" x14ac:dyDescent="0.35">
      <c r="H45" s="170">
        <v>44347</v>
      </c>
      <c r="I45" s="158">
        <v>800</v>
      </c>
      <c r="J45" s="162">
        <f t="shared" si="3"/>
        <v>4</v>
      </c>
      <c r="K45" s="144"/>
      <c r="L45" s="171"/>
      <c r="M45" s="167"/>
      <c r="N45" s="167"/>
      <c r="O45" s="167"/>
      <c r="P45" s="167">
        <f t="shared" si="19"/>
        <v>0.76923076923076927</v>
      </c>
      <c r="Q45" s="167">
        <f t="shared" si="20"/>
        <v>2</v>
      </c>
      <c r="R45" s="172">
        <f t="shared" si="21"/>
        <v>1.2307692307692308</v>
      </c>
      <c r="S45" s="144">
        <f t="shared" si="22"/>
        <v>5</v>
      </c>
      <c r="T45" s="144">
        <f t="shared" si="23"/>
        <v>5</v>
      </c>
      <c r="U45" s="144"/>
      <c r="V45" s="144"/>
    </row>
    <row r="46" spans="8:22" x14ac:dyDescent="0.35">
      <c r="H46" s="144"/>
      <c r="I46" s="144"/>
      <c r="J46" s="144"/>
      <c r="K46" s="144"/>
      <c r="L46" s="171">
        <f>SUM(L11:L45)</f>
        <v>184.80769230769229</v>
      </c>
      <c r="M46" s="167">
        <f t="shared" ref="M46:R46" si="24">SUM(M11:M45)</f>
        <v>261.42307692307696</v>
      </c>
      <c r="N46" s="167">
        <f t="shared" si="24"/>
        <v>77.692307692307693</v>
      </c>
      <c r="O46" s="167">
        <f t="shared" si="24"/>
        <v>53.384615384615394</v>
      </c>
      <c r="P46" s="167">
        <f t="shared" si="24"/>
        <v>129.03846153846155</v>
      </c>
      <c r="Q46" s="167">
        <f t="shared" si="24"/>
        <v>85.192307692307693</v>
      </c>
      <c r="R46" s="172">
        <f t="shared" si="24"/>
        <v>8.4615384615384599</v>
      </c>
      <c r="S46" s="144"/>
      <c r="T46" s="144"/>
      <c r="U46" s="144"/>
      <c r="V46" s="144"/>
    </row>
    <row r="47" spans="8:22" x14ac:dyDescent="0.35">
      <c r="H47" s="144"/>
      <c r="I47" s="144"/>
      <c r="J47" s="144"/>
      <c r="K47" s="144"/>
      <c r="L47" s="173">
        <f>L46*4</f>
        <v>739.23076923076917</v>
      </c>
      <c r="M47" s="174">
        <f t="shared" ref="M47:R47" si="25">M46*4</f>
        <v>1045.6923076923078</v>
      </c>
      <c r="N47" s="174">
        <f t="shared" si="25"/>
        <v>310.76923076923077</v>
      </c>
      <c r="O47" s="174">
        <f t="shared" si="25"/>
        <v>213.53846153846158</v>
      </c>
      <c r="P47" s="174">
        <f t="shared" si="25"/>
        <v>516.15384615384619</v>
      </c>
      <c r="Q47" s="174">
        <f t="shared" si="25"/>
        <v>340.76923076923077</v>
      </c>
      <c r="R47" s="176">
        <f t="shared" si="25"/>
        <v>33.84615384615384</v>
      </c>
      <c r="S47" s="144" t="s">
        <v>371</v>
      </c>
      <c r="T47" s="144"/>
      <c r="U47" s="144"/>
      <c r="V47" s="144"/>
    </row>
    <row r="48" spans="8:22" x14ac:dyDescent="0.35">
      <c r="J48" s="156" t="s">
        <v>372</v>
      </c>
      <c r="L48" s="156">
        <v>634</v>
      </c>
      <c r="M48" s="197">
        <f>K55</f>
        <v>900.7</v>
      </c>
      <c r="N48" s="197">
        <f t="shared" ref="N48:P48" si="26">L55</f>
        <v>270.7</v>
      </c>
      <c r="O48" s="197">
        <f t="shared" si="26"/>
        <v>208.7</v>
      </c>
      <c r="P48" s="197">
        <f t="shared" si="26"/>
        <v>469.7</v>
      </c>
      <c r="Q48" s="197">
        <v>279</v>
      </c>
      <c r="R48" s="197"/>
    </row>
    <row r="50" spans="8:29" x14ac:dyDescent="0.35">
      <c r="H50" s="1246" t="s">
        <v>373</v>
      </c>
      <c r="I50" s="1247"/>
      <c r="J50" s="1253" t="s">
        <v>325</v>
      </c>
      <c r="K50" s="1254"/>
      <c r="L50" s="1254"/>
      <c r="M50" s="1255"/>
      <c r="N50" s="1255"/>
      <c r="O50" s="1255"/>
      <c r="P50" s="1256"/>
      <c r="Q50" s="181"/>
      <c r="R50" s="181"/>
      <c r="S50" s="181"/>
      <c r="T50" s="181"/>
      <c r="U50" s="181"/>
      <c r="V50" s="181"/>
      <c r="W50" s="181"/>
      <c r="X50" s="181"/>
      <c r="Y50" s="181"/>
    </row>
    <row r="51" spans="8:29" x14ac:dyDescent="0.35">
      <c r="H51" s="1248"/>
      <c r="I51" s="1249"/>
      <c r="J51" s="1244">
        <v>2020</v>
      </c>
      <c r="K51" s="1245"/>
      <c r="L51" s="1245"/>
      <c r="M51" s="1244">
        <v>2021</v>
      </c>
      <c r="N51" s="1245"/>
      <c r="O51" s="1245"/>
      <c r="P51" s="1252"/>
      <c r="Q51" s="1241"/>
      <c r="R51" s="1241"/>
      <c r="S51" s="1241"/>
      <c r="T51" s="1241"/>
      <c r="U51" s="1241"/>
      <c r="V51" s="1241"/>
      <c r="W51" s="1241"/>
      <c r="X51" s="1241"/>
    </row>
    <row r="52" spans="8:29" x14ac:dyDescent="0.35">
      <c r="H52" s="1250"/>
      <c r="I52" s="1251"/>
      <c r="J52" s="154" t="s">
        <v>329</v>
      </c>
      <c r="K52" s="153" t="s">
        <v>238</v>
      </c>
      <c r="L52" s="153" t="s">
        <v>327</v>
      </c>
      <c r="M52" s="175" t="s">
        <v>328</v>
      </c>
      <c r="N52" s="177" t="s">
        <v>329</v>
      </c>
      <c r="O52" s="177" t="s">
        <v>238</v>
      </c>
      <c r="P52" s="157" t="s">
        <v>327</v>
      </c>
      <c r="Q52" s="144"/>
      <c r="S52" s="156"/>
      <c r="T52" s="156"/>
      <c r="U52" s="144"/>
      <c r="V52" s="156"/>
      <c r="W52" s="156"/>
      <c r="X52" s="156"/>
      <c r="Y52" s="156"/>
      <c r="Z52" s="156"/>
      <c r="AA52" s="156"/>
    </row>
    <row r="53" spans="8:29" ht="32.65" customHeight="1" x14ac:dyDescent="0.35">
      <c r="H53" s="187" t="s">
        <v>374</v>
      </c>
      <c r="I53" s="144" t="s">
        <v>375</v>
      </c>
      <c r="J53" s="192">
        <f>'Haver Pivoted'!GU47</f>
        <v>57.2</v>
      </c>
      <c r="K53" s="193">
        <f>'Haver Pivoted'!GV47</f>
        <v>81.2</v>
      </c>
      <c r="L53" s="193">
        <f>'Haver Pivoted'!GW47</f>
        <v>24.4</v>
      </c>
      <c r="M53" s="159">
        <f>'Haver Pivoted'!GX47</f>
        <v>11.7</v>
      </c>
      <c r="N53" s="159">
        <f>'Haver Pivoted'!GY47</f>
        <v>28.5</v>
      </c>
      <c r="O53" s="152">
        <f>'Haver Pivoted'!GZ47</f>
        <v>18.8</v>
      </c>
      <c r="P53" s="152">
        <f>'Haver Pivoted'!HA47</f>
        <v>1.6</v>
      </c>
      <c r="Q53" s="159"/>
      <c r="S53" s="156"/>
      <c r="T53" s="156"/>
      <c r="U53" s="156"/>
      <c r="V53" s="156"/>
      <c r="W53" s="156"/>
      <c r="X53" s="156"/>
      <c r="Y53" s="156"/>
      <c r="Z53" s="156"/>
      <c r="AA53" s="156"/>
    </row>
    <row r="54" spans="8:29" ht="33.75" customHeight="1" x14ac:dyDescent="0.35">
      <c r="H54" s="187" t="s">
        <v>376</v>
      </c>
      <c r="I54" s="149" t="s">
        <v>377</v>
      </c>
      <c r="J54" s="164">
        <f>'Haver Pivoted'!GU49</f>
        <v>576.9</v>
      </c>
      <c r="K54" s="159">
        <f>'Haver Pivoted'!GV49</f>
        <v>819.5</v>
      </c>
      <c r="L54" s="159">
        <f>'Haver Pivoted'!GW49</f>
        <v>246.3</v>
      </c>
      <c r="M54" s="159">
        <f>'Haver Pivoted'!GX49</f>
        <v>197</v>
      </c>
      <c r="N54" s="159">
        <f>'Haver Pivoted'!GY49</f>
        <v>441.2</v>
      </c>
      <c r="O54" s="152">
        <f>'Haver Pivoted'!GZ49</f>
        <v>276.7</v>
      </c>
      <c r="P54" s="152">
        <f>'Haver Pivoted'!HA49</f>
        <v>28.2</v>
      </c>
      <c r="Q54" s="159"/>
      <c r="R54" s="159"/>
    </row>
    <row r="55" spans="8:29" x14ac:dyDescent="0.35">
      <c r="H55" s="179" t="s">
        <v>360</v>
      </c>
      <c r="I55" s="144"/>
      <c r="J55" s="164">
        <f>J54+J53</f>
        <v>634.1</v>
      </c>
      <c r="K55" s="159">
        <f t="shared" ref="K55:M55" si="27">K54+K53</f>
        <v>900.7</v>
      </c>
      <c r="L55" s="159">
        <f t="shared" si="27"/>
        <v>270.7</v>
      </c>
      <c r="M55" s="159">
        <f t="shared" si="27"/>
        <v>208.7</v>
      </c>
      <c r="N55" s="159">
        <f t="shared" ref="N55:P55" si="28">N54+N53</f>
        <v>469.7</v>
      </c>
      <c r="O55" s="152">
        <f t="shared" si="28"/>
        <v>295.5</v>
      </c>
      <c r="P55" s="152">
        <f t="shared" si="28"/>
        <v>29.8</v>
      </c>
      <c r="Q55" s="159"/>
      <c r="R55" s="159"/>
    </row>
    <row r="56" spans="8:29" x14ac:dyDescent="0.35">
      <c r="H56" s="150" t="s">
        <v>378</v>
      </c>
      <c r="I56" s="158"/>
      <c r="J56" s="183">
        <f t="shared" ref="J56:P56" si="29">J53/J55</f>
        <v>9.0206592020186091E-2</v>
      </c>
      <c r="K56" s="184">
        <f t="shared" si="29"/>
        <v>9.015210391917397E-2</v>
      </c>
      <c r="L56" s="184">
        <f t="shared" si="29"/>
        <v>9.0136682674547469E-2</v>
      </c>
      <c r="M56" s="184">
        <f t="shared" si="29"/>
        <v>5.6061332055582176E-2</v>
      </c>
      <c r="N56" s="184">
        <f t="shared" si="29"/>
        <v>6.0677027890142649E-2</v>
      </c>
      <c r="O56" s="185">
        <f t="shared" si="29"/>
        <v>6.3620981387478848E-2</v>
      </c>
      <c r="P56" s="185">
        <f t="shared" si="29"/>
        <v>5.3691275167785234E-2</v>
      </c>
      <c r="Q56" s="165"/>
      <c r="R56" s="166"/>
    </row>
    <row r="58" spans="8:29" x14ac:dyDescent="0.35">
      <c r="H58" s="156" t="s">
        <v>888</v>
      </c>
    </row>
    <row r="59" spans="8:29" x14ac:dyDescent="0.35">
      <c r="H59" s="178"/>
      <c r="I59" s="144"/>
      <c r="J59" s="159"/>
      <c r="K59" s="159"/>
      <c r="L59" s="159"/>
      <c r="M59" s="159"/>
      <c r="N59" s="159"/>
      <c r="O59" s="159"/>
      <c r="P59" s="160"/>
      <c r="Q59" s="159"/>
      <c r="R59" s="159"/>
      <c r="S59" s="159"/>
      <c r="T59" s="156"/>
      <c r="U59" s="156"/>
      <c r="V59" s="156"/>
      <c r="W59" s="156"/>
      <c r="X59" s="156"/>
      <c r="Y59" s="156"/>
      <c r="Z59" s="156"/>
      <c r="AA59" s="156"/>
      <c r="AB59" s="156"/>
      <c r="AC59" s="156"/>
    </row>
    <row r="60" spans="8:29" x14ac:dyDescent="0.35">
      <c r="P60" s="159"/>
      <c r="Q60" s="156"/>
      <c r="R60" s="156"/>
      <c r="S60" s="156"/>
      <c r="T60" s="156"/>
      <c r="U60" s="156"/>
      <c r="V60" s="156"/>
      <c r="W60" s="156"/>
      <c r="X60" s="156"/>
      <c r="Y60" s="156"/>
      <c r="Z60" s="156"/>
      <c r="AA60" s="156"/>
      <c r="AB60" s="156"/>
      <c r="AC60" s="156"/>
    </row>
    <row r="61" spans="8:29" x14ac:dyDescent="0.35">
      <c r="P61" s="159"/>
      <c r="Q61" s="161"/>
      <c r="R61" s="161"/>
      <c r="S61" s="161"/>
      <c r="T61" s="161"/>
      <c r="U61" s="161"/>
      <c r="V61" s="161"/>
      <c r="W61" s="161"/>
      <c r="X61" s="161"/>
      <c r="Y61" s="161"/>
      <c r="Z61" s="161"/>
      <c r="AA61" s="161"/>
      <c r="AB61" s="161"/>
      <c r="AC61" s="156"/>
    </row>
    <row r="62" spans="8:29" x14ac:dyDescent="0.35">
      <c r="P62" s="159"/>
      <c r="Q62" s="161"/>
      <c r="R62" s="161"/>
      <c r="S62" s="161"/>
      <c r="T62" s="161"/>
      <c r="U62" s="161"/>
      <c r="V62" s="161"/>
      <c r="W62" s="161"/>
      <c r="X62" s="161"/>
      <c r="Y62" s="161"/>
      <c r="Z62" s="161"/>
      <c r="AA62" s="161"/>
      <c r="AB62" s="161"/>
      <c r="AC62" s="156"/>
    </row>
    <row r="63" spans="8:29" x14ac:dyDescent="0.35">
      <c r="I63" s="156" t="s">
        <v>328</v>
      </c>
      <c r="J63" s="156" t="s">
        <v>329</v>
      </c>
      <c r="K63" s="156" t="s">
        <v>238</v>
      </c>
      <c r="L63" s="156" t="s">
        <v>327</v>
      </c>
      <c r="P63" s="166"/>
      <c r="Q63" s="161"/>
      <c r="R63" s="161"/>
      <c r="S63" s="161"/>
      <c r="T63" s="161"/>
      <c r="U63" s="161"/>
      <c r="V63" s="161"/>
      <c r="W63" s="161"/>
      <c r="X63" s="161"/>
      <c r="Y63" s="161"/>
      <c r="Z63" s="161"/>
      <c r="AA63" s="161"/>
      <c r="AB63" s="161"/>
      <c r="AC63" s="156"/>
    </row>
    <row r="64" spans="8:29" x14ac:dyDescent="0.35">
      <c r="H64" s="156" t="s">
        <v>889</v>
      </c>
      <c r="I64" s="156">
        <v>81.599999999999994</v>
      </c>
      <c r="J64" s="156">
        <v>188.9</v>
      </c>
      <c r="K64" s="156">
        <v>117.2</v>
      </c>
      <c r="L64" s="156" t="e">
        <f>#REF!+#REF!</f>
        <v>#REF!</v>
      </c>
      <c r="P64" s="156"/>
      <c r="Q64" s="156"/>
      <c r="R64" s="156"/>
      <c r="S64" s="156"/>
      <c r="T64" s="156"/>
      <c r="U64" s="156"/>
      <c r="V64" s="156"/>
      <c r="W64" s="156"/>
      <c r="X64" s="156"/>
      <c r="Y64" s="156"/>
      <c r="Z64" s="156"/>
      <c r="AA64" s="156"/>
      <c r="AB64" s="156"/>
      <c r="AC64" s="156"/>
    </row>
    <row r="65" spans="7:29" x14ac:dyDescent="0.35">
      <c r="H65" s="156" t="s">
        <v>532</v>
      </c>
      <c r="I65" s="197">
        <f>M53</f>
        <v>11.7</v>
      </c>
      <c r="J65" s="197">
        <f t="shared" ref="J65:K65" si="30">N53</f>
        <v>28.5</v>
      </c>
      <c r="K65" s="197">
        <f t="shared" si="30"/>
        <v>18.8</v>
      </c>
      <c r="L65" s="156" t="e">
        <f>#REF!</f>
        <v>#REF!</v>
      </c>
      <c r="P65" s="156"/>
      <c r="Q65" s="156"/>
      <c r="R65" s="156"/>
      <c r="S65" s="156"/>
      <c r="T65" s="156"/>
      <c r="U65" s="156"/>
      <c r="V65" s="156"/>
      <c r="W65" s="156"/>
      <c r="X65" s="156"/>
      <c r="Y65" s="156"/>
      <c r="Z65" s="156"/>
      <c r="AA65" s="156"/>
      <c r="AB65" s="156"/>
      <c r="AC65" s="156"/>
    </row>
    <row r="66" spans="7:29" x14ac:dyDescent="0.35">
      <c r="H66" s="156" t="s">
        <v>890</v>
      </c>
      <c r="I66" s="197">
        <f>I67-SUM(I64:I65)</f>
        <v>115.39999999999999</v>
      </c>
      <c r="J66" s="197">
        <f t="shared" ref="J66:K66" si="31">J67-SUM(J64:J65)</f>
        <v>252.29999999999998</v>
      </c>
      <c r="K66" s="197">
        <f t="shared" si="31"/>
        <v>159.5</v>
      </c>
      <c r="L66" s="197" t="e">
        <f>1.26*L64</f>
        <v>#REF!</v>
      </c>
      <c r="P66" s="156"/>
      <c r="Q66" s="156"/>
      <c r="R66" s="156"/>
      <c r="S66" s="156"/>
      <c r="T66" s="156"/>
      <c r="U66" s="156"/>
      <c r="V66" s="156"/>
      <c r="W66" s="156"/>
      <c r="X66" s="156"/>
      <c r="Y66" s="156"/>
      <c r="Z66" s="156"/>
      <c r="AA66" s="156"/>
      <c r="AB66" s="156"/>
      <c r="AC66" s="156"/>
    </row>
    <row r="67" spans="7:29" x14ac:dyDescent="0.35">
      <c r="H67" s="156" t="s">
        <v>360</v>
      </c>
      <c r="I67" s="197">
        <f>M55</f>
        <v>208.7</v>
      </c>
      <c r="J67" s="197">
        <f>N55</f>
        <v>469.7</v>
      </c>
      <c r="K67" s="197">
        <f>O55</f>
        <v>295.5</v>
      </c>
      <c r="L67" s="197" t="e">
        <f>SUM(L64:L66)</f>
        <v>#REF!</v>
      </c>
    </row>
    <row r="68" spans="7:29" x14ac:dyDescent="0.35">
      <c r="G68" s="156" t="s">
        <v>891</v>
      </c>
    </row>
    <row r="69" spans="7:29" x14ac:dyDescent="0.35">
      <c r="H69" s="156" t="s">
        <v>889</v>
      </c>
      <c r="I69" s="180">
        <f>I64/I$67</f>
        <v>0.39099185433636796</v>
      </c>
      <c r="J69" s="180">
        <f t="shared" ref="J69:L69" si="32">J64/J$67</f>
        <v>0.40217159889291038</v>
      </c>
      <c r="K69" s="180">
        <f t="shared" si="32"/>
        <v>0.3966159052453469</v>
      </c>
      <c r="L69" s="180" t="e">
        <f t="shared" si="32"/>
        <v>#REF!</v>
      </c>
    </row>
    <row r="70" spans="7:29" x14ac:dyDescent="0.35">
      <c r="H70" s="156" t="s">
        <v>532</v>
      </c>
      <c r="I70" s="180">
        <f t="shared" ref="I70:L71" si="33">I65/I$67</f>
        <v>5.6061332055582176E-2</v>
      </c>
      <c r="J70" s="180">
        <f t="shared" si="33"/>
        <v>6.0677027890142649E-2</v>
      </c>
      <c r="K70" s="180">
        <f t="shared" si="33"/>
        <v>6.3620981387478848E-2</v>
      </c>
      <c r="L70" s="180" t="e">
        <f t="shared" si="33"/>
        <v>#REF!</v>
      </c>
    </row>
    <row r="71" spans="7:29" x14ac:dyDescent="0.35">
      <c r="H71" s="156" t="s">
        <v>890</v>
      </c>
      <c r="I71" s="180">
        <f t="shared" si="33"/>
        <v>0.55294681360804987</v>
      </c>
      <c r="J71" s="180">
        <f t="shared" si="33"/>
        <v>0.53715137321694695</v>
      </c>
      <c r="K71" s="180">
        <f t="shared" si="33"/>
        <v>0.53976311336717431</v>
      </c>
      <c r="L71" s="180" t="e">
        <f t="shared" si="33"/>
        <v>#REF!</v>
      </c>
    </row>
    <row r="73" spans="7:29" x14ac:dyDescent="0.35">
      <c r="H73" s="156" t="s">
        <v>892</v>
      </c>
      <c r="I73" s="156">
        <f>I66/I64</f>
        <v>1.4142156862745099</v>
      </c>
      <c r="J73" s="156">
        <f t="shared" ref="J73:K73" si="34">J66/J64</f>
        <v>1.3356273160402328</v>
      </c>
      <c r="K73" s="15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A4" zoomScale="110" zoomScaleNormal="110" workbookViewId="0">
      <selection activeCell="S14" sqref="S14"/>
    </sheetView>
  </sheetViews>
  <sheetFormatPr defaultColWidth="11.453125" defaultRowHeight="14.5" x14ac:dyDescent="0.35"/>
  <cols>
    <col min="2" max="2" width="38.7265625" customWidth="1"/>
    <col min="3" max="9" width="10.453125" customWidth="1"/>
    <col min="10" max="20" width="7.1796875" customWidth="1"/>
    <col min="21" max="21" width="22.1796875" customWidth="1"/>
    <col min="22" max="22" width="11.7265625" customWidth="1"/>
  </cols>
  <sheetData>
    <row r="1" spans="1:22" x14ac:dyDescent="0.35">
      <c r="B1" s="1230" t="s">
        <v>152</v>
      </c>
      <c r="C1" s="1230"/>
      <c r="D1" s="1230"/>
      <c r="E1" s="1230"/>
      <c r="F1" s="1230"/>
      <c r="G1" s="1230"/>
      <c r="H1" s="1230"/>
      <c r="I1" s="1230"/>
      <c r="J1" s="1230"/>
      <c r="K1" s="1230"/>
      <c r="L1" s="1230"/>
      <c r="M1" s="1230"/>
      <c r="N1" s="1230"/>
      <c r="O1" s="1230"/>
      <c r="P1" s="1230"/>
      <c r="Q1" s="1230"/>
      <c r="R1" s="1230"/>
      <c r="S1" s="1230"/>
      <c r="T1" s="1230"/>
    </row>
    <row r="2" spans="1:22" x14ac:dyDescent="0.35">
      <c r="B2" s="1257" t="s">
        <v>933</v>
      </c>
      <c r="C2" s="1257"/>
      <c r="D2" s="1257"/>
      <c r="E2" s="1257"/>
      <c r="F2" s="1257"/>
      <c r="G2" s="1257"/>
      <c r="H2" s="1257"/>
      <c r="I2" s="1257"/>
      <c r="J2" s="1257"/>
      <c r="K2" s="1257"/>
      <c r="L2" s="1257"/>
      <c r="M2" s="1257"/>
      <c r="N2" s="1257"/>
      <c r="O2" s="1257"/>
      <c r="P2" s="1257"/>
      <c r="Q2" s="1257"/>
      <c r="R2" s="1257"/>
      <c r="S2" s="1257"/>
      <c r="T2" s="1257"/>
    </row>
    <row r="3" spans="1:22" x14ac:dyDescent="0.35">
      <c r="B3" s="1257"/>
      <c r="C3" s="1257"/>
      <c r="D3" s="1257"/>
      <c r="E3" s="1257"/>
      <c r="F3" s="1257"/>
      <c r="G3" s="1257"/>
      <c r="H3" s="1257"/>
      <c r="I3" s="1257"/>
      <c r="J3" s="1257"/>
      <c r="K3" s="1257"/>
      <c r="L3" s="1257"/>
      <c r="M3" s="1257"/>
      <c r="N3" s="1257"/>
      <c r="O3" s="1257"/>
      <c r="P3" s="1257"/>
      <c r="Q3" s="1257"/>
      <c r="R3" s="1257"/>
      <c r="S3" s="1257"/>
      <c r="T3" s="1257"/>
    </row>
    <row r="4" spans="1:22" x14ac:dyDescent="0.35">
      <c r="B4" s="1257"/>
      <c r="C4" s="1257"/>
      <c r="D4" s="1257"/>
      <c r="E4" s="1257"/>
      <c r="F4" s="1257"/>
      <c r="G4" s="1257"/>
      <c r="H4" s="1257"/>
      <c r="I4" s="1257"/>
      <c r="J4" s="1257"/>
      <c r="K4" s="1257"/>
      <c r="L4" s="1257"/>
      <c r="M4" s="1257"/>
      <c r="N4" s="1257"/>
      <c r="O4" s="1257"/>
      <c r="P4" s="1257"/>
      <c r="Q4" s="1257"/>
      <c r="R4" s="1257"/>
      <c r="S4" s="1257"/>
      <c r="T4" s="1257"/>
    </row>
    <row r="5" spans="1:22" x14ac:dyDescent="0.35">
      <c r="B5" s="1257"/>
      <c r="C5" s="1257"/>
      <c r="D5" s="1257"/>
      <c r="E5" s="1257"/>
      <c r="F5" s="1257"/>
      <c r="G5" s="1257"/>
      <c r="H5" s="1257"/>
      <c r="I5" s="1257"/>
      <c r="J5" s="1257"/>
      <c r="K5" s="1257"/>
      <c r="L5" s="1257"/>
      <c r="M5" s="1257"/>
      <c r="N5" s="1257"/>
      <c r="O5" s="1257"/>
      <c r="P5" s="1257"/>
      <c r="Q5" s="1257"/>
      <c r="R5" s="1257"/>
      <c r="S5" s="1257"/>
      <c r="T5" s="1257"/>
    </row>
    <row r="6" spans="1:22" x14ac:dyDescent="0.35">
      <c r="B6" s="1257"/>
      <c r="C6" s="1257"/>
      <c r="D6" s="1257"/>
      <c r="E6" s="1257"/>
      <c r="F6" s="1257"/>
      <c r="G6" s="1257"/>
      <c r="H6" s="1257"/>
      <c r="I6" s="1257"/>
      <c r="J6" s="1257"/>
      <c r="K6" s="1257"/>
      <c r="L6" s="1257"/>
      <c r="M6" s="1257"/>
      <c r="N6" s="1257"/>
      <c r="O6" s="1257"/>
      <c r="P6" s="1257"/>
      <c r="Q6" s="1257"/>
      <c r="R6" s="1257"/>
      <c r="S6" s="1257"/>
      <c r="T6" s="1257"/>
    </row>
    <row r="7" spans="1:22" x14ac:dyDescent="0.35">
      <c r="J7" s="143"/>
      <c r="K7" s="143"/>
      <c r="M7" s="143"/>
    </row>
    <row r="9" spans="1:22" ht="14.65" customHeight="1" x14ac:dyDescent="0.35">
      <c r="A9" s="85"/>
      <c r="B9" s="1258" t="s">
        <v>352</v>
      </c>
      <c r="C9" s="1259"/>
      <c r="D9" s="237">
        <v>2018</v>
      </c>
      <c r="E9" s="1264">
        <v>2019</v>
      </c>
      <c r="F9" s="1265"/>
      <c r="G9" s="1265"/>
      <c r="H9" s="1266"/>
      <c r="I9" s="1262">
        <v>2020</v>
      </c>
      <c r="J9" s="1263"/>
      <c r="K9" s="1263"/>
      <c r="L9" s="1263"/>
      <c r="M9" s="1267">
        <v>2021</v>
      </c>
      <c r="N9" s="1268"/>
      <c r="O9" s="1268"/>
      <c r="P9" s="1269"/>
      <c r="Q9" s="1272">
        <v>2022</v>
      </c>
      <c r="R9" s="1273"/>
      <c r="S9" s="1270"/>
      <c r="T9" s="1271"/>
    </row>
    <row r="10" spans="1:22" x14ac:dyDescent="0.35">
      <c r="B10" s="1260"/>
      <c r="C10" s="1261"/>
      <c r="D10" s="244" t="s">
        <v>327</v>
      </c>
      <c r="E10" s="245" t="s">
        <v>328</v>
      </c>
      <c r="F10" s="227" t="s">
        <v>329</v>
      </c>
      <c r="G10" s="227" t="s">
        <v>238</v>
      </c>
      <c r="H10" s="246" t="s">
        <v>327</v>
      </c>
      <c r="I10" s="245" t="s">
        <v>328</v>
      </c>
      <c r="J10" s="227" t="s">
        <v>329</v>
      </c>
      <c r="K10" s="227" t="s">
        <v>238</v>
      </c>
      <c r="L10" s="227" t="s">
        <v>327</v>
      </c>
      <c r="M10" s="154" t="s">
        <v>328</v>
      </c>
      <c r="N10" s="153" t="s">
        <v>329</v>
      </c>
      <c r="O10" s="153" t="s">
        <v>238</v>
      </c>
      <c r="P10" s="224" t="s">
        <v>327</v>
      </c>
      <c r="Q10" s="227" t="s">
        <v>328</v>
      </c>
      <c r="R10" s="227" t="s">
        <v>329</v>
      </c>
      <c r="S10" s="212" t="s">
        <v>238</v>
      </c>
      <c r="T10" s="233" t="s">
        <v>327</v>
      </c>
    </row>
    <row r="11" spans="1:22" ht="28.9" customHeight="1" x14ac:dyDescent="0.35">
      <c r="A11" s="232"/>
      <c r="B11" s="251" t="s">
        <v>139</v>
      </c>
      <c r="C11" s="242" t="s">
        <v>353</v>
      </c>
      <c r="D11" s="229"/>
      <c r="E11" s="242"/>
      <c r="F11" s="242"/>
      <c r="G11" s="242"/>
      <c r="H11" s="242"/>
      <c r="I11" s="242"/>
      <c r="J11" s="243">
        <f>'Haver Pivoted'!GU48</f>
        <v>160.9</v>
      </c>
      <c r="K11" s="243">
        <f>'Haver Pivoted'!GV48</f>
        <v>58.4</v>
      </c>
      <c r="L11" s="243">
        <f>'Haver Pivoted'!GW48</f>
        <v>34.5</v>
      </c>
      <c r="M11" s="243">
        <f>'Haver Pivoted'!GX48</f>
        <v>21.4</v>
      </c>
      <c r="N11" s="243">
        <f>'Haver Pivoted'!GY48</f>
        <v>13.3</v>
      </c>
      <c r="O11" s="243">
        <f>'Haver Pivoted'!GZ48</f>
        <v>18.7</v>
      </c>
      <c r="P11" s="225">
        <f>'Haver Pivoted'!HA48</f>
        <v>32.200000000000003</v>
      </c>
      <c r="Q11" s="252">
        <f>'Haver Pivoted'!HB48</f>
        <v>26.9</v>
      </c>
      <c r="R11" s="225">
        <f>'Haver Pivoted'!HC48</f>
        <v>20</v>
      </c>
      <c r="S11" s="240">
        <f t="shared" ref="S11:T11" si="0">S$14*S15</f>
        <v>9.6491228070175428</v>
      </c>
      <c r="T11" s="240">
        <f t="shared" si="0"/>
        <v>0</v>
      </c>
    </row>
    <row r="12" spans="1:22" ht="28.9" customHeight="1" x14ac:dyDescent="0.35">
      <c r="A12" s="232"/>
      <c r="B12" s="230" t="s">
        <v>354</v>
      </c>
      <c r="C12" s="207" t="s">
        <v>355</v>
      </c>
      <c r="D12" s="230"/>
      <c r="E12" s="207"/>
      <c r="F12" s="207"/>
      <c r="G12" s="207"/>
      <c r="H12" s="207"/>
      <c r="I12" s="207"/>
      <c r="J12" s="208">
        <f>'Haver Pivoted'!GU58</f>
        <v>64.400000000000006</v>
      </c>
      <c r="K12" s="208">
        <f>'Haver Pivoted'!GV58</f>
        <v>23.4</v>
      </c>
      <c r="L12" s="208">
        <f>'Haver Pivoted'!GW58</f>
        <v>13.8</v>
      </c>
      <c r="M12" s="208">
        <f>'Haver Pivoted'!GX58</f>
        <v>12</v>
      </c>
      <c r="N12" s="208">
        <f>'Haver Pivoted'!GY58</f>
        <v>7.5</v>
      </c>
      <c r="O12" s="208">
        <f>'Haver Pivoted'!GZ58</f>
        <v>10.5</v>
      </c>
      <c r="P12" s="226">
        <f>'Haver Pivoted'!HA58</f>
        <v>18</v>
      </c>
      <c r="Q12" s="254">
        <f>'Haver Pivoted'!HB58</f>
        <v>15</v>
      </c>
      <c r="R12" s="226">
        <f>'Haver Pivoted'!HC58</f>
        <v>11.2</v>
      </c>
      <c r="S12" s="209">
        <f t="shared" ref="S12" si="1">S$14*S16</f>
        <v>5.4035087719298245</v>
      </c>
      <c r="T12" s="233"/>
    </row>
    <row r="13" spans="1:22" ht="46.9" customHeight="1" x14ac:dyDescent="0.35">
      <c r="A13" s="232"/>
      <c r="B13" s="230" t="s">
        <v>356</v>
      </c>
      <c r="C13" s="207" t="s">
        <v>357</v>
      </c>
      <c r="D13" s="230"/>
      <c r="E13" s="207"/>
      <c r="F13" s="207"/>
      <c r="G13" s="207"/>
      <c r="H13" s="207"/>
      <c r="I13" s="207"/>
      <c r="J13" s="208">
        <f>'Haver Pivoted'!GU54</f>
        <v>96.6</v>
      </c>
      <c r="K13" s="208">
        <f>'Haver Pivoted'!GV54</f>
        <v>35.1</v>
      </c>
      <c r="L13" s="208">
        <f>'Haver Pivoted'!GW54</f>
        <v>20.7</v>
      </c>
      <c r="M13" s="208">
        <f>'Haver Pivoted'!GX54</f>
        <v>15.4</v>
      </c>
      <c r="N13" s="208">
        <f>'Haver Pivoted'!GY54</f>
        <v>9.6</v>
      </c>
      <c r="O13" s="208">
        <f>'Haver Pivoted'!GZ54</f>
        <v>13.5</v>
      </c>
      <c r="P13" s="226">
        <f>'Haver Pivoted'!HA54</f>
        <v>23.2</v>
      </c>
      <c r="Q13" s="254">
        <f>'Haver Pivoted'!HB54</f>
        <v>19.3</v>
      </c>
      <c r="R13" s="226">
        <f>'Haver Pivoted'!HC54</f>
        <v>14.4</v>
      </c>
      <c r="S13" s="209">
        <f t="shared" ref="S13" si="2">S$14*S17</f>
        <v>6.947368421052631</v>
      </c>
      <c r="T13" s="233"/>
      <c r="U13" s="239" t="s">
        <v>358</v>
      </c>
      <c r="V13" s="238" t="s">
        <v>359</v>
      </c>
    </row>
    <row r="14" spans="1:22" x14ac:dyDescent="0.35">
      <c r="B14" s="53" t="s">
        <v>360</v>
      </c>
      <c r="C14" s="55"/>
      <c r="D14" s="53"/>
      <c r="E14" s="55"/>
      <c r="F14" s="55"/>
      <c r="G14" s="55"/>
      <c r="H14" s="55"/>
      <c r="I14" s="55"/>
      <c r="J14" s="208">
        <f t="shared" ref="J14:R14" si="3">J13+J12+J11</f>
        <v>321.89999999999998</v>
      </c>
      <c r="K14" s="208">
        <f t="shared" si="3"/>
        <v>116.9</v>
      </c>
      <c r="L14" s="208">
        <f t="shared" si="3"/>
        <v>69</v>
      </c>
      <c r="M14" s="208">
        <f t="shared" si="3"/>
        <v>48.8</v>
      </c>
      <c r="N14" s="208">
        <f t="shared" si="3"/>
        <v>30.400000000000002</v>
      </c>
      <c r="O14" s="208">
        <f t="shared" si="3"/>
        <v>42.7</v>
      </c>
      <c r="P14" s="226">
        <f t="shared" si="3"/>
        <v>73.400000000000006</v>
      </c>
      <c r="Q14" s="254">
        <f t="shared" si="3"/>
        <v>61.199999999999996</v>
      </c>
      <c r="R14" s="226">
        <f t="shared" si="3"/>
        <v>45.6</v>
      </c>
      <c r="S14" s="212">
        <v>22</v>
      </c>
      <c r="T14" s="233"/>
      <c r="U14" s="248">
        <v>236</v>
      </c>
      <c r="V14" s="249">
        <f>SUM(J14:S14)/4</f>
        <v>207.97499999999999</v>
      </c>
    </row>
    <row r="15" spans="1:22" x14ac:dyDescent="0.35">
      <c r="B15" s="231" t="s">
        <v>361</v>
      </c>
      <c r="C15" s="57"/>
      <c r="D15" s="231"/>
      <c r="E15" s="57"/>
      <c r="F15" s="57"/>
      <c r="G15" s="57"/>
      <c r="H15" s="57"/>
      <c r="I15" s="57"/>
      <c r="J15" s="85">
        <f t="shared" ref="J15:N17" si="4">J11/J$14</f>
        <v>0.49984467225846541</v>
      </c>
      <c r="K15" s="85">
        <f t="shared" si="4"/>
        <v>0.49957228400342168</v>
      </c>
      <c r="L15" s="85">
        <f t="shared" si="4"/>
        <v>0.5</v>
      </c>
      <c r="M15" s="85">
        <f t="shared" si="4"/>
        <v>0.43852459016393441</v>
      </c>
      <c r="N15" s="85">
        <f t="shared" si="4"/>
        <v>0.4375</v>
      </c>
      <c r="O15" s="85">
        <f>O11/O$14</f>
        <v>0.43793911007025754</v>
      </c>
      <c r="P15" s="127">
        <f t="shared" ref="P15:R15" si="5">P11/P$14</f>
        <v>0.43869209809264303</v>
      </c>
      <c r="Q15" s="250">
        <f t="shared" si="5"/>
        <v>0.43954248366013071</v>
      </c>
      <c r="R15" s="250">
        <f t="shared" si="5"/>
        <v>0.43859649122807015</v>
      </c>
      <c r="S15" s="214">
        <f t="shared" ref="S15:S17" si="6">R15</f>
        <v>0.43859649122807015</v>
      </c>
      <c r="T15" s="233"/>
    </row>
    <row r="16" spans="1:22" x14ac:dyDescent="0.35">
      <c r="B16" s="231" t="s">
        <v>362</v>
      </c>
      <c r="C16" s="57"/>
      <c r="D16" s="231"/>
      <c r="E16" s="57"/>
      <c r="F16" s="57"/>
      <c r="G16" s="57"/>
      <c r="H16" s="57"/>
      <c r="I16" s="57"/>
      <c r="J16" s="85">
        <f t="shared" si="4"/>
        <v>0.20006213109661389</v>
      </c>
      <c r="K16" s="85">
        <f t="shared" si="4"/>
        <v>0.20017108639863129</v>
      </c>
      <c r="L16" s="85">
        <f t="shared" si="4"/>
        <v>0.2</v>
      </c>
      <c r="M16" s="85">
        <f t="shared" si="4"/>
        <v>0.24590163934426232</v>
      </c>
      <c r="N16" s="85">
        <f t="shared" si="4"/>
        <v>0.24671052631578946</v>
      </c>
      <c r="O16" s="85">
        <f t="shared" ref="O16:R16" si="7">O12/O$14</f>
        <v>0.24590163934426229</v>
      </c>
      <c r="P16" s="127">
        <f t="shared" si="7"/>
        <v>0.24523160762942778</v>
      </c>
      <c r="Q16" s="250">
        <f t="shared" si="7"/>
        <v>0.24509803921568629</v>
      </c>
      <c r="R16" s="250">
        <f t="shared" si="7"/>
        <v>0.24561403508771928</v>
      </c>
      <c r="S16" s="214">
        <f t="shared" si="6"/>
        <v>0.24561403508771928</v>
      </c>
      <c r="T16" s="233"/>
      <c r="U16" s="223"/>
    </row>
    <row r="17" spans="2:21" x14ac:dyDescent="0.35">
      <c r="B17" s="234" t="s">
        <v>363</v>
      </c>
      <c r="C17" s="241"/>
      <c r="D17" s="234"/>
      <c r="E17" s="241"/>
      <c r="F17" s="241"/>
      <c r="G17" s="241"/>
      <c r="H17" s="241"/>
      <c r="I17" s="241"/>
      <c r="J17" s="228">
        <f t="shared" si="4"/>
        <v>0.30009319664492079</v>
      </c>
      <c r="K17" s="228">
        <f t="shared" si="4"/>
        <v>0.30025662959794697</v>
      </c>
      <c r="L17" s="228">
        <f t="shared" si="4"/>
        <v>0.3</v>
      </c>
      <c r="M17" s="228">
        <f t="shared" si="4"/>
        <v>0.3155737704918033</v>
      </c>
      <c r="N17" s="228">
        <f t="shared" si="4"/>
        <v>0.31578947368421051</v>
      </c>
      <c r="O17" s="228">
        <f t="shared" ref="O17:R17" si="8">O13/O$14</f>
        <v>0.31615925058548006</v>
      </c>
      <c r="P17" s="247">
        <f t="shared" si="8"/>
        <v>0.3160762942779291</v>
      </c>
      <c r="Q17" s="253">
        <f t="shared" si="8"/>
        <v>0.31535947712418305</v>
      </c>
      <c r="R17" s="253">
        <f t="shared" si="8"/>
        <v>0.31578947368421051</v>
      </c>
      <c r="S17" s="235">
        <f t="shared" si="6"/>
        <v>0.31578947368421051</v>
      </c>
      <c r="T17" s="236"/>
    </row>
    <row r="18" spans="2:21" x14ac:dyDescent="0.35">
      <c r="B18" s="57"/>
      <c r="C18" s="57"/>
      <c r="D18" s="57"/>
      <c r="E18" s="57"/>
      <c r="F18" s="57"/>
      <c r="G18" s="57"/>
      <c r="H18" s="57"/>
      <c r="I18" s="57"/>
      <c r="J18" s="85"/>
      <c r="K18" s="85"/>
      <c r="L18" s="85"/>
      <c r="M18" s="85"/>
      <c r="N18" s="85"/>
      <c r="O18" s="85"/>
    </row>
    <row r="19" spans="2:21" ht="15.75" customHeight="1" x14ac:dyDescent="0.35"/>
    <row r="20" spans="2:21" ht="30" customHeight="1" x14ac:dyDescent="0.35">
      <c r="B20" s="198" t="s">
        <v>139</v>
      </c>
      <c r="C20" s="199" t="s">
        <v>353</v>
      </c>
      <c r="D20" s="200"/>
      <c r="E20" s="199"/>
      <c r="F20" s="199"/>
      <c r="G20" s="199"/>
      <c r="H20" s="199"/>
      <c r="I20" s="199"/>
      <c r="J20" s="201">
        <v>160.9</v>
      </c>
      <c r="K20" s="201">
        <v>58.4</v>
      </c>
      <c r="L20" s="201">
        <v>34.5</v>
      </c>
      <c r="M20" s="201">
        <v>42.8</v>
      </c>
      <c r="N20" s="201">
        <v>26.6</v>
      </c>
      <c r="O20" s="201">
        <v>37.4</v>
      </c>
      <c r="P20" s="202">
        <v>64.400000000000006</v>
      </c>
      <c r="Q20" s="203">
        <v>53.7</v>
      </c>
      <c r="R20" s="202">
        <v>44.2</v>
      </c>
      <c r="S20" s="204">
        <v>30.205011389521637</v>
      </c>
      <c r="T20" s="205">
        <v>0</v>
      </c>
    </row>
    <row r="21" spans="2:21" ht="30" customHeight="1" x14ac:dyDescent="0.35">
      <c r="B21" s="206" t="s">
        <v>354</v>
      </c>
      <c r="C21" s="207" t="s">
        <v>355</v>
      </c>
      <c r="D21" s="230"/>
      <c r="E21" s="207"/>
      <c r="F21" s="207"/>
      <c r="G21" s="207"/>
      <c r="H21" s="207"/>
      <c r="I21" s="207"/>
      <c r="J21" s="208">
        <v>64.400000000000006</v>
      </c>
      <c r="K21" s="208">
        <v>23.4</v>
      </c>
      <c r="L21" s="208">
        <v>13.8</v>
      </c>
      <c r="M21" s="208">
        <v>17.100000000000001</v>
      </c>
      <c r="N21" s="208">
        <v>10.6</v>
      </c>
      <c r="O21" s="208">
        <v>15</v>
      </c>
      <c r="P21" s="226">
        <v>25.8</v>
      </c>
      <c r="Q21" s="254">
        <v>21.5</v>
      </c>
      <c r="R21" s="226">
        <v>17.600000000000001</v>
      </c>
      <c r="S21" s="209">
        <v>12.027334851936219</v>
      </c>
      <c r="T21" s="210"/>
    </row>
    <row r="22" spans="2:21" ht="30" customHeight="1" x14ac:dyDescent="0.35">
      <c r="B22" s="206" t="s">
        <v>356</v>
      </c>
      <c r="C22" s="207" t="s">
        <v>357</v>
      </c>
      <c r="D22" s="230"/>
      <c r="E22" s="207"/>
      <c r="F22" s="207"/>
      <c r="G22" s="207"/>
      <c r="H22" s="207"/>
      <c r="I22" s="207"/>
      <c r="J22" s="208">
        <v>96.6</v>
      </c>
      <c r="K22" s="208">
        <v>35.1</v>
      </c>
      <c r="L22" s="208">
        <v>20.7</v>
      </c>
      <c r="M22" s="208">
        <v>25.7</v>
      </c>
      <c r="N22" s="208">
        <v>16</v>
      </c>
      <c r="O22" s="208">
        <v>22.4</v>
      </c>
      <c r="P22" s="226">
        <v>38.700000000000003</v>
      </c>
      <c r="Q22" s="254">
        <v>32.200000000000003</v>
      </c>
      <c r="R22" s="226">
        <v>26</v>
      </c>
      <c r="S22" s="209">
        <v>17.767653758542139</v>
      </c>
      <c r="T22" s="210"/>
    </row>
    <row r="23" spans="2:21" x14ac:dyDescent="0.35">
      <c r="B23" s="211" t="s">
        <v>360</v>
      </c>
      <c r="C23" s="55"/>
      <c r="D23" s="53"/>
      <c r="E23" s="55"/>
      <c r="F23" s="55"/>
      <c r="G23" s="55"/>
      <c r="H23" s="55"/>
      <c r="I23" s="55"/>
      <c r="J23" s="208">
        <v>321.89999999999998</v>
      </c>
      <c r="K23" s="208">
        <v>116.9</v>
      </c>
      <c r="L23" s="208">
        <v>69</v>
      </c>
      <c r="M23" s="208">
        <v>85.6</v>
      </c>
      <c r="N23" s="208">
        <v>53.2</v>
      </c>
      <c r="O23" s="208">
        <v>74.8</v>
      </c>
      <c r="P23" s="226">
        <v>128.9</v>
      </c>
      <c r="Q23" s="254">
        <v>107.4</v>
      </c>
      <c r="R23" s="226">
        <v>87.800000000000011</v>
      </c>
      <c r="S23" s="212">
        <v>60</v>
      </c>
      <c r="T23" s="210"/>
    </row>
    <row r="24" spans="2:21" x14ac:dyDescent="0.35">
      <c r="B24" s="213" t="s">
        <v>361</v>
      </c>
      <c r="C24" s="57"/>
      <c r="D24" s="231"/>
      <c r="E24" s="57"/>
      <c r="F24" s="57"/>
      <c r="G24" s="57"/>
      <c r="H24" s="57"/>
      <c r="I24" s="57"/>
      <c r="J24" s="85">
        <v>0.49984467225846541</v>
      </c>
      <c r="K24" s="85">
        <v>0.49957228400342168</v>
      </c>
      <c r="L24" s="85">
        <v>0.5</v>
      </c>
      <c r="M24" s="85">
        <v>0.5</v>
      </c>
      <c r="N24" s="85">
        <v>0.5</v>
      </c>
      <c r="O24" s="85">
        <v>0.5</v>
      </c>
      <c r="P24" s="127">
        <v>0.49961210240496512</v>
      </c>
      <c r="Q24" s="250">
        <v>0.5</v>
      </c>
      <c r="R24" s="250">
        <v>0.50341685649202728</v>
      </c>
      <c r="S24" s="214">
        <v>0.50341685649202728</v>
      </c>
      <c r="T24" s="210"/>
    </row>
    <row r="25" spans="2:21" x14ac:dyDescent="0.35">
      <c r="B25" s="213" t="s">
        <v>362</v>
      </c>
      <c r="C25" s="57"/>
      <c r="D25" s="231"/>
      <c r="E25" s="57"/>
      <c r="F25" s="57"/>
      <c r="G25" s="57"/>
      <c r="H25" s="57"/>
      <c r="I25" s="57"/>
      <c r="J25" s="85">
        <v>0.20006213109661389</v>
      </c>
      <c r="K25" s="85">
        <v>0.20017108639863129</v>
      </c>
      <c r="L25" s="85">
        <v>0.2</v>
      </c>
      <c r="M25" s="85">
        <v>0.19976635514018695</v>
      </c>
      <c r="N25" s="85">
        <v>0.19924812030075187</v>
      </c>
      <c r="O25" s="85">
        <v>0.20053475935828877</v>
      </c>
      <c r="P25" s="127">
        <v>0.20015515903801395</v>
      </c>
      <c r="Q25" s="250">
        <v>0.20018621973929235</v>
      </c>
      <c r="R25" s="250">
        <v>0.20045558086560364</v>
      </c>
      <c r="S25" s="214">
        <v>0.20045558086560364</v>
      </c>
      <c r="T25" s="210"/>
    </row>
    <row r="26" spans="2:21" ht="15.75" customHeight="1" x14ac:dyDescent="0.35">
      <c r="B26" s="215" t="s">
        <v>363</v>
      </c>
      <c r="C26" s="216"/>
      <c r="D26" s="217"/>
      <c r="E26" s="216"/>
      <c r="F26" s="216"/>
      <c r="G26" s="216"/>
      <c r="H26" s="216"/>
      <c r="I26" s="216"/>
      <c r="J26" s="218">
        <v>0.30009319664492079</v>
      </c>
      <c r="K26" s="218">
        <v>0.30025662959794697</v>
      </c>
      <c r="L26" s="218">
        <v>0.3</v>
      </c>
      <c r="M26" s="218">
        <v>0.30023364485981308</v>
      </c>
      <c r="N26" s="218">
        <v>0.3007518796992481</v>
      </c>
      <c r="O26" s="218">
        <v>0.29946524064171121</v>
      </c>
      <c r="P26" s="219">
        <v>0.30023273855702093</v>
      </c>
      <c r="Q26" s="220">
        <v>0.29981378026070765</v>
      </c>
      <c r="R26" s="220">
        <v>0.296127562642369</v>
      </c>
      <c r="S26" s="221">
        <v>0.296127562642369</v>
      </c>
      <c r="T26" s="222"/>
    </row>
    <row r="28" spans="2:21" ht="30" customHeight="1" x14ac:dyDescent="0.35"/>
    <row r="29" spans="2:21" ht="27" customHeight="1" x14ac:dyDescent="0.35">
      <c r="M29" s="36"/>
      <c r="N29" s="36"/>
      <c r="O29" s="36"/>
      <c r="P29" s="14"/>
      <c r="Q29" s="14"/>
      <c r="R29" s="14"/>
      <c r="S29" s="14"/>
      <c r="T29" s="14"/>
      <c r="U29" s="36"/>
    </row>
    <row r="30" spans="2:21" ht="31.5" customHeight="1" x14ac:dyDescent="0.35">
      <c r="M30" s="36"/>
      <c r="N30" s="36"/>
      <c r="O30" s="36"/>
      <c r="P30" s="14"/>
      <c r="Q30" s="14"/>
      <c r="R30" s="14"/>
      <c r="S30" s="14"/>
      <c r="T30" s="14"/>
      <c r="U30" s="36"/>
    </row>
    <row r="31" spans="2:21" ht="24.4" customHeight="1" x14ac:dyDescent="0.35">
      <c r="M31" s="36"/>
      <c r="N31" s="36"/>
      <c r="O31" s="36"/>
      <c r="P31" s="14"/>
      <c r="Q31" s="14"/>
      <c r="R31" s="14"/>
      <c r="S31" s="14"/>
      <c r="T31" s="14"/>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row r="46" spans="13:21" x14ac:dyDescent="0.35">
      <c r="M46" s="36"/>
      <c r="N46" s="36"/>
      <c r="O46" s="36"/>
      <c r="P46" s="36"/>
      <c r="Q46" s="36"/>
      <c r="R46" s="36"/>
      <c r="S46" s="36"/>
      <c r="T46" s="36"/>
      <c r="U46" s="36"/>
    </row>
    <row r="47" spans="13:21" x14ac:dyDescent="0.35">
      <c r="M47" s="36"/>
      <c r="N47" s="36"/>
      <c r="O47" s="36"/>
      <c r="P47" s="36"/>
      <c r="Q47" s="36"/>
      <c r="R47" s="36"/>
      <c r="S47" s="36"/>
      <c r="T47" s="36"/>
      <c r="U47" s="36"/>
    </row>
    <row r="48" spans="13:21" x14ac:dyDescent="0.35">
      <c r="M48" s="36"/>
      <c r="N48" s="36"/>
      <c r="O48" s="36"/>
      <c r="P48" s="36"/>
      <c r="Q48" s="36"/>
      <c r="R48" s="36"/>
      <c r="S48" s="36"/>
      <c r="T48" s="36"/>
      <c r="U48" s="36"/>
    </row>
    <row r="49" spans="13:21" x14ac:dyDescent="0.35">
      <c r="M49" s="36"/>
      <c r="N49" s="36"/>
      <c r="O49" s="36"/>
      <c r="P49" s="36"/>
      <c r="Q49" s="36"/>
      <c r="R49" s="36"/>
      <c r="S49" s="36"/>
      <c r="T49" s="36"/>
      <c r="U49" s="36"/>
    </row>
    <row r="50" spans="13:21" x14ac:dyDescent="0.35">
      <c r="M50" s="36"/>
      <c r="N50" s="36"/>
      <c r="O50" s="36"/>
      <c r="P50" s="36"/>
      <c r="Q50" s="36"/>
      <c r="R50" s="36"/>
      <c r="S50" s="36"/>
      <c r="T50" s="36"/>
      <c r="U50" s="36"/>
    </row>
    <row r="51" spans="13:21" x14ac:dyDescent="0.35">
      <c r="M51" s="36"/>
      <c r="N51" s="36"/>
      <c r="O51" s="36"/>
      <c r="P51" s="36"/>
      <c r="Q51" s="36"/>
      <c r="R51" s="36"/>
      <c r="S51" s="36"/>
      <c r="T51" s="36"/>
      <c r="U51" s="36"/>
    </row>
    <row r="52" spans="13:21" x14ac:dyDescent="0.3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topLeftCell="B1" zoomScale="110" zoomScaleNormal="110" workbookViewId="0">
      <selection activeCell="K13" sqref="K13"/>
    </sheetView>
  </sheetViews>
  <sheetFormatPr defaultColWidth="11.453125" defaultRowHeight="14.5" x14ac:dyDescent="0.35"/>
  <cols>
    <col min="1" max="2" width="70.7265625" customWidth="1"/>
  </cols>
  <sheetData>
    <row r="1" spans="1:45" ht="15.65" customHeight="1" x14ac:dyDescent="0.35">
      <c r="A1" s="1274" t="s">
        <v>299</v>
      </c>
      <c r="B1" s="1274"/>
      <c r="C1" s="1274"/>
      <c r="D1" s="1274"/>
      <c r="E1" s="1274"/>
      <c r="F1" s="1274"/>
      <c r="G1" s="1274"/>
      <c r="H1" s="1274"/>
      <c r="I1" s="1274"/>
      <c r="J1" s="1274"/>
      <c r="K1" s="1274"/>
      <c r="L1" s="1274"/>
      <c r="M1" s="1274"/>
      <c r="N1" s="1274"/>
      <c r="O1" s="1274"/>
    </row>
    <row r="2" spans="1:45" ht="31.15" customHeight="1" x14ac:dyDescent="0.35">
      <c r="A2" s="255"/>
      <c r="B2" s="255" t="s">
        <v>179</v>
      </c>
      <c r="C2" s="262">
        <v>1</v>
      </c>
      <c r="D2" s="262">
        <f>C2+1</f>
        <v>2</v>
      </c>
      <c r="E2" s="262">
        <f t="shared" ref="E2:N2" si="0">D2+1</f>
        <v>3</v>
      </c>
      <c r="F2" s="262">
        <f t="shared" si="0"/>
        <v>4</v>
      </c>
      <c r="G2" s="262">
        <f t="shared" si="0"/>
        <v>5</v>
      </c>
      <c r="H2" s="262">
        <f t="shared" si="0"/>
        <v>6</v>
      </c>
      <c r="I2" s="262">
        <f t="shared" si="0"/>
        <v>7</v>
      </c>
      <c r="J2" s="262">
        <f t="shared" si="0"/>
        <v>8</v>
      </c>
      <c r="K2" s="262">
        <f t="shared" si="0"/>
        <v>9</v>
      </c>
      <c r="L2" s="262">
        <f t="shared" si="0"/>
        <v>10</v>
      </c>
      <c r="M2" s="262">
        <f t="shared" si="0"/>
        <v>11</v>
      </c>
      <c r="N2" s="262">
        <f t="shared" si="0"/>
        <v>12</v>
      </c>
      <c r="O2" s="260" t="s">
        <v>300</v>
      </c>
    </row>
    <row r="3" spans="1:45" ht="15.65" customHeight="1" x14ac:dyDescent="0.35">
      <c r="A3" s="257" t="s">
        <v>301</v>
      </c>
      <c r="B3" s="257" t="s">
        <v>302</v>
      </c>
      <c r="C3" s="264">
        <v>0.22500000000000001</v>
      </c>
      <c r="D3" s="264">
        <v>0.22500000000000001</v>
      </c>
      <c r="E3" s="264">
        <v>0.22500000000000001</v>
      </c>
      <c r="F3" s="264">
        <v>0.22500000000000001</v>
      </c>
      <c r="G3" s="263">
        <v>0</v>
      </c>
      <c r="H3" s="263">
        <v>0</v>
      </c>
      <c r="I3" s="263">
        <v>0</v>
      </c>
      <c r="J3" s="263">
        <v>0</v>
      </c>
      <c r="K3" s="263">
        <v>0</v>
      </c>
      <c r="L3" s="263">
        <v>0</v>
      </c>
      <c r="M3" s="263">
        <v>0</v>
      </c>
      <c r="N3" s="263">
        <v>0</v>
      </c>
      <c r="O3" s="256"/>
      <c r="P3" s="264"/>
      <c r="Q3" s="264"/>
      <c r="R3" s="264"/>
      <c r="S3" s="264"/>
      <c r="T3" s="263"/>
      <c r="U3" s="263"/>
      <c r="V3" s="263"/>
      <c r="W3" s="263"/>
      <c r="X3" s="263"/>
      <c r="Y3" s="263"/>
      <c r="Z3" s="263"/>
      <c r="AA3" s="263"/>
      <c r="AC3" s="76"/>
      <c r="AD3" s="76"/>
      <c r="AE3" s="76"/>
      <c r="AF3" s="76"/>
      <c r="AG3" s="76"/>
      <c r="AH3" s="76"/>
      <c r="AI3" s="76"/>
      <c r="AJ3" s="76"/>
      <c r="AK3" s="76"/>
      <c r="AL3" s="76"/>
      <c r="AM3" s="76"/>
      <c r="AN3" s="76"/>
      <c r="AO3" s="76"/>
      <c r="AP3" s="76"/>
      <c r="AQ3" s="76"/>
      <c r="AR3" s="76"/>
      <c r="AS3" s="76"/>
    </row>
    <row r="4" spans="1:45" ht="15.65" customHeight="1" x14ac:dyDescent="0.35">
      <c r="A4" s="259" t="s">
        <v>303</v>
      </c>
      <c r="B4" s="259" t="s">
        <v>304</v>
      </c>
      <c r="C4" s="264">
        <v>-3.3333333333333333E-2</v>
      </c>
      <c r="D4" s="264">
        <v>-3.3333333333333333E-2</v>
      </c>
      <c r="E4" s="264">
        <v>-3.3333333333333333E-2</v>
      </c>
      <c r="F4" s="264">
        <v>-3.3333333333333333E-2</v>
      </c>
      <c r="G4" s="264">
        <v>-3.3333333333333333E-2</v>
      </c>
      <c r="H4" s="264">
        <v>-3.3333333333333333E-2</v>
      </c>
      <c r="I4" s="264">
        <v>-3.3333333333333333E-2</v>
      </c>
      <c r="J4" s="264">
        <v>-3.3333333333333333E-2</v>
      </c>
      <c r="K4" s="264">
        <v>-3.3333333333333333E-2</v>
      </c>
      <c r="L4" s="264">
        <v>-3.3333333333333333E-2</v>
      </c>
      <c r="M4" s="264">
        <v>-3.3333333333333333E-2</v>
      </c>
      <c r="N4" s="264">
        <v>-3.3333333333333333E-2</v>
      </c>
      <c r="O4" s="261">
        <f>SUM(C4:N4)</f>
        <v>-0.39999999999999997</v>
      </c>
      <c r="P4" s="264"/>
      <c r="Q4" s="264"/>
      <c r="R4" s="264"/>
      <c r="S4" s="264"/>
      <c r="T4" s="264"/>
      <c r="U4" s="264"/>
      <c r="V4" s="264"/>
      <c r="W4" s="264"/>
      <c r="X4" s="264"/>
      <c r="Y4" s="264"/>
      <c r="Z4" s="264"/>
      <c r="AA4" s="264"/>
      <c r="AC4" s="76"/>
      <c r="AD4" s="76"/>
      <c r="AE4" s="76"/>
      <c r="AF4" s="76"/>
      <c r="AG4" s="76"/>
      <c r="AH4" s="76"/>
      <c r="AI4" s="76"/>
      <c r="AJ4" s="76"/>
      <c r="AK4" s="76"/>
      <c r="AL4" s="76"/>
      <c r="AM4" s="76"/>
      <c r="AN4" s="76"/>
    </row>
    <row r="5" spans="1:45" ht="15.65" customHeight="1" x14ac:dyDescent="0.35">
      <c r="A5" s="259" t="s">
        <v>305</v>
      </c>
      <c r="B5" s="259" t="s">
        <v>306</v>
      </c>
      <c r="C5" s="264">
        <v>-0.12</v>
      </c>
      <c r="D5" s="264">
        <v>-0.12</v>
      </c>
      <c r="E5" s="264">
        <v>-0.06</v>
      </c>
      <c r="F5" s="264">
        <v>-0.06</v>
      </c>
      <c r="G5" s="264">
        <v>-0.06</v>
      </c>
      <c r="H5" s="264">
        <v>-0.06</v>
      </c>
      <c r="I5" s="264">
        <v>-0.06</v>
      </c>
      <c r="J5" s="264">
        <v>-0.06</v>
      </c>
      <c r="K5" s="264">
        <v>0</v>
      </c>
      <c r="L5" s="264">
        <v>0</v>
      </c>
      <c r="M5" s="264">
        <v>0</v>
      </c>
      <c r="N5" s="264">
        <v>0</v>
      </c>
      <c r="O5" s="261">
        <f t="shared" ref="O5:O13" si="1">SUM(C5:N5)</f>
        <v>-0.60000000000000009</v>
      </c>
      <c r="P5" s="264"/>
      <c r="Q5" s="264"/>
      <c r="R5" s="264"/>
      <c r="S5" s="264"/>
      <c r="T5" s="264"/>
      <c r="U5" s="264"/>
      <c r="V5" s="264"/>
      <c r="W5" s="264"/>
      <c r="X5" s="264"/>
      <c r="Y5" s="264"/>
      <c r="Z5" s="264"/>
      <c r="AA5" s="264"/>
      <c r="AC5" s="76"/>
      <c r="AD5" s="76"/>
      <c r="AE5" s="76"/>
      <c r="AF5" s="76"/>
      <c r="AG5" s="76"/>
      <c r="AH5" s="76"/>
      <c r="AI5" s="76"/>
      <c r="AJ5" s="76"/>
      <c r="AK5" s="76"/>
      <c r="AL5" s="76"/>
      <c r="AM5" s="76"/>
      <c r="AN5" s="76"/>
    </row>
    <row r="6" spans="1:45" ht="15.65" customHeight="1" x14ac:dyDescent="0.35">
      <c r="A6" s="257" t="s">
        <v>307</v>
      </c>
      <c r="B6" s="257" t="s">
        <v>213</v>
      </c>
      <c r="C6" s="264">
        <v>0.24499999999999997</v>
      </c>
      <c r="D6" s="264">
        <v>0.105</v>
      </c>
      <c r="E6" s="264">
        <v>5.5999999999999994E-2</v>
      </c>
      <c r="F6" s="264">
        <v>5.5999999999999994E-2</v>
      </c>
      <c r="G6" s="264">
        <v>5.5999999999999994E-2</v>
      </c>
      <c r="H6" s="264">
        <v>5.5999999999999994E-2</v>
      </c>
      <c r="I6" s="264">
        <v>5.5999999999999994E-2</v>
      </c>
      <c r="J6" s="264">
        <v>5.5999999999999994E-2</v>
      </c>
      <c r="K6" s="264">
        <v>0</v>
      </c>
      <c r="L6" s="264">
        <v>0</v>
      </c>
      <c r="M6" s="264">
        <v>0</v>
      </c>
      <c r="N6" s="264">
        <v>0</v>
      </c>
      <c r="O6" s="261">
        <f t="shared" si="1"/>
        <v>0.68600000000000017</v>
      </c>
      <c r="P6" s="264"/>
      <c r="Q6" s="264"/>
      <c r="R6" s="264"/>
      <c r="S6" s="264"/>
      <c r="T6" s="264"/>
      <c r="U6" s="264"/>
      <c r="V6" s="264"/>
      <c r="W6" s="264"/>
      <c r="X6" s="264"/>
      <c r="Y6" s="264"/>
      <c r="Z6" s="264"/>
      <c r="AA6" s="264"/>
      <c r="AC6" s="76"/>
      <c r="AD6" s="76"/>
      <c r="AE6" s="76"/>
      <c r="AF6" s="76"/>
      <c r="AG6" s="76"/>
      <c r="AH6" s="76"/>
      <c r="AI6" s="76"/>
      <c r="AJ6" s="76"/>
      <c r="AK6" s="76"/>
      <c r="AL6" s="76"/>
      <c r="AM6" s="76"/>
      <c r="AN6" s="76"/>
    </row>
    <row r="7" spans="1:45" ht="15.65" customHeight="1" x14ac:dyDescent="0.35">
      <c r="A7" s="257" t="s">
        <v>308</v>
      </c>
      <c r="B7" s="257" t="s">
        <v>309</v>
      </c>
      <c r="C7" s="264">
        <v>0.315</v>
      </c>
      <c r="D7" s="264">
        <v>0.315</v>
      </c>
      <c r="E7" s="264">
        <v>9.0000000000000011E-2</v>
      </c>
      <c r="F7" s="264">
        <v>9.0000000000000011E-2</v>
      </c>
      <c r="G7" s="264">
        <v>4.5000000000000005E-2</v>
      </c>
      <c r="H7" s="264">
        <v>4.5000000000000005E-2</v>
      </c>
      <c r="I7" s="264">
        <v>0</v>
      </c>
      <c r="J7" s="264">
        <v>0</v>
      </c>
      <c r="K7" s="264">
        <v>0</v>
      </c>
      <c r="L7" s="264">
        <v>0</v>
      </c>
      <c r="M7" s="264">
        <v>0</v>
      </c>
      <c r="N7" s="264">
        <v>0</v>
      </c>
      <c r="O7" s="261">
        <f t="shared" si="1"/>
        <v>0.9</v>
      </c>
      <c r="P7" s="264"/>
      <c r="Q7" s="264"/>
      <c r="R7" s="264"/>
      <c r="S7" s="264"/>
      <c r="T7" s="264"/>
      <c r="U7" s="264"/>
      <c r="V7" s="264"/>
      <c r="W7" s="264"/>
      <c r="X7" s="264"/>
      <c r="Y7" s="264"/>
      <c r="Z7" s="264"/>
      <c r="AA7" s="264"/>
      <c r="AC7" s="76"/>
      <c r="AD7" s="76"/>
      <c r="AE7" s="76"/>
      <c r="AF7" s="76"/>
      <c r="AG7" s="76"/>
      <c r="AH7" s="76"/>
      <c r="AI7" s="76"/>
      <c r="AJ7" s="76"/>
      <c r="AK7" s="76"/>
      <c r="AL7" s="76"/>
      <c r="AM7" s="76"/>
      <c r="AN7" s="76"/>
    </row>
    <row r="8" spans="1:45" ht="15.65" customHeight="1" x14ac:dyDescent="0.35">
      <c r="A8" s="257" t="s">
        <v>310</v>
      </c>
      <c r="B8" s="257" t="s">
        <v>311</v>
      </c>
      <c r="C8" s="264">
        <v>0.22500000000000001</v>
      </c>
      <c r="D8" s="264">
        <v>0.22500000000000001</v>
      </c>
      <c r="E8" s="264">
        <v>0.22500000000000001</v>
      </c>
      <c r="F8" s="264">
        <v>0.22500000000000001</v>
      </c>
      <c r="G8" s="264">
        <v>0</v>
      </c>
      <c r="H8" s="264">
        <v>0</v>
      </c>
      <c r="I8" s="264">
        <v>0</v>
      </c>
      <c r="J8" s="264">
        <v>0</v>
      </c>
      <c r="K8" s="264">
        <v>0</v>
      </c>
      <c r="L8" s="264">
        <v>0</v>
      </c>
      <c r="M8" s="264">
        <v>0</v>
      </c>
      <c r="N8" s="264">
        <v>0</v>
      </c>
      <c r="O8" s="261">
        <f t="shared" si="1"/>
        <v>0.9</v>
      </c>
      <c r="P8" s="264"/>
      <c r="Q8" s="264"/>
      <c r="R8" s="264"/>
      <c r="S8" s="264"/>
      <c r="T8" s="264"/>
      <c r="U8" s="264"/>
      <c r="V8" s="264"/>
      <c r="W8" s="264"/>
      <c r="X8" s="264"/>
      <c r="Y8" s="264"/>
      <c r="Z8" s="264"/>
      <c r="AA8" s="264"/>
      <c r="AC8" s="76"/>
      <c r="AD8" s="76"/>
      <c r="AE8" s="76"/>
      <c r="AF8" s="76"/>
      <c r="AG8" s="76"/>
      <c r="AH8" s="76"/>
      <c r="AI8" s="76"/>
      <c r="AJ8" s="76"/>
      <c r="AK8" s="76"/>
      <c r="AL8" s="76"/>
      <c r="AM8" s="76"/>
      <c r="AN8" s="76"/>
    </row>
    <row r="9" spans="1:45" ht="15.65" customHeight="1" x14ac:dyDescent="0.35">
      <c r="A9" s="257" t="s">
        <v>312</v>
      </c>
      <c r="B9" s="257" t="s">
        <v>313</v>
      </c>
      <c r="C9" s="264">
        <v>4.9500000000000002E-2</v>
      </c>
      <c r="D9" s="264">
        <v>4.2750000000000003E-2</v>
      </c>
      <c r="E9" s="264">
        <v>4.0500000000000001E-2</v>
      </c>
      <c r="F9" s="264">
        <v>3.8250000000000006E-2</v>
      </c>
      <c r="G9" s="264">
        <v>3.6000000000000004E-2</v>
      </c>
      <c r="H9" s="264">
        <v>3.6000000000000004E-2</v>
      </c>
      <c r="I9" s="264">
        <v>3.6000000000000004E-2</v>
      </c>
      <c r="J9" s="264">
        <v>3.6000000000000004E-2</v>
      </c>
      <c r="K9" s="264">
        <v>3.3750000000000002E-2</v>
      </c>
      <c r="L9" s="264">
        <v>3.3750000000000002E-2</v>
      </c>
      <c r="M9" s="264">
        <v>3.3750000000000002E-2</v>
      </c>
      <c r="N9" s="264">
        <v>3.3750000000000002E-2</v>
      </c>
      <c r="O9" s="261">
        <f t="shared" si="1"/>
        <v>0.45000000000000007</v>
      </c>
      <c r="P9" s="264"/>
      <c r="Q9" s="264"/>
      <c r="R9" s="264"/>
      <c r="S9" s="264"/>
      <c r="T9" s="264"/>
      <c r="U9" s="264"/>
      <c r="V9" s="264"/>
      <c r="W9" s="264"/>
      <c r="X9" s="264"/>
      <c r="Y9" s="264"/>
      <c r="Z9" s="264"/>
      <c r="AA9" s="264"/>
      <c r="AC9" s="76"/>
      <c r="AD9" s="76"/>
      <c r="AE9" s="76"/>
      <c r="AF9" s="76"/>
      <c r="AG9" s="76"/>
      <c r="AH9" s="76"/>
      <c r="AI9" s="76"/>
      <c r="AJ9" s="76"/>
      <c r="AK9" s="76"/>
      <c r="AL9" s="76"/>
      <c r="AM9" s="76"/>
      <c r="AN9" s="76"/>
    </row>
    <row r="10" spans="1:45" ht="15.65" customHeight="1" x14ac:dyDescent="0.35">
      <c r="A10" s="257" t="s">
        <v>314</v>
      </c>
      <c r="B10" s="257" t="s">
        <v>215</v>
      </c>
      <c r="C10" s="264">
        <v>0.14000000000000001</v>
      </c>
      <c r="D10" s="264">
        <v>0.1</v>
      </c>
      <c r="E10" s="264">
        <v>0.1</v>
      </c>
      <c r="F10" s="264">
        <v>0.05</v>
      </c>
      <c r="G10" s="264">
        <v>0.05</v>
      </c>
      <c r="H10" s="264">
        <v>0.05</v>
      </c>
      <c r="I10" s="264">
        <v>0.05</v>
      </c>
      <c r="J10" s="264">
        <v>0.05</v>
      </c>
      <c r="K10" s="264">
        <v>0.05</v>
      </c>
      <c r="L10" s="264">
        <v>0</v>
      </c>
      <c r="M10" s="264">
        <v>0</v>
      </c>
      <c r="N10" s="264">
        <v>0</v>
      </c>
      <c r="O10" s="261">
        <f>SUM(C10:N10)</f>
        <v>0.64000000000000012</v>
      </c>
      <c r="P10" s="264"/>
      <c r="Q10" s="264"/>
      <c r="R10" s="264"/>
      <c r="S10" s="264"/>
      <c r="T10" s="264"/>
      <c r="U10" s="264"/>
      <c r="V10" s="264"/>
      <c r="W10" s="264"/>
      <c r="X10" s="264"/>
      <c r="Y10" s="264"/>
      <c r="Z10" s="264"/>
      <c r="AA10" s="264"/>
      <c r="AC10" s="76"/>
      <c r="AD10" s="76"/>
      <c r="AE10" s="76"/>
      <c r="AF10" s="76"/>
      <c r="AG10" s="76"/>
      <c r="AH10" s="76"/>
      <c r="AI10" s="76"/>
      <c r="AJ10" s="76"/>
      <c r="AK10" s="76"/>
      <c r="AL10" s="76"/>
      <c r="AM10" s="76"/>
      <c r="AN10" s="76"/>
    </row>
    <row r="11" spans="1:45" ht="15.65" customHeight="1" x14ac:dyDescent="0.35">
      <c r="A11" s="257" t="s">
        <v>315</v>
      </c>
      <c r="B11" s="257" t="s">
        <v>316</v>
      </c>
      <c r="C11" s="264">
        <v>0.2</v>
      </c>
      <c r="D11" s="264">
        <v>0.17</v>
      </c>
      <c r="E11" s="264">
        <v>0.16</v>
      </c>
      <c r="F11" s="264">
        <v>0.15</v>
      </c>
      <c r="G11" s="264">
        <v>0.09</v>
      </c>
      <c r="H11" s="264">
        <v>0.05</v>
      </c>
      <c r="I11" s="264">
        <v>0.05</v>
      </c>
      <c r="J11" s="264">
        <v>0.04</v>
      </c>
      <c r="K11" s="264">
        <v>0</v>
      </c>
      <c r="L11" s="264">
        <v>0</v>
      </c>
      <c r="M11" s="264">
        <v>0</v>
      </c>
      <c r="N11" s="264">
        <v>0</v>
      </c>
      <c r="O11" s="261">
        <f>SUM(C11:N11)</f>
        <v>0.91000000000000014</v>
      </c>
      <c r="P11" s="264"/>
      <c r="Q11" s="264"/>
      <c r="R11" s="264"/>
      <c r="S11" s="264"/>
      <c r="T11" s="264"/>
      <c r="U11" s="264"/>
      <c r="V11" s="264"/>
      <c r="W11" s="264"/>
      <c r="X11" s="264"/>
      <c r="Y11" s="264"/>
      <c r="Z11" s="264"/>
      <c r="AA11" s="264"/>
      <c r="AC11" s="76"/>
      <c r="AD11" s="76"/>
      <c r="AE11" s="76"/>
      <c r="AF11" s="76"/>
      <c r="AG11" s="76"/>
      <c r="AH11" s="76"/>
      <c r="AI11" s="76"/>
      <c r="AJ11" s="76"/>
      <c r="AK11" s="76"/>
      <c r="AL11" s="76"/>
      <c r="AM11" s="76"/>
      <c r="AN11" s="76"/>
    </row>
    <row r="12" spans="1:45" ht="46.9" customHeight="1" x14ac:dyDescent="0.35">
      <c r="A12" s="258" t="s">
        <v>317</v>
      </c>
      <c r="B12" s="258" t="s">
        <v>318</v>
      </c>
      <c r="C12" s="264">
        <v>0.2</v>
      </c>
      <c r="D12" s="264">
        <v>0.17</v>
      </c>
      <c r="E12" s="264">
        <v>0.16</v>
      </c>
      <c r="F12" s="264">
        <v>0.15</v>
      </c>
      <c r="G12" s="264">
        <v>0.09</v>
      </c>
      <c r="H12" s="264">
        <v>0.05</v>
      </c>
      <c r="I12" s="264">
        <v>0.05</v>
      </c>
      <c r="J12" s="264">
        <v>0.04</v>
      </c>
      <c r="K12" s="264">
        <v>0</v>
      </c>
      <c r="L12" s="264">
        <v>0</v>
      </c>
      <c r="M12" s="264">
        <v>0</v>
      </c>
      <c r="N12" s="264">
        <v>0</v>
      </c>
      <c r="O12" s="261">
        <f t="shared" si="1"/>
        <v>0.91000000000000014</v>
      </c>
      <c r="P12" s="264"/>
      <c r="Q12" s="264"/>
      <c r="R12" s="264"/>
      <c r="S12" s="264"/>
      <c r="T12" s="264"/>
      <c r="U12" s="264"/>
      <c r="V12" s="264"/>
      <c r="W12" s="264"/>
      <c r="X12" s="264"/>
      <c r="Y12" s="264"/>
      <c r="Z12" s="264"/>
      <c r="AA12" s="264"/>
      <c r="AC12" s="76"/>
      <c r="AD12" s="76"/>
      <c r="AE12" s="76"/>
      <c r="AF12" s="76"/>
      <c r="AG12" s="76"/>
      <c r="AH12" s="76"/>
      <c r="AI12" s="76"/>
      <c r="AJ12" s="76"/>
      <c r="AK12" s="76"/>
      <c r="AL12" s="76"/>
      <c r="AM12" s="76"/>
      <c r="AN12" s="76"/>
    </row>
    <row r="13" spans="1:45" ht="31.15" customHeight="1" x14ac:dyDescent="0.35">
      <c r="A13" s="258" t="s">
        <v>319</v>
      </c>
      <c r="B13" s="258" t="s">
        <v>320</v>
      </c>
      <c r="C13" s="264">
        <v>0.14000000000000001</v>
      </c>
      <c r="D13" s="264">
        <v>0.1</v>
      </c>
      <c r="E13" s="264">
        <v>0.1</v>
      </c>
      <c r="F13" s="264">
        <v>0.05</v>
      </c>
      <c r="G13" s="264">
        <v>0.05</v>
      </c>
      <c r="H13" s="264">
        <v>0.05</v>
      </c>
      <c r="I13" s="264">
        <v>0.05</v>
      </c>
      <c r="J13" s="264">
        <v>0.05</v>
      </c>
      <c r="K13" s="264">
        <v>0.05</v>
      </c>
      <c r="L13" s="264">
        <v>0</v>
      </c>
      <c r="M13" s="264">
        <v>0</v>
      </c>
      <c r="N13" s="264">
        <v>0</v>
      </c>
      <c r="O13" s="261">
        <f t="shared" si="1"/>
        <v>0.64000000000000012</v>
      </c>
      <c r="P13" s="264"/>
      <c r="Q13" s="264"/>
      <c r="R13" s="264"/>
      <c r="S13" s="264"/>
      <c r="T13" s="264"/>
      <c r="U13" s="264"/>
      <c r="V13" s="264"/>
      <c r="W13" s="264"/>
      <c r="X13" s="264"/>
      <c r="Y13" s="264"/>
      <c r="Z13" s="264"/>
      <c r="AA13" s="264"/>
      <c r="AC13" s="76"/>
      <c r="AD13" s="76"/>
      <c r="AE13" s="76"/>
      <c r="AF13" s="76"/>
      <c r="AG13" s="76"/>
      <c r="AH13" s="76"/>
      <c r="AI13" s="76"/>
      <c r="AJ13" s="76"/>
      <c r="AK13" s="76"/>
      <c r="AL13" s="76"/>
      <c r="AM13" s="76"/>
      <c r="AN13" s="76"/>
    </row>
    <row r="14" spans="1:45" ht="46.9" customHeight="1" x14ac:dyDescent="0.35">
      <c r="A14" s="258" t="s">
        <v>321</v>
      </c>
      <c r="B14" s="258" t="s">
        <v>322</v>
      </c>
      <c r="C14" s="264">
        <v>0.04</v>
      </c>
      <c r="D14" s="264">
        <v>0.04</v>
      </c>
      <c r="E14" s="264">
        <v>1.7000000000000001E-2</v>
      </c>
      <c r="F14" s="264">
        <v>1.7000000000000001E-2</v>
      </c>
      <c r="G14" s="264">
        <v>1.7000000000000001E-2</v>
      </c>
      <c r="H14" s="264">
        <v>1.7000000000000001E-2</v>
      </c>
      <c r="I14" s="264">
        <v>1.7000000000000001E-2</v>
      </c>
      <c r="J14" s="264">
        <v>1.7000000000000001E-2</v>
      </c>
      <c r="K14" s="264">
        <v>1.7000000000000001E-2</v>
      </c>
      <c r="L14" s="264">
        <v>1.7000000000000001E-2</v>
      </c>
      <c r="M14" s="264">
        <v>1.7000000000000001E-2</v>
      </c>
      <c r="N14" s="264">
        <v>1.7000000000000001E-2</v>
      </c>
      <c r="O14" s="261">
        <f>SUM(C14:N14)</f>
        <v>0.25000000000000011</v>
      </c>
      <c r="P14" s="264"/>
      <c r="Q14" s="264"/>
      <c r="R14" s="264"/>
      <c r="S14" s="264"/>
      <c r="T14" s="264"/>
      <c r="U14" s="264"/>
      <c r="V14" s="264"/>
      <c r="W14" s="264"/>
      <c r="X14" s="264"/>
      <c r="Y14" s="264"/>
      <c r="Z14" s="264"/>
      <c r="AA14" s="264"/>
      <c r="AC14" s="76"/>
      <c r="AD14" s="76"/>
      <c r="AE14" s="76"/>
      <c r="AF14" s="76"/>
      <c r="AG14" s="76"/>
      <c r="AH14" s="76"/>
      <c r="AI14" s="76"/>
      <c r="AJ14" s="76"/>
      <c r="AK14" s="76"/>
      <c r="AL14" s="76"/>
      <c r="AM14" s="76"/>
      <c r="AN14" s="76"/>
    </row>
    <row r="15" spans="1:45" ht="15.75" customHeight="1" x14ac:dyDescent="0.35">
      <c r="B15" s="258"/>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68"/>
  <sheetViews>
    <sheetView topLeftCell="D1" zoomScale="90" zoomScaleNormal="90" workbookViewId="0">
      <selection activeCell="J25" sqref="J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7265625" customWidth="1"/>
    <col min="26" max="26" width="11.1796875" customWidth="1"/>
    <col min="27" max="32" width="9.453125" customWidth="1"/>
    <col min="33" max="36" width="8.453125" customWidth="1"/>
  </cols>
  <sheetData>
    <row r="1" spans="2:30" x14ac:dyDescent="0.35">
      <c r="B1" s="1243" t="s">
        <v>53</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0" ht="14.25" customHeight="1" x14ac:dyDescent="0.35">
      <c r="B2" s="1275" t="s">
        <v>323</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2:30"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2:30"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2:30" x14ac:dyDescent="0.35">
      <c r="B5" s="1275"/>
      <c r="C5" s="1275"/>
      <c r="D5" s="1275"/>
      <c r="E5" s="1275"/>
      <c r="F5" s="1275"/>
      <c r="G5" s="1275"/>
      <c r="H5" s="1275"/>
      <c r="I5" s="1275"/>
      <c r="J5" s="1275"/>
      <c r="K5" s="1275"/>
      <c r="L5" s="1275"/>
      <c r="M5" s="1275"/>
      <c r="N5" s="1275"/>
      <c r="O5" s="1275"/>
      <c r="P5" s="1275"/>
      <c r="Q5" s="1275"/>
      <c r="R5" s="1275"/>
      <c r="S5" s="1275"/>
      <c r="T5" s="1275"/>
      <c r="U5" s="1275"/>
      <c r="V5" s="1275"/>
      <c r="W5" s="1275"/>
      <c r="X5" s="1275"/>
      <c r="Y5" s="1275"/>
      <c r="Z5" s="1275"/>
      <c r="AA5" s="1275"/>
      <c r="AB5" s="1275"/>
      <c r="AC5" s="1275"/>
    </row>
    <row r="6" spans="2:30" ht="38.65" customHeight="1" x14ac:dyDescent="0.35">
      <c r="B6" s="1275"/>
      <c r="C6" s="1275"/>
      <c r="D6" s="1275"/>
      <c r="E6" s="1275"/>
      <c r="F6" s="1275"/>
      <c r="G6" s="1275"/>
      <c r="H6" s="1275"/>
      <c r="I6" s="1275"/>
      <c r="J6" s="1275"/>
      <c r="K6" s="1275"/>
      <c r="L6" s="1275"/>
      <c r="M6" s="1275"/>
      <c r="N6" s="1275"/>
      <c r="O6" s="1275"/>
      <c r="P6" s="1275"/>
      <c r="Q6" s="1275"/>
      <c r="R6" s="1275"/>
      <c r="S6" s="1275"/>
      <c r="T6" s="1275"/>
      <c r="U6" s="1275"/>
      <c r="V6" s="1275"/>
      <c r="W6" s="1275"/>
      <c r="X6" s="1275"/>
      <c r="Y6" s="1275"/>
      <c r="Z6" s="1275"/>
      <c r="AA6" s="1275"/>
      <c r="AB6" s="1275"/>
      <c r="AC6" s="1275"/>
    </row>
    <row r="7" spans="2:30" x14ac:dyDescent="0.35">
      <c r="B7" s="296"/>
      <c r="C7" s="296"/>
      <c r="D7" s="296"/>
      <c r="E7" s="296"/>
      <c r="F7" s="296"/>
      <c r="G7" s="296"/>
      <c r="H7" s="297"/>
      <c r="I7" s="297"/>
      <c r="J7" s="297"/>
      <c r="K7" s="297"/>
      <c r="L7" s="297"/>
      <c r="M7" s="297"/>
      <c r="N7" s="297"/>
      <c r="O7" s="297"/>
      <c r="P7" s="297"/>
      <c r="Q7" s="297"/>
      <c r="R7" s="297"/>
      <c r="S7" s="297"/>
      <c r="T7" s="297"/>
      <c r="U7" s="297"/>
      <c r="V7" s="297"/>
      <c r="W7" s="297"/>
      <c r="X7" s="297"/>
      <c r="Y7" s="297"/>
    </row>
    <row r="8" spans="2:30" ht="14.65" customHeight="1" x14ac:dyDescent="0.35">
      <c r="B8" s="1276" t="s">
        <v>324</v>
      </c>
      <c r="C8" s="1256"/>
      <c r="D8" s="1253" t="s">
        <v>325</v>
      </c>
      <c r="E8" s="1254"/>
      <c r="F8" s="1254"/>
      <c r="G8" s="1254"/>
      <c r="H8" s="1254"/>
      <c r="I8" s="1254"/>
      <c r="J8" s="1254"/>
      <c r="K8" s="1254"/>
      <c r="L8" s="1254"/>
      <c r="M8" s="1254"/>
      <c r="N8" s="1254"/>
      <c r="O8" s="1254"/>
      <c r="P8" s="1254"/>
      <c r="Q8" s="1254"/>
      <c r="R8" s="1284"/>
      <c r="S8" s="1285" t="s">
        <v>326</v>
      </c>
      <c r="T8" s="1286"/>
      <c r="U8" s="1286"/>
      <c r="V8" s="1286"/>
      <c r="W8" s="1286"/>
      <c r="X8" s="1286"/>
      <c r="Y8" s="1286"/>
      <c r="Z8" s="1286"/>
      <c r="AA8" s="1286"/>
      <c r="AB8" s="1286"/>
      <c r="AC8" s="1287"/>
    </row>
    <row r="9" spans="2:30" ht="12.75" customHeight="1" x14ac:dyDescent="0.35">
      <c r="B9" s="1277"/>
      <c r="C9" s="1278"/>
      <c r="D9" s="147">
        <v>2018</v>
      </c>
      <c r="E9" s="1244">
        <v>2019</v>
      </c>
      <c r="F9" s="1245"/>
      <c r="G9" s="1245"/>
      <c r="H9" s="1252"/>
      <c r="I9" s="1245">
        <v>2020</v>
      </c>
      <c r="J9" s="1245"/>
      <c r="K9" s="1245"/>
      <c r="L9" s="1245"/>
      <c r="M9" s="1244">
        <v>2021</v>
      </c>
      <c r="N9" s="1245"/>
      <c r="O9" s="1245"/>
      <c r="P9" s="1252"/>
      <c r="Q9" s="1282">
        <v>2022</v>
      </c>
      <c r="R9" s="1283"/>
      <c r="S9" s="317"/>
      <c r="T9" s="318"/>
      <c r="U9" s="1279">
        <v>2023</v>
      </c>
      <c r="V9" s="1280"/>
      <c r="W9" s="1280"/>
      <c r="X9" s="1281"/>
      <c r="Y9" s="1279">
        <v>2024</v>
      </c>
      <c r="Z9" s="1280"/>
      <c r="AA9" s="1280"/>
      <c r="AB9" s="1280"/>
      <c r="AC9" s="285">
        <v>2025</v>
      </c>
    </row>
    <row r="10" spans="2:30" ht="14.65" customHeight="1" x14ac:dyDescent="0.35">
      <c r="B10" s="1277"/>
      <c r="C10" s="1278"/>
      <c r="D10" s="154" t="s">
        <v>327</v>
      </c>
      <c r="E10" s="154" t="s">
        <v>328</v>
      </c>
      <c r="F10" s="153" t="s">
        <v>329</v>
      </c>
      <c r="G10" s="153" t="s">
        <v>238</v>
      </c>
      <c r="H10" s="224" t="s">
        <v>327</v>
      </c>
      <c r="I10" s="153" t="s">
        <v>328</v>
      </c>
      <c r="J10" s="153" t="s">
        <v>329</v>
      </c>
      <c r="K10" s="153" t="s">
        <v>238</v>
      </c>
      <c r="L10" s="153" t="s">
        <v>327</v>
      </c>
      <c r="M10" s="154" t="s">
        <v>328</v>
      </c>
      <c r="N10" s="153" t="s">
        <v>329</v>
      </c>
      <c r="O10" s="153" t="s">
        <v>238</v>
      </c>
      <c r="P10" s="157" t="s">
        <v>327</v>
      </c>
      <c r="Q10" s="175" t="s">
        <v>328</v>
      </c>
      <c r="R10" s="157" t="s">
        <v>329</v>
      </c>
      <c r="S10" s="303" t="s">
        <v>238</v>
      </c>
      <c r="T10" s="303" t="s">
        <v>327</v>
      </c>
      <c r="U10" s="302" t="s">
        <v>328</v>
      </c>
      <c r="V10" s="303" t="s">
        <v>329</v>
      </c>
      <c r="W10" s="303" t="s">
        <v>238</v>
      </c>
      <c r="X10" s="304" t="s">
        <v>327</v>
      </c>
      <c r="Y10" s="302" t="s">
        <v>328</v>
      </c>
      <c r="Z10" s="298" t="s">
        <v>329</v>
      </c>
      <c r="AA10" s="303" t="s">
        <v>238</v>
      </c>
      <c r="AB10" s="303" t="s">
        <v>327</v>
      </c>
      <c r="AC10" s="306" t="s">
        <v>328</v>
      </c>
    </row>
    <row r="11" spans="2:30" x14ac:dyDescent="0.35">
      <c r="B11" s="289" t="s">
        <v>102</v>
      </c>
      <c r="C11" s="308" t="s">
        <v>330</v>
      </c>
      <c r="D11" s="315">
        <f>'Haver Pivoted'!GO14</f>
        <v>27.8</v>
      </c>
      <c r="E11" s="311">
        <f>'Haver Pivoted'!GP14</f>
        <v>29.4</v>
      </c>
      <c r="F11" s="311">
        <f>'Haver Pivoted'!GQ14</f>
        <v>26.9</v>
      </c>
      <c r="G11" s="311">
        <f>'Haver Pivoted'!GR14</f>
        <v>26.4</v>
      </c>
      <c r="H11" s="311">
        <f>'Haver Pivoted'!GS14</f>
        <v>27.7</v>
      </c>
      <c r="I11" s="311">
        <f>'Haver Pivoted'!GT14</f>
        <v>40.700000000000003</v>
      </c>
      <c r="J11" s="311">
        <f>'Haver Pivoted'!GU14</f>
        <v>1007.5</v>
      </c>
      <c r="K11" s="311">
        <f>'Haver Pivoted'!GV14</f>
        <v>792.9</v>
      </c>
      <c r="L11" s="311">
        <f>'Haver Pivoted'!GW14</f>
        <v>308.5</v>
      </c>
      <c r="M11" s="311">
        <f>'Haver Pivoted'!GX14</f>
        <v>556.20000000000005</v>
      </c>
      <c r="N11" s="311">
        <f>'Haver Pivoted'!GY14</f>
        <v>448.6</v>
      </c>
      <c r="O11" s="311">
        <f>'Haver Pivoted'!GZ14</f>
        <v>245.1</v>
      </c>
      <c r="P11" s="144">
        <f>'Haver Pivoted'!HA14</f>
        <v>33.799999999999997</v>
      </c>
      <c r="Q11" s="311">
        <f>'Haver Pivoted'!HB14</f>
        <v>23.6</v>
      </c>
      <c r="R11" s="155">
        <f>'Haver Pivoted'!HC14</f>
        <v>18.600000000000001</v>
      </c>
      <c r="S11" s="309">
        <f t="shared" ref="S11:AC11" si="0">S12+S13+S20</f>
        <v>19.19619047619048</v>
      </c>
      <c r="T11" s="309">
        <f t="shared" si="0"/>
        <v>18.848412698412702</v>
      </c>
      <c r="U11" s="309">
        <f t="shared" si="0"/>
        <v>18.486936290497937</v>
      </c>
      <c r="V11" s="309">
        <f t="shared" si="0"/>
        <v>18.177099369428134</v>
      </c>
      <c r="W11" s="309">
        <f t="shared" si="0"/>
        <v>18.233902804957598</v>
      </c>
      <c r="X11" s="309">
        <f t="shared" si="0"/>
        <v>18.33718177864753</v>
      </c>
      <c r="Y11" s="309">
        <f t="shared" si="0"/>
        <v>18.703822135246789</v>
      </c>
      <c r="Z11" s="309">
        <f t="shared" si="0"/>
        <v>20.511204174820609</v>
      </c>
      <c r="AA11" s="309">
        <f t="shared" si="0"/>
        <v>20.764237660360941</v>
      </c>
      <c r="AB11" s="309">
        <f t="shared" si="0"/>
        <v>21.079238530115237</v>
      </c>
      <c r="AC11" s="283">
        <f t="shared" si="0"/>
        <v>21.383911502500542</v>
      </c>
      <c r="AD11" s="156" t="s">
        <v>331</v>
      </c>
    </row>
    <row r="12" spans="2:30" x14ac:dyDescent="0.35">
      <c r="B12" s="286" t="s">
        <v>332</v>
      </c>
      <c r="C12" s="287" t="s">
        <v>333</v>
      </c>
      <c r="D12" s="312">
        <f>'Haver Pivoted'!GO63</f>
        <v>0</v>
      </c>
      <c r="E12" s="144">
        <f>'Haver Pivoted'!GP63</f>
        <v>0</v>
      </c>
      <c r="F12" s="144">
        <f>'Haver Pivoted'!GQ63</f>
        <v>0</v>
      </c>
      <c r="G12" s="144">
        <f>'Haver Pivoted'!GR63</f>
        <v>0</v>
      </c>
      <c r="H12" s="144">
        <f>'Haver Pivoted'!GS63</f>
        <v>0</v>
      </c>
      <c r="I12" s="144">
        <f>'Haver Pivoted'!GT63</f>
        <v>0</v>
      </c>
      <c r="J12" s="144">
        <f>'Haver Pivoted'!GU63</f>
        <v>0.1</v>
      </c>
      <c r="K12" s="144">
        <f>'Haver Pivoted'!GV63</f>
        <v>3.7</v>
      </c>
      <c r="L12" s="144">
        <f>'Haver Pivoted'!GW63</f>
        <v>12.9</v>
      </c>
      <c r="M12" s="144">
        <f>'Haver Pivoted'!GX63</f>
        <v>25.5</v>
      </c>
      <c r="N12" s="144">
        <f>'Haver Pivoted'!GY63</f>
        <v>3.8</v>
      </c>
      <c r="O12" s="144">
        <f>'Haver Pivoted'!GZ63</f>
        <v>1.8</v>
      </c>
      <c r="P12" s="144">
        <f>'Haver Pivoted'!HA63</f>
        <v>0.6</v>
      </c>
      <c r="Q12" s="144">
        <f>'Haver Pivoted'!HB63</f>
        <v>0.2</v>
      </c>
      <c r="R12" s="155">
        <f>'Haver Pivoted'!HC63</f>
        <v>0.1</v>
      </c>
      <c r="S12" s="295">
        <f>MAX(R12*(S22-5)/(R22-5),0)</f>
        <v>9.1428571428571415E-2</v>
      </c>
      <c r="T12" s="295">
        <f>MAX(S12*(T22-5)/(S22-5),0)</f>
        <v>9.6428571428571433E-2</v>
      </c>
      <c r="U12" s="295">
        <f t="shared" ref="U12:AB12" si="1">T12*U22/T22</f>
        <v>9.4579256360078287E-2</v>
      </c>
      <c r="V12" s="295">
        <f t="shared" si="1"/>
        <v>9.2994129158512726E-2</v>
      </c>
      <c r="W12" s="295">
        <f t="shared" si="1"/>
        <v>9.3284735812133077E-2</v>
      </c>
      <c r="X12" s="295">
        <f t="shared" si="1"/>
        <v>9.3813111545988259E-2</v>
      </c>
      <c r="Y12" s="295">
        <f t="shared" si="1"/>
        <v>9.5688845401174172E-2</v>
      </c>
      <c r="Z12" s="295">
        <f t="shared" si="1"/>
        <v>0.10493542074363993</v>
      </c>
      <c r="AA12" s="295">
        <f t="shared" si="1"/>
        <v>0.10622994129158514</v>
      </c>
      <c r="AB12" s="295">
        <f t="shared" si="1"/>
        <v>0.10784148727984345</v>
      </c>
      <c r="AC12" s="277">
        <f>AB12*AC22/AB22</f>
        <v>0.10940019569471626</v>
      </c>
    </row>
    <row r="13" spans="2:30" x14ac:dyDescent="0.35">
      <c r="B13" s="286" t="s">
        <v>334</v>
      </c>
      <c r="C13" s="287"/>
      <c r="D13" s="312"/>
      <c r="E13" s="144"/>
      <c r="F13" s="144"/>
      <c r="G13" s="144"/>
      <c r="H13" s="149">
        <f>SUM(H14:H17)</f>
        <v>0</v>
      </c>
      <c r="I13" s="149">
        <f t="shared" ref="I13:M13" si="2">SUM(I14:I17)</f>
        <v>0</v>
      </c>
      <c r="J13" s="149">
        <f t="shared" si="2"/>
        <v>779.7</v>
      </c>
      <c r="K13" s="149">
        <f t="shared" si="2"/>
        <v>582.6</v>
      </c>
      <c r="L13" s="149">
        <f t="shared" si="2"/>
        <v>216.5</v>
      </c>
      <c r="M13" s="149">
        <f t="shared" si="2"/>
        <v>497.6</v>
      </c>
      <c r="N13" s="159">
        <f>SUM(N14:N17)</f>
        <v>401.5</v>
      </c>
      <c r="O13" s="159">
        <f t="shared" ref="O13:AC13" si="3">SUM(O14:O17)</f>
        <v>207.4</v>
      </c>
      <c r="P13" s="159">
        <f t="shared" si="3"/>
        <v>5.5</v>
      </c>
      <c r="Q13" s="159">
        <v>0</v>
      </c>
      <c r="R13" s="152">
        <f t="shared" si="3"/>
        <v>1</v>
      </c>
      <c r="S13" s="295">
        <f t="shared" si="3"/>
        <v>1.0214285714285716</v>
      </c>
      <c r="T13" s="295">
        <f t="shared" si="3"/>
        <v>1.0089285714285714</v>
      </c>
      <c r="U13" s="295">
        <f t="shared" si="3"/>
        <v>0.98957925636007826</v>
      </c>
      <c r="V13" s="295">
        <f t="shared" si="3"/>
        <v>0.97299412915851269</v>
      </c>
      <c r="W13" s="295">
        <f t="shared" si="3"/>
        <v>0.97603473581213307</v>
      </c>
      <c r="X13" s="295">
        <f t="shared" si="3"/>
        <v>0.98156311154598841</v>
      </c>
      <c r="Y13" s="295">
        <f t="shared" si="3"/>
        <v>1.0011888454011741</v>
      </c>
      <c r="Z13" s="295">
        <f t="shared" si="3"/>
        <v>1.09793542074364</v>
      </c>
      <c r="AA13" s="295">
        <f t="shared" si="3"/>
        <v>1.1114799412915852</v>
      </c>
      <c r="AB13" s="295">
        <f t="shared" si="3"/>
        <v>1.1283414872798434</v>
      </c>
      <c r="AC13" s="277">
        <f t="shared" si="3"/>
        <v>1.1446501956947164</v>
      </c>
    </row>
    <row r="14" spans="2:30" ht="18" customHeight="1" x14ac:dyDescent="0.35">
      <c r="B14" s="288" t="s">
        <v>335</v>
      </c>
      <c r="C14" s="145" t="s">
        <v>333</v>
      </c>
      <c r="D14" s="310">
        <f>'Haver Pivoted'!GO63</f>
        <v>0</v>
      </c>
      <c r="E14" s="151">
        <f>'Haver Pivoted'!GP63</f>
        <v>0</v>
      </c>
      <c r="F14" s="151">
        <f>'Haver Pivoted'!GQ63</f>
        <v>0</v>
      </c>
      <c r="G14" s="151">
        <f>'Haver Pivoted'!GR63</f>
        <v>0</v>
      </c>
      <c r="H14" s="151">
        <f>'Haver Pivoted'!GS63</f>
        <v>0</v>
      </c>
      <c r="I14" s="151">
        <f>'Haver Pivoted'!GT63</f>
        <v>0</v>
      </c>
      <c r="J14" s="151">
        <f>'Haver Pivoted'!GU63</f>
        <v>0.1</v>
      </c>
      <c r="K14" s="151">
        <f>'Haver Pivoted'!GV63</f>
        <v>3.7</v>
      </c>
      <c r="L14" s="151">
        <f>'Haver Pivoted'!GW63</f>
        <v>12.9</v>
      </c>
      <c r="M14" s="151">
        <f>'Haver Pivoted'!GX63</f>
        <v>25.5</v>
      </c>
      <c r="N14" s="151">
        <f>'Haver Pivoted'!GY63</f>
        <v>3.8</v>
      </c>
      <c r="O14" s="151">
        <f>'Haver Pivoted'!GZ63</f>
        <v>1.8</v>
      </c>
      <c r="P14" s="151">
        <f>'Haver Pivoted'!HA63</f>
        <v>0.6</v>
      </c>
      <c r="Q14" s="151">
        <f>'Haver Pivoted'!HB63</f>
        <v>0.2</v>
      </c>
      <c r="R14" s="319">
        <f>'Haver Pivoted'!HC63</f>
        <v>0.1</v>
      </c>
      <c r="S14" s="295">
        <f t="shared" ref="S14:X14" si="4">S12</f>
        <v>9.1428571428571415E-2</v>
      </c>
      <c r="T14" s="295">
        <f t="shared" si="4"/>
        <v>9.6428571428571433E-2</v>
      </c>
      <c r="U14" s="295">
        <f t="shared" si="4"/>
        <v>9.4579256360078287E-2</v>
      </c>
      <c r="V14" s="295">
        <f t="shared" si="4"/>
        <v>9.2994129158512726E-2</v>
      </c>
      <c r="W14" s="295">
        <f t="shared" si="4"/>
        <v>9.3284735812133077E-2</v>
      </c>
      <c r="X14" s="295">
        <f t="shared" si="4"/>
        <v>9.3813111545988259E-2</v>
      </c>
      <c r="Y14" s="295">
        <f>Y12</f>
        <v>9.5688845401174172E-2</v>
      </c>
      <c r="Z14" s="295">
        <f t="shared" ref="Z14:AC14" si="5">Z12</f>
        <v>0.10493542074363993</v>
      </c>
      <c r="AA14" s="295">
        <f t="shared" si="5"/>
        <v>0.10622994129158514</v>
      </c>
      <c r="AB14" s="295">
        <f t="shared" si="5"/>
        <v>0.10784148727984345</v>
      </c>
      <c r="AC14" s="277">
        <f t="shared" si="5"/>
        <v>0.10940019569471626</v>
      </c>
    </row>
    <row r="15" spans="2:30" ht="18" customHeight="1" x14ac:dyDescent="0.35">
      <c r="B15" s="288" t="s">
        <v>336</v>
      </c>
      <c r="C15" s="145" t="s">
        <v>337</v>
      </c>
      <c r="D15" s="310">
        <f>'Haver Pivoted'!GO59</f>
        <v>0</v>
      </c>
      <c r="E15" s="151">
        <f>'Haver Pivoted'!GP59</f>
        <v>0</v>
      </c>
      <c r="F15" s="151">
        <f>'Haver Pivoted'!GQ59</f>
        <v>0</v>
      </c>
      <c r="G15" s="151">
        <f>'Haver Pivoted'!GR59</f>
        <v>0</v>
      </c>
      <c r="H15" s="151">
        <f>'Haver Pivoted'!GS59</f>
        <v>0</v>
      </c>
      <c r="I15" s="151">
        <f>'Haver Pivoted'!GT59</f>
        <v>0</v>
      </c>
      <c r="J15" s="151">
        <f>'Haver Pivoted'!GU59</f>
        <v>6.3</v>
      </c>
      <c r="K15" s="151">
        <f>'Haver Pivoted'!GV59</f>
        <v>26.7</v>
      </c>
      <c r="L15" s="151">
        <f>'Haver Pivoted'!GW59</f>
        <v>82.1</v>
      </c>
      <c r="M15" s="151">
        <f>'Haver Pivoted'!GX59</f>
        <v>94.7</v>
      </c>
      <c r="N15" s="151">
        <f>'Haver Pivoted'!GY59</f>
        <v>92.1</v>
      </c>
      <c r="O15" s="151">
        <f>'Haver Pivoted'!GZ59</f>
        <v>51.6</v>
      </c>
      <c r="P15" s="151">
        <f>'Haver Pivoted'!HA59</f>
        <v>2.8</v>
      </c>
      <c r="Q15" s="151">
        <f>'Haver Pivoted'!HB59</f>
        <v>0.8</v>
      </c>
      <c r="R15" s="319">
        <f>'Haver Pivoted'!HC59</f>
        <v>0.5</v>
      </c>
      <c r="S15" s="295">
        <f t="shared" ref="S15:T17" si="6">R15*S$22/R$22</f>
        <v>0.51666666666666672</v>
      </c>
      <c r="T15" s="295">
        <f t="shared" si="6"/>
        <v>0.50694444444444442</v>
      </c>
      <c r="U15" s="295">
        <f t="shared" ref="U15:AB15" si="7">T15*U$22/T$22</f>
        <v>0.49722222222222223</v>
      </c>
      <c r="V15" s="295">
        <f t="shared" si="7"/>
        <v>0.48888888888888893</v>
      </c>
      <c r="W15" s="295">
        <f t="shared" si="7"/>
        <v>0.49041666666666672</v>
      </c>
      <c r="X15" s="295">
        <f t="shared" si="7"/>
        <v>0.49319444444444449</v>
      </c>
      <c r="Y15" s="295">
        <f t="shared" si="7"/>
        <v>0.50305555555555559</v>
      </c>
      <c r="Z15" s="295">
        <f t="shared" si="7"/>
        <v>0.55166666666666675</v>
      </c>
      <c r="AA15" s="295">
        <f t="shared" si="7"/>
        <v>0.55847222222222226</v>
      </c>
      <c r="AB15" s="295">
        <f t="shared" si="7"/>
        <v>0.56694444444444447</v>
      </c>
      <c r="AC15" s="277">
        <f>AB15*AC$22/AB$22</f>
        <v>0.57513888888888898</v>
      </c>
    </row>
    <row r="16" spans="2:30" ht="18" customHeight="1" x14ac:dyDescent="0.35">
      <c r="B16" s="288" t="s">
        <v>338</v>
      </c>
      <c r="C16" s="145" t="s">
        <v>339</v>
      </c>
      <c r="D16" s="310">
        <f>'Haver Pivoted'!GO60</f>
        <v>0</v>
      </c>
      <c r="E16" s="151">
        <f>'Haver Pivoted'!GP60</f>
        <v>0</v>
      </c>
      <c r="F16" s="151">
        <f>'Haver Pivoted'!GQ60</f>
        <v>0</v>
      </c>
      <c r="G16" s="151">
        <f>'Haver Pivoted'!GR60</f>
        <v>0</v>
      </c>
      <c r="H16" s="151">
        <f>'Haver Pivoted'!GS60</f>
        <v>0</v>
      </c>
      <c r="I16" s="151">
        <f>'Haver Pivoted'!GT60</f>
        <v>0</v>
      </c>
      <c r="J16" s="151">
        <f>'Haver Pivoted'!GU60</f>
        <v>74.400000000000006</v>
      </c>
      <c r="K16" s="151">
        <f>'Haver Pivoted'!GV60</f>
        <v>138.30000000000001</v>
      </c>
      <c r="L16" s="151">
        <f>'Haver Pivoted'!GW60</f>
        <v>106.8</v>
      </c>
      <c r="M16" s="151">
        <f>'Haver Pivoted'!GX60</f>
        <v>89.2</v>
      </c>
      <c r="N16" s="151">
        <f>'Haver Pivoted'!GY60</f>
        <v>72.3</v>
      </c>
      <c r="O16" s="151">
        <f>'Haver Pivoted'!GZ60</f>
        <v>43.5</v>
      </c>
      <c r="P16" s="151">
        <f>'Haver Pivoted'!HA60</f>
        <v>2.1</v>
      </c>
      <c r="Q16" s="151">
        <f>'Haver Pivoted'!HB60</f>
        <v>0.8</v>
      </c>
      <c r="R16" s="319">
        <f>'Haver Pivoted'!HC60</f>
        <v>0.4</v>
      </c>
      <c r="S16" s="295">
        <f t="shared" si="6"/>
        <v>0.41333333333333339</v>
      </c>
      <c r="T16" s="295">
        <f t="shared" si="6"/>
        <v>0.40555555555555556</v>
      </c>
      <c r="U16" s="295">
        <f t="shared" ref="U16:AB16" si="8">T16*U$22/T$22</f>
        <v>0.39777777777777784</v>
      </c>
      <c r="V16" s="295">
        <f t="shared" si="8"/>
        <v>0.39111111111111113</v>
      </c>
      <c r="W16" s="295">
        <f t="shared" si="8"/>
        <v>0.39233333333333337</v>
      </c>
      <c r="X16" s="295">
        <f t="shared" si="8"/>
        <v>0.3945555555555556</v>
      </c>
      <c r="Y16" s="295">
        <f t="shared" si="8"/>
        <v>0.40244444444444444</v>
      </c>
      <c r="Z16" s="295">
        <f t="shared" si="8"/>
        <v>0.44133333333333336</v>
      </c>
      <c r="AA16" s="295">
        <f t="shared" si="8"/>
        <v>0.44677777777777783</v>
      </c>
      <c r="AB16" s="295">
        <f t="shared" si="8"/>
        <v>0.4535555555555556</v>
      </c>
      <c r="AC16" s="277">
        <f>AB16*AC$22/AB$22</f>
        <v>0.46011111111111114</v>
      </c>
    </row>
    <row r="17" spans="2:30" ht="18" customHeight="1" x14ac:dyDescent="0.35">
      <c r="B17" s="288" t="s">
        <v>340</v>
      </c>
      <c r="C17" s="145" t="s">
        <v>341</v>
      </c>
      <c r="D17" s="310">
        <f>'Haver Pivoted'!GO61</f>
        <v>0</v>
      </c>
      <c r="E17" s="151">
        <f>'Haver Pivoted'!GP61</f>
        <v>0</v>
      </c>
      <c r="F17" s="151">
        <f>'Haver Pivoted'!GQ61</f>
        <v>0</v>
      </c>
      <c r="G17" s="151">
        <f>'Haver Pivoted'!GR61</f>
        <v>0</v>
      </c>
      <c r="H17" s="151">
        <f>'Haver Pivoted'!GS61</f>
        <v>0</v>
      </c>
      <c r="I17" s="151">
        <f>'Haver Pivoted'!GT61</f>
        <v>0</v>
      </c>
      <c r="J17" s="151">
        <f>'Haver Pivoted'!GU61</f>
        <v>698.9</v>
      </c>
      <c r="K17" s="151">
        <f>'Haver Pivoted'!GV61</f>
        <v>413.9</v>
      </c>
      <c r="L17" s="151">
        <f>'Haver Pivoted'!GW61</f>
        <v>14.7</v>
      </c>
      <c r="M17" s="151">
        <f>'Haver Pivoted'!GX61</f>
        <v>288.2</v>
      </c>
      <c r="N17" s="151">
        <f>'Haver Pivoted'!GY61</f>
        <v>233.3</v>
      </c>
      <c r="O17" s="151">
        <f>'Haver Pivoted'!GZ61</f>
        <v>110.5</v>
      </c>
      <c r="P17" s="151">
        <f>'Haver Pivoted'!HA61</f>
        <v>0</v>
      </c>
      <c r="Q17" s="151">
        <f>'Haver Pivoted'!HB61</f>
        <v>0</v>
      </c>
      <c r="R17" s="319">
        <f>'Haver Pivoted'!HC61</f>
        <v>0</v>
      </c>
      <c r="S17" s="295">
        <f t="shared" si="6"/>
        <v>0</v>
      </c>
      <c r="T17" s="295">
        <f t="shared" si="6"/>
        <v>0</v>
      </c>
      <c r="U17" s="295">
        <f t="shared" ref="U17:AB17" si="9">T17*U$22/T$22</f>
        <v>0</v>
      </c>
      <c r="V17" s="295">
        <f t="shared" si="9"/>
        <v>0</v>
      </c>
      <c r="W17" s="295">
        <f t="shared" si="9"/>
        <v>0</v>
      </c>
      <c r="X17" s="295">
        <f t="shared" si="9"/>
        <v>0</v>
      </c>
      <c r="Y17" s="295">
        <f t="shared" si="9"/>
        <v>0</v>
      </c>
      <c r="Z17" s="295">
        <f t="shared" si="9"/>
        <v>0</v>
      </c>
      <c r="AA17" s="295">
        <f t="shared" si="9"/>
        <v>0</v>
      </c>
      <c r="AB17" s="295">
        <f t="shared" si="9"/>
        <v>0</v>
      </c>
      <c r="AC17" s="277">
        <f>AB17*AC$22/AB$22</f>
        <v>0</v>
      </c>
    </row>
    <row r="18" spans="2:30" x14ac:dyDescent="0.35">
      <c r="B18" s="299" t="s">
        <v>158</v>
      </c>
      <c r="C18" s="156" t="s">
        <v>342</v>
      </c>
      <c r="D18" s="312">
        <f>'Haver Pivoted'!GO64</f>
        <v>0</v>
      </c>
      <c r="E18" s="144">
        <f>'Haver Pivoted'!GP64</f>
        <v>0</v>
      </c>
      <c r="F18" s="144">
        <f>'Haver Pivoted'!GQ64</f>
        <v>0</v>
      </c>
      <c r="G18" s="144">
        <f>'Haver Pivoted'!GR64</f>
        <v>0</v>
      </c>
      <c r="H18" s="144">
        <f>'Haver Pivoted'!GS64</f>
        <v>0</v>
      </c>
      <c r="I18" s="144">
        <f>'Haver Pivoted'!GT64</f>
        <v>0</v>
      </c>
      <c r="J18" s="144">
        <f>'Haver Pivoted'!GU64</f>
        <v>0</v>
      </c>
      <c r="K18" s="144">
        <f>'Haver Pivoted'!GV64</f>
        <v>106.2</v>
      </c>
      <c r="L18" s="144">
        <f>'Haver Pivoted'!GW64</f>
        <v>35.9</v>
      </c>
      <c r="M18" s="144">
        <f>'Haver Pivoted'!GX64</f>
        <v>1.6</v>
      </c>
      <c r="N18" s="144">
        <f>'Haver Pivoted'!GY64</f>
        <v>0.6</v>
      </c>
      <c r="O18" s="144">
        <f>'Haver Pivoted'!GZ64</f>
        <v>0.1</v>
      </c>
      <c r="P18" s="144">
        <f>'Haver Pivoted'!HA64</f>
        <v>0</v>
      </c>
      <c r="Q18" s="151">
        <f>'Haver Pivoted'!HB64</f>
        <v>0</v>
      </c>
      <c r="R18" s="319">
        <f>'Haver Pivoted'!HC64</f>
        <v>0</v>
      </c>
      <c r="S18" s="295"/>
      <c r="T18" s="295"/>
      <c r="U18" s="295"/>
      <c r="V18" s="295"/>
      <c r="W18" s="295"/>
      <c r="X18" s="295"/>
      <c r="Y18" s="295"/>
      <c r="Z18" s="295"/>
      <c r="AA18" s="295"/>
      <c r="AB18" s="295"/>
      <c r="AC18" s="277"/>
    </row>
    <row r="19" spans="2:30" ht="14.5" customHeight="1" x14ac:dyDescent="0.35">
      <c r="B19" s="300" t="s">
        <v>343</v>
      </c>
      <c r="C19" s="307"/>
      <c r="D19" s="278">
        <f t="shared" ref="D19:N19" si="10">D11-D20</f>
        <v>0</v>
      </c>
      <c r="E19" s="279">
        <f t="shared" si="10"/>
        <v>0</v>
      </c>
      <c r="F19" s="279">
        <f t="shared" si="10"/>
        <v>0</v>
      </c>
      <c r="G19" s="279">
        <f t="shared" si="10"/>
        <v>0</v>
      </c>
      <c r="H19" s="279">
        <f t="shared" si="10"/>
        <v>0</v>
      </c>
      <c r="I19" s="279">
        <f t="shared" si="10"/>
        <v>0</v>
      </c>
      <c r="J19" s="279">
        <f t="shared" si="10"/>
        <v>779.80000000000007</v>
      </c>
      <c r="K19" s="279">
        <f t="shared" si="10"/>
        <v>586.29999999999995</v>
      </c>
      <c r="L19" s="279">
        <f t="shared" si="10"/>
        <v>229.4</v>
      </c>
      <c r="M19" s="279">
        <f t="shared" si="10"/>
        <v>523.1</v>
      </c>
      <c r="N19" s="280">
        <f t="shared" si="10"/>
        <v>405.3</v>
      </c>
      <c r="O19" s="280">
        <f>O11-O20</f>
        <v>209.20000000000002</v>
      </c>
      <c r="P19" s="280">
        <f t="shared" ref="P19" si="11">P11-P20</f>
        <v>6.1000000000000014</v>
      </c>
      <c r="Q19" s="280">
        <f>Q11-Q20</f>
        <v>0.19999999999999929</v>
      </c>
      <c r="R19" s="320">
        <f>R11-R20</f>
        <v>1.1000000000000014</v>
      </c>
      <c r="S19" s="281">
        <v>0</v>
      </c>
      <c r="T19" s="281">
        <v>0</v>
      </c>
      <c r="U19" s="281">
        <v>0</v>
      </c>
      <c r="V19" s="281">
        <v>0</v>
      </c>
      <c r="W19" s="281">
        <v>0</v>
      </c>
      <c r="X19" s="281">
        <v>0</v>
      </c>
      <c r="Y19" s="281">
        <v>0</v>
      </c>
      <c r="Z19" s="281">
        <v>0</v>
      </c>
      <c r="AA19" s="281">
        <v>0</v>
      </c>
      <c r="AB19" s="281">
        <v>0</v>
      </c>
      <c r="AC19" s="281">
        <v>0</v>
      </c>
    </row>
    <row r="20" spans="2:30" ht="14.5" customHeight="1" x14ac:dyDescent="0.35">
      <c r="B20" s="300" t="s">
        <v>344</v>
      </c>
      <c r="C20" s="307"/>
      <c r="D20" s="278">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80">
        <f>N11-N12-N13</f>
        <v>43.300000000000011</v>
      </c>
      <c r="O20" s="280">
        <f>O11-O12-O13</f>
        <v>35.899999999999977</v>
      </c>
      <c r="P20" s="280">
        <f>P11-P12-P13</f>
        <v>27.699999999999996</v>
      </c>
      <c r="Q20" s="151">
        <f>Q11-Q12-Q13</f>
        <v>23.400000000000002</v>
      </c>
      <c r="R20" s="319">
        <f>R11-R12-R13</f>
        <v>17.5</v>
      </c>
      <c r="S20" s="281">
        <f>R20*S22/R22</f>
        <v>18.083333333333336</v>
      </c>
      <c r="T20" s="281">
        <f>S20*T22/S22</f>
        <v>17.743055555555557</v>
      </c>
      <c r="U20" s="281">
        <f t="shared" ref="U20:AB20" si="13">T20*U22/T22</f>
        <v>17.402777777777779</v>
      </c>
      <c r="V20" s="281">
        <f t="shared" si="13"/>
        <v>17.111111111111111</v>
      </c>
      <c r="W20" s="281">
        <f t="shared" si="13"/>
        <v>17.164583333333333</v>
      </c>
      <c r="X20" s="281">
        <f t="shared" si="13"/>
        <v>17.261805555555554</v>
      </c>
      <c r="Y20" s="281">
        <f t="shared" si="13"/>
        <v>17.606944444444441</v>
      </c>
      <c r="Z20" s="281">
        <f t="shared" si="13"/>
        <v>19.30833333333333</v>
      </c>
      <c r="AA20" s="281">
        <f t="shared" si="13"/>
        <v>19.546527777777772</v>
      </c>
      <c r="AB20" s="281">
        <f t="shared" si="13"/>
        <v>19.843055555555551</v>
      </c>
      <c r="AC20" s="282">
        <f>AB20*AC22/AB22</f>
        <v>20.129861111111108</v>
      </c>
      <c r="AD20" s="284" t="s">
        <v>345</v>
      </c>
    </row>
    <row r="21" spans="2:30" x14ac:dyDescent="0.35">
      <c r="B21" s="299"/>
      <c r="C21" s="290"/>
      <c r="D21" s="310"/>
      <c r="E21" s="151"/>
      <c r="F21" s="151"/>
      <c r="G21" s="151"/>
      <c r="H21" s="149"/>
      <c r="I21" s="149"/>
      <c r="J21" s="149"/>
      <c r="K21" s="149"/>
      <c r="L21" s="149"/>
      <c r="M21" s="149"/>
      <c r="N21" s="149"/>
      <c r="O21" s="149"/>
      <c r="P21" s="149"/>
      <c r="Q21" s="149"/>
      <c r="R21" s="149"/>
      <c r="S21" s="316"/>
      <c r="T21" s="292"/>
      <c r="U21" s="292"/>
      <c r="V21" s="292"/>
      <c r="W21" s="292"/>
      <c r="X21" s="292"/>
      <c r="Y21" s="292"/>
      <c r="Z21" s="292"/>
      <c r="AA21" s="292"/>
      <c r="AB21" s="292"/>
      <c r="AC21" s="293"/>
    </row>
    <row r="22" spans="2:30" x14ac:dyDescent="0.35">
      <c r="B22" s="150" t="s">
        <v>346</v>
      </c>
      <c r="C22" s="291"/>
      <c r="D22" s="313"/>
      <c r="E22" s="158"/>
      <c r="F22" s="158"/>
      <c r="G22" s="158"/>
      <c r="H22" s="314"/>
      <c r="I22" s="314"/>
      <c r="J22" s="314"/>
      <c r="K22" s="314"/>
      <c r="L22" s="314"/>
      <c r="M22" s="314">
        <f>D45</f>
        <v>6.166666666666667</v>
      </c>
      <c r="N22" s="314">
        <f>D48</f>
        <v>5.7666666666666657</v>
      </c>
      <c r="O22" s="314">
        <f>D51</f>
        <v>5.1333333333333337</v>
      </c>
      <c r="P22" s="314">
        <f>D54</f>
        <v>4.2333333333333334</v>
      </c>
      <c r="Q22" s="314">
        <f>D57</f>
        <v>3.8000000000000003</v>
      </c>
      <c r="R22" s="322">
        <f>D60</f>
        <v>3.6</v>
      </c>
      <c r="S22" s="321">
        <v>3.72</v>
      </c>
      <c r="T22" s="294">
        <v>3.65</v>
      </c>
      <c r="U22" s="294">
        <v>3.58</v>
      </c>
      <c r="V22" s="294">
        <v>3.52</v>
      </c>
      <c r="W22" s="294">
        <v>3.5310000000000001</v>
      </c>
      <c r="X22" s="294">
        <v>3.5510000000000002</v>
      </c>
      <c r="Y22" s="294">
        <v>3.6219999999999999</v>
      </c>
      <c r="Z22" s="294">
        <v>3.972</v>
      </c>
      <c r="AA22" s="294">
        <v>4.0209999999999999</v>
      </c>
      <c r="AB22" s="294">
        <v>4.0819999999999999</v>
      </c>
      <c r="AC22" s="305">
        <v>4.141</v>
      </c>
      <c r="AD22" s="301" t="s">
        <v>347</v>
      </c>
    </row>
    <row r="23" spans="2:30" x14ac:dyDescent="0.35">
      <c r="C23" s="156"/>
      <c r="D23" s="144"/>
      <c r="E23" s="144"/>
      <c r="F23" s="144"/>
      <c r="G23" s="144"/>
      <c r="H23" s="149"/>
      <c r="I23" s="149"/>
      <c r="J23" s="149"/>
      <c r="K23" s="149"/>
      <c r="L23" s="149"/>
      <c r="M23" s="149"/>
      <c r="N23" s="149"/>
      <c r="O23" s="149"/>
      <c r="P23" s="149"/>
      <c r="AD23" s="301"/>
    </row>
    <row r="24" spans="2:30" ht="15.75" customHeight="1" x14ac:dyDescent="0.35">
      <c r="C24" s="156"/>
      <c r="D24" s="144"/>
      <c r="E24" s="144"/>
      <c r="F24" s="144"/>
      <c r="G24" s="144"/>
      <c r="H24" s="149"/>
      <c r="I24" s="149"/>
      <c r="J24" s="149"/>
      <c r="K24" s="149"/>
      <c r="L24" s="149"/>
      <c r="M24" s="149"/>
      <c r="N24" s="149"/>
      <c r="O24" s="149"/>
      <c r="P24" s="149"/>
      <c r="AD24" s="301"/>
    </row>
    <row r="25" spans="2:30" x14ac:dyDescent="0.35">
      <c r="B25" s="331" t="s">
        <v>102</v>
      </c>
      <c r="C25" s="332" t="s">
        <v>330</v>
      </c>
      <c r="D25" s="333">
        <v>27.1</v>
      </c>
      <c r="E25" s="334">
        <v>28.4</v>
      </c>
      <c r="F25" s="334">
        <v>27.8</v>
      </c>
      <c r="G25" s="334">
        <v>27.4</v>
      </c>
      <c r="H25" s="334">
        <v>26.8</v>
      </c>
      <c r="I25" s="334">
        <v>39.5</v>
      </c>
      <c r="J25" s="334">
        <v>1039.4000000000001</v>
      </c>
      <c r="K25" s="334">
        <v>767.8</v>
      </c>
      <c r="L25" s="334">
        <v>299.89999999999998</v>
      </c>
      <c r="M25" s="334">
        <v>565.79999999999995</v>
      </c>
      <c r="N25" s="334">
        <v>480.4</v>
      </c>
      <c r="O25" s="334">
        <v>272.3</v>
      </c>
      <c r="P25" s="334">
        <v>37.700000000000003</v>
      </c>
      <c r="Q25" s="334">
        <v>25.1</v>
      </c>
      <c r="R25" s="335">
        <v>20</v>
      </c>
      <c r="S25" s="336">
        <v>20.547619047619047</v>
      </c>
      <c r="T25" s="336">
        <v>20.228174603174601</v>
      </c>
      <c r="U25" s="336">
        <v>19.840237008045229</v>
      </c>
      <c r="V25" s="336">
        <v>19.507719069362906</v>
      </c>
      <c r="W25" s="336">
        <v>19.568680691454663</v>
      </c>
      <c r="X25" s="336">
        <v>19.67952000434877</v>
      </c>
      <c r="Y25" s="336">
        <v>20.072999565122849</v>
      </c>
      <c r="Z25" s="336">
        <v>22.012687540769733</v>
      </c>
      <c r="AA25" s="336">
        <v>22.284243857360295</v>
      </c>
      <c r="AB25" s="336">
        <v>22.62230376168732</v>
      </c>
      <c r="AC25" s="337">
        <v>22.949279734724939</v>
      </c>
      <c r="AD25" s="301"/>
    </row>
    <row r="26" spans="2:30" x14ac:dyDescent="0.35">
      <c r="B26" s="338" t="s">
        <v>332</v>
      </c>
      <c r="C26" s="287" t="s">
        <v>333</v>
      </c>
      <c r="D26" s="312">
        <v>0</v>
      </c>
      <c r="E26" s="144">
        <v>0</v>
      </c>
      <c r="F26" s="144">
        <v>0</v>
      </c>
      <c r="G26" s="144">
        <v>0</v>
      </c>
      <c r="H26" s="144">
        <v>0</v>
      </c>
      <c r="I26" s="144">
        <v>0</v>
      </c>
      <c r="J26" s="144">
        <v>0.1</v>
      </c>
      <c r="K26" s="144">
        <v>3.7</v>
      </c>
      <c r="L26" s="144">
        <v>12.9</v>
      </c>
      <c r="M26" s="144">
        <v>25</v>
      </c>
      <c r="N26" s="144">
        <v>5.8</v>
      </c>
      <c r="O26" s="144">
        <v>5.7</v>
      </c>
      <c r="P26" s="144">
        <v>2.4</v>
      </c>
      <c r="Q26" s="144">
        <v>0.7</v>
      </c>
      <c r="R26" s="155">
        <v>0.5</v>
      </c>
      <c r="S26" s="295">
        <v>0.45714285714285713</v>
      </c>
      <c r="T26" s="295">
        <v>0.48214285714285726</v>
      </c>
      <c r="U26" s="295">
        <v>0.4728962818003915</v>
      </c>
      <c r="V26" s="295">
        <v>0.46497064579256375</v>
      </c>
      <c r="W26" s="295">
        <v>0.46642367906066556</v>
      </c>
      <c r="X26" s="295">
        <v>0.46906555772994152</v>
      </c>
      <c r="Y26" s="295">
        <v>0.47844422700587103</v>
      </c>
      <c r="Z26" s="295">
        <v>0.52467710371819987</v>
      </c>
      <c r="AA26" s="295">
        <v>0.53114970645792592</v>
      </c>
      <c r="AB26" s="295">
        <v>0.53920743639921742</v>
      </c>
      <c r="AC26" s="339">
        <v>0.54700097847358153</v>
      </c>
      <c r="AD26" s="301"/>
    </row>
    <row r="27" spans="2:30" x14ac:dyDescent="0.35">
      <c r="B27" s="338" t="s">
        <v>334</v>
      </c>
      <c r="C27" s="287"/>
      <c r="D27" s="312"/>
      <c r="E27" s="144"/>
      <c r="F27" s="144"/>
      <c r="G27" s="144"/>
      <c r="H27" s="149">
        <v>0</v>
      </c>
      <c r="I27" s="149">
        <v>0</v>
      </c>
      <c r="J27" s="149">
        <v>779.7</v>
      </c>
      <c r="K27" s="149">
        <v>582.6</v>
      </c>
      <c r="L27" s="149">
        <v>216.5</v>
      </c>
      <c r="M27" s="149">
        <v>505</v>
      </c>
      <c r="N27" s="159">
        <v>429.59999999999997</v>
      </c>
      <c r="O27" s="159">
        <v>230.4</v>
      </c>
      <c r="P27" s="159">
        <v>8.1</v>
      </c>
      <c r="Q27" s="159">
        <v>0</v>
      </c>
      <c r="R27" s="152">
        <v>1.7</v>
      </c>
      <c r="S27" s="295">
        <v>1.6971428571428571</v>
      </c>
      <c r="T27" s="295">
        <v>1.698809523809524</v>
      </c>
      <c r="U27" s="295">
        <v>1.6662296151337248</v>
      </c>
      <c r="V27" s="295">
        <v>1.6383039791258971</v>
      </c>
      <c r="W27" s="295">
        <v>1.6434236790606656</v>
      </c>
      <c r="X27" s="295">
        <v>1.6527322243966081</v>
      </c>
      <c r="Y27" s="295">
        <v>1.6857775603392042</v>
      </c>
      <c r="Z27" s="295">
        <v>1.8486771037181997</v>
      </c>
      <c r="AA27" s="295">
        <v>1.8714830397912592</v>
      </c>
      <c r="AB27" s="295">
        <v>1.8998741030658841</v>
      </c>
      <c r="AC27" s="339">
        <v>1.9273343118069151</v>
      </c>
      <c r="AD27" s="301"/>
    </row>
    <row r="28" spans="2:30" ht="28.5" customHeight="1" x14ac:dyDescent="0.35">
      <c r="B28" s="340" t="s">
        <v>335</v>
      </c>
      <c r="C28" s="145" t="s">
        <v>333</v>
      </c>
      <c r="D28" s="310">
        <v>0</v>
      </c>
      <c r="E28" s="151">
        <v>0</v>
      </c>
      <c r="F28" s="151">
        <v>0</v>
      </c>
      <c r="G28" s="151">
        <v>0</v>
      </c>
      <c r="H28" s="151">
        <v>0</v>
      </c>
      <c r="I28" s="151">
        <v>0</v>
      </c>
      <c r="J28" s="151">
        <v>0.1</v>
      </c>
      <c r="K28" s="151">
        <v>3.7</v>
      </c>
      <c r="L28" s="151">
        <v>12.9</v>
      </c>
      <c r="M28" s="151">
        <v>25</v>
      </c>
      <c r="N28" s="151">
        <v>5.8</v>
      </c>
      <c r="O28" s="151">
        <v>5.7</v>
      </c>
      <c r="P28" s="151">
        <v>2.4</v>
      </c>
      <c r="Q28" s="151">
        <v>0.7</v>
      </c>
      <c r="R28" s="319">
        <v>0.5</v>
      </c>
      <c r="S28" s="295">
        <v>0.45714285714285713</v>
      </c>
      <c r="T28" s="295">
        <v>0.48214285714285726</v>
      </c>
      <c r="U28" s="295">
        <v>0.4728962818003915</v>
      </c>
      <c r="V28" s="295">
        <v>0.46497064579256375</v>
      </c>
      <c r="W28" s="295">
        <v>0.46642367906066556</v>
      </c>
      <c r="X28" s="295">
        <v>0.46906555772994152</v>
      </c>
      <c r="Y28" s="295">
        <v>0.47844422700587103</v>
      </c>
      <c r="Z28" s="295">
        <v>0.52467710371819987</v>
      </c>
      <c r="AA28" s="295">
        <v>0.53114970645792592</v>
      </c>
      <c r="AB28" s="295">
        <v>0.53920743639921742</v>
      </c>
      <c r="AC28" s="339">
        <v>0.54700097847358153</v>
      </c>
      <c r="AD28" s="301"/>
    </row>
    <row r="29" spans="2:30" ht="28.5" customHeight="1" x14ac:dyDescent="0.35">
      <c r="B29" s="340" t="s">
        <v>336</v>
      </c>
      <c r="C29" s="145" t="s">
        <v>337</v>
      </c>
      <c r="D29" s="310">
        <v>0</v>
      </c>
      <c r="E29" s="151">
        <v>0</v>
      </c>
      <c r="F29" s="151">
        <v>0</v>
      </c>
      <c r="G29" s="151">
        <v>0</v>
      </c>
      <c r="H29" s="151">
        <v>0</v>
      </c>
      <c r="I29" s="151">
        <v>0</v>
      </c>
      <c r="J29" s="151">
        <v>6.3</v>
      </c>
      <c r="K29" s="151">
        <v>26.7</v>
      </c>
      <c r="L29" s="151">
        <v>82.1</v>
      </c>
      <c r="M29" s="151">
        <v>97.8</v>
      </c>
      <c r="N29" s="151">
        <v>104.5</v>
      </c>
      <c r="O29" s="151">
        <v>61.5</v>
      </c>
      <c r="P29" s="151">
        <v>3.3</v>
      </c>
      <c r="Q29" s="151">
        <v>1</v>
      </c>
      <c r="R29" s="319">
        <v>0.7</v>
      </c>
      <c r="S29" s="295">
        <v>0.72333333333333338</v>
      </c>
      <c r="T29" s="295">
        <v>0.70972222222222225</v>
      </c>
      <c r="U29" s="295">
        <v>0.69611111111111112</v>
      </c>
      <c r="V29" s="295">
        <v>0.68444444444444441</v>
      </c>
      <c r="W29" s="295">
        <v>0.68658333333333332</v>
      </c>
      <c r="X29" s="295">
        <v>0.69047222222222215</v>
      </c>
      <c r="Y29" s="295">
        <v>0.70427777777777767</v>
      </c>
      <c r="Z29" s="295">
        <v>0.77233333333333321</v>
      </c>
      <c r="AA29" s="295">
        <v>0.78186111111111101</v>
      </c>
      <c r="AB29" s="295">
        <v>0.79372222222222211</v>
      </c>
      <c r="AC29" s="339">
        <v>0.80519444444444443</v>
      </c>
      <c r="AD29" s="301"/>
    </row>
    <row r="30" spans="2:30" x14ac:dyDescent="0.35">
      <c r="B30" s="340" t="s">
        <v>338</v>
      </c>
      <c r="C30" s="145" t="s">
        <v>339</v>
      </c>
      <c r="D30" s="310">
        <v>0</v>
      </c>
      <c r="E30" s="151">
        <v>0</v>
      </c>
      <c r="F30" s="151">
        <v>0</v>
      </c>
      <c r="G30" s="151">
        <v>0</v>
      </c>
      <c r="H30" s="151">
        <v>0</v>
      </c>
      <c r="I30" s="151">
        <v>0</v>
      </c>
      <c r="J30" s="151">
        <v>74.400000000000006</v>
      </c>
      <c r="K30" s="151">
        <v>138.30000000000001</v>
      </c>
      <c r="L30" s="151">
        <v>106.8</v>
      </c>
      <c r="M30" s="151">
        <v>95.3</v>
      </c>
      <c r="N30" s="151">
        <v>82.1</v>
      </c>
      <c r="O30" s="151">
        <v>50</v>
      </c>
      <c r="P30" s="151">
        <v>2.4</v>
      </c>
      <c r="Q30" s="151">
        <v>0.9</v>
      </c>
      <c r="R30" s="319">
        <v>0.5</v>
      </c>
      <c r="S30" s="295">
        <v>0.51666666666666672</v>
      </c>
      <c r="T30" s="295">
        <v>0.50694444444444442</v>
      </c>
      <c r="U30" s="295">
        <v>0.49722222222222223</v>
      </c>
      <c r="V30" s="295">
        <v>0.48888888888888893</v>
      </c>
      <c r="W30" s="295">
        <v>0.49041666666666672</v>
      </c>
      <c r="X30" s="295">
        <v>0.49319444444444449</v>
      </c>
      <c r="Y30" s="295">
        <v>0.50305555555555559</v>
      </c>
      <c r="Z30" s="295">
        <v>0.55166666666666675</v>
      </c>
      <c r="AA30" s="295">
        <v>0.55847222222222226</v>
      </c>
      <c r="AB30" s="295">
        <v>0.56694444444444447</v>
      </c>
      <c r="AC30" s="339">
        <v>0.57513888888888898</v>
      </c>
      <c r="AD30" s="301"/>
    </row>
    <row r="31" spans="2:30" ht="28.5" customHeight="1" x14ac:dyDescent="0.35">
      <c r="B31" s="340" t="s">
        <v>340</v>
      </c>
      <c r="C31" s="145" t="s">
        <v>341</v>
      </c>
      <c r="D31" s="310">
        <v>0</v>
      </c>
      <c r="E31" s="151">
        <v>0</v>
      </c>
      <c r="F31" s="151">
        <v>0</v>
      </c>
      <c r="G31" s="151">
        <v>0</v>
      </c>
      <c r="H31" s="151">
        <v>0</v>
      </c>
      <c r="I31" s="151">
        <v>0</v>
      </c>
      <c r="J31" s="151">
        <v>698.9</v>
      </c>
      <c r="K31" s="151">
        <v>413.9</v>
      </c>
      <c r="L31" s="151">
        <v>14.7</v>
      </c>
      <c r="M31" s="151">
        <v>286.89999999999998</v>
      </c>
      <c r="N31" s="151">
        <v>237.2</v>
      </c>
      <c r="O31" s="151">
        <v>113.2</v>
      </c>
      <c r="P31" s="151">
        <v>0</v>
      </c>
      <c r="Q31" s="151">
        <v>0</v>
      </c>
      <c r="R31" s="319">
        <v>0</v>
      </c>
      <c r="S31" s="295">
        <v>0</v>
      </c>
      <c r="T31" s="295">
        <v>0</v>
      </c>
      <c r="U31" s="295">
        <v>0</v>
      </c>
      <c r="V31" s="295">
        <v>0</v>
      </c>
      <c r="W31" s="295">
        <v>0</v>
      </c>
      <c r="X31" s="295">
        <v>0</v>
      </c>
      <c r="Y31" s="295">
        <v>0</v>
      </c>
      <c r="Z31" s="295">
        <v>0</v>
      </c>
      <c r="AA31" s="295">
        <v>0</v>
      </c>
      <c r="AB31" s="295">
        <v>0</v>
      </c>
      <c r="AC31" s="339">
        <v>0</v>
      </c>
      <c r="AD31" s="301"/>
    </row>
    <row r="32" spans="2:30" x14ac:dyDescent="0.35">
      <c r="B32" s="341" t="s">
        <v>158</v>
      </c>
      <c r="C32" s="156" t="s">
        <v>342</v>
      </c>
      <c r="D32" s="312">
        <v>0</v>
      </c>
      <c r="E32" s="144">
        <v>0</v>
      </c>
      <c r="F32" s="144">
        <v>0</v>
      </c>
      <c r="G32" s="144">
        <v>0</v>
      </c>
      <c r="H32" s="144">
        <v>0</v>
      </c>
      <c r="I32" s="144">
        <v>0</v>
      </c>
      <c r="J32" s="144">
        <v>0</v>
      </c>
      <c r="K32" s="144">
        <v>106.2</v>
      </c>
      <c r="L32" s="144">
        <v>35.9</v>
      </c>
      <c r="M32" s="144">
        <v>1.6</v>
      </c>
      <c r="N32" s="144">
        <v>0.6</v>
      </c>
      <c r="O32" s="144">
        <v>0.1</v>
      </c>
      <c r="P32" s="144">
        <v>0</v>
      </c>
      <c r="Q32" s="151">
        <v>0</v>
      </c>
      <c r="R32" s="319">
        <v>0</v>
      </c>
      <c r="S32" s="295"/>
      <c r="T32" s="295"/>
      <c r="U32" s="295"/>
      <c r="V32" s="295"/>
      <c r="W32" s="295"/>
      <c r="X32" s="295"/>
      <c r="Y32" s="295"/>
      <c r="Z32" s="295"/>
      <c r="AA32" s="295"/>
      <c r="AB32" s="295"/>
      <c r="AC32" s="339"/>
      <c r="AD32" s="301"/>
    </row>
    <row r="33" spans="1:30" ht="29.25" customHeight="1" x14ac:dyDescent="0.35">
      <c r="B33" s="342" t="s">
        <v>343</v>
      </c>
      <c r="C33" s="307"/>
      <c r="D33" s="278">
        <v>0</v>
      </c>
      <c r="E33" s="279">
        <v>0</v>
      </c>
      <c r="F33" s="279">
        <v>0</v>
      </c>
      <c r="G33" s="279">
        <v>0</v>
      </c>
      <c r="H33" s="279">
        <v>0</v>
      </c>
      <c r="I33" s="279">
        <v>0</v>
      </c>
      <c r="J33" s="279">
        <v>779.80000000000007</v>
      </c>
      <c r="K33" s="279">
        <v>586.29999999999995</v>
      </c>
      <c r="L33" s="279">
        <v>229.4</v>
      </c>
      <c r="M33" s="279">
        <v>530</v>
      </c>
      <c r="N33" s="280">
        <v>435.4</v>
      </c>
      <c r="O33" s="280">
        <v>236.1</v>
      </c>
      <c r="P33" s="280">
        <v>10.5</v>
      </c>
      <c r="Q33" s="280">
        <v>0.69999999999999929</v>
      </c>
      <c r="R33" s="320">
        <v>2.1999999999999993</v>
      </c>
      <c r="S33" s="281">
        <v>0</v>
      </c>
      <c r="T33" s="281">
        <v>0</v>
      </c>
      <c r="U33" s="281">
        <v>0</v>
      </c>
      <c r="V33" s="281">
        <v>0</v>
      </c>
      <c r="W33" s="281">
        <v>0</v>
      </c>
      <c r="X33" s="281">
        <v>0</v>
      </c>
      <c r="Y33" s="281">
        <v>0</v>
      </c>
      <c r="Z33" s="281">
        <v>0</v>
      </c>
      <c r="AA33" s="281">
        <v>0</v>
      </c>
      <c r="AB33" s="281">
        <v>0</v>
      </c>
      <c r="AC33" s="343">
        <v>0</v>
      </c>
      <c r="AD33" s="301"/>
    </row>
    <row r="34" spans="1:30" x14ac:dyDescent="0.35">
      <c r="B34" s="342" t="s">
        <v>344</v>
      </c>
      <c r="C34" s="307"/>
      <c r="D34" s="278">
        <v>27.1</v>
      </c>
      <c r="E34" s="279">
        <v>28.4</v>
      </c>
      <c r="F34" s="279">
        <v>27.8</v>
      </c>
      <c r="G34" s="279">
        <v>27.4</v>
      </c>
      <c r="H34" s="279">
        <v>26.8</v>
      </c>
      <c r="I34" s="279">
        <v>39.5</v>
      </c>
      <c r="J34" s="279">
        <v>259.60000000000002</v>
      </c>
      <c r="K34" s="279">
        <v>181.49999999999994</v>
      </c>
      <c r="L34" s="279">
        <v>70.499999999999972</v>
      </c>
      <c r="M34" s="279">
        <v>35.799999999999955</v>
      </c>
      <c r="N34" s="280">
        <v>45</v>
      </c>
      <c r="O34" s="280">
        <v>36.200000000000017</v>
      </c>
      <c r="P34" s="280">
        <v>27.200000000000003</v>
      </c>
      <c r="Q34" s="151">
        <v>24.400000000000002</v>
      </c>
      <c r="R34" s="319">
        <v>17.8</v>
      </c>
      <c r="S34" s="281">
        <v>18.393333333333334</v>
      </c>
      <c r="T34" s="281">
        <v>18.047222222222221</v>
      </c>
      <c r="U34" s="281">
        <v>17.701111111111111</v>
      </c>
      <c r="V34" s="281">
        <v>17.404444444444444</v>
      </c>
      <c r="W34" s="281">
        <v>17.458833333333331</v>
      </c>
      <c r="X34" s="281">
        <v>17.557722222222221</v>
      </c>
      <c r="Y34" s="281">
        <v>17.908777777777775</v>
      </c>
      <c r="Z34" s="281">
        <v>19.639333333333333</v>
      </c>
      <c r="AA34" s="281">
        <v>19.881611111111109</v>
      </c>
      <c r="AB34" s="281">
        <v>20.18322222222222</v>
      </c>
      <c r="AC34" s="343">
        <v>20.474944444444443</v>
      </c>
      <c r="AD34" s="301"/>
    </row>
    <row r="35" spans="1:30" x14ac:dyDescent="0.35">
      <c r="B35" s="341"/>
      <c r="C35" s="290"/>
      <c r="D35" s="310"/>
      <c r="E35" s="151"/>
      <c r="F35" s="151"/>
      <c r="G35" s="151"/>
      <c r="H35" s="149"/>
      <c r="I35" s="149"/>
      <c r="J35" s="149"/>
      <c r="K35" s="149"/>
      <c r="L35" s="149"/>
      <c r="M35" s="149"/>
      <c r="N35" s="149"/>
      <c r="O35" s="149"/>
      <c r="P35" s="149"/>
      <c r="Q35" s="149"/>
      <c r="R35" s="149"/>
      <c r="S35" s="316"/>
      <c r="T35" s="292"/>
      <c r="U35" s="292"/>
      <c r="V35" s="292"/>
      <c r="W35" s="292"/>
      <c r="X35" s="292"/>
      <c r="Y35" s="292"/>
      <c r="Z35" s="292"/>
      <c r="AA35" s="292"/>
      <c r="AB35" s="292"/>
      <c r="AC35" s="344"/>
      <c r="AD35" s="301"/>
    </row>
    <row r="36" spans="1:30" ht="15.75" customHeight="1" x14ac:dyDescent="0.35">
      <c r="B36" s="265" t="s">
        <v>346</v>
      </c>
      <c r="C36" s="266"/>
      <c r="D36" s="267"/>
      <c r="E36" s="268"/>
      <c r="F36" s="268"/>
      <c r="G36" s="268"/>
      <c r="H36" s="269"/>
      <c r="I36" s="269"/>
      <c r="J36" s="269"/>
      <c r="K36" s="269"/>
      <c r="L36" s="269"/>
      <c r="M36" s="269">
        <v>6.166666666666667</v>
      </c>
      <c r="N36" s="269">
        <v>5.7666666666666657</v>
      </c>
      <c r="O36" s="269">
        <v>5.1333333333333337</v>
      </c>
      <c r="P36" s="269">
        <v>4.2333333333333334</v>
      </c>
      <c r="Q36" s="269">
        <v>3.8000000000000003</v>
      </c>
      <c r="R36" s="270">
        <v>3.6</v>
      </c>
      <c r="S36" s="271">
        <v>3.72</v>
      </c>
      <c r="T36" s="272">
        <v>3.65</v>
      </c>
      <c r="U36" s="272">
        <v>3.58</v>
      </c>
      <c r="V36" s="272">
        <v>3.52</v>
      </c>
      <c r="W36" s="272">
        <v>3.5310000000000001</v>
      </c>
      <c r="X36" s="272">
        <v>3.5510000000000002</v>
      </c>
      <c r="Y36" s="272">
        <v>3.6219999999999999</v>
      </c>
      <c r="Z36" s="272">
        <v>3.972</v>
      </c>
      <c r="AA36" s="272">
        <v>4.0209999999999999</v>
      </c>
      <c r="AB36" s="272">
        <v>4.0819999999999999</v>
      </c>
      <c r="AC36" s="273">
        <v>4.141</v>
      </c>
      <c r="AD36" s="301"/>
    </row>
    <row r="37" spans="1:30" x14ac:dyDescent="0.35">
      <c r="C37" s="156"/>
      <c r="D37" s="144"/>
      <c r="E37" s="144"/>
      <c r="F37" s="144"/>
      <c r="G37" s="144"/>
      <c r="H37" s="149"/>
      <c r="I37" s="149"/>
      <c r="J37" s="149"/>
      <c r="K37" s="149"/>
      <c r="L37" s="149"/>
      <c r="M37" s="149"/>
      <c r="N37" s="149"/>
      <c r="O37" s="149"/>
      <c r="P37" s="149"/>
      <c r="AD37" s="301"/>
    </row>
    <row r="38" spans="1:30" x14ac:dyDescent="0.35">
      <c r="C38" s="156"/>
      <c r="D38" s="144"/>
      <c r="E38" s="144"/>
      <c r="F38" s="144"/>
      <c r="G38" s="144"/>
      <c r="H38" s="149"/>
      <c r="I38" s="149"/>
      <c r="J38" s="149"/>
      <c r="K38" s="149"/>
      <c r="L38" s="149"/>
      <c r="M38" s="149"/>
      <c r="N38" s="149"/>
      <c r="O38" s="149"/>
      <c r="P38" s="149"/>
      <c r="AD38" s="301"/>
    </row>
    <row r="39" spans="1:30" x14ac:dyDescent="0.35">
      <c r="C39" s="156"/>
      <c r="D39" s="144"/>
      <c r="E39" s="144"/>
      <c r="F39" s="144"/>
      <c r="G39" s="144"/>
      <c r="H39" s="149"/>
      <c r="I39" s="149"/>
      <c r="J39" s="149"/>
      <c r="K39" s="149"/>
      <c r="L39" s="149"/>
      <c r="M39" s="149"/>
      <c r="N39" s="149"/>
      <c r="O39" s="149"/>
      <c r="P39" s="149"/>
      <c r="AD39" s="301"/>
    </row>
    <row r="40" spans="1:30" x14ac:dyDescent="0.35">
      <c r="C40" s="156"/>
      <c r="D40" s="144"/>
      <c r="E40" s="144"/>
      <c r="F40" s="144"/>
      <c r="G40" s="144"/>
      <c r="H40" s="149"/>
      <c r="I40" s="149"/>
      <c r="J40" s="149"/>
      <c r="K40" s="149"/>
      <c r="L40" s="149"/>
      <c r="M40" s="149"/>
      <c r="N40" s="149"/>
      <c r="O40" s="149"/>
      <c r="P40" s="149"/>
      <c r="AD40" s="301"/>
    </row>
    <row r="41" spans="1:30" x14ac:dyDescent="0.35">
      <c r="M41" s="301"/>
      <c r="N41" s="301"/>
      <c r="O41" s="301"/>
    </row>
    <row r="42" spans="1:30" x14ac:dyDescent="0.35">
      <c r="M42" s="156"/>
      <c r="N42" s="156"/>
      <c r="O42" s="156"/>
    </row>
    <row r="43" spans="1:30" x14ac:dyDescent="0.35">
      <c r="M43" s="156"/>
      <c r="N43" s="156"/>
      <c r="O43" s="156"/>
    </row>
    <row r="44" spans="1:30" ht="30.75" customHeight="1" x14ac:dyDescent="0.35">
      <c r="B44" s="323" t="s">
        <v>348</v>
      </c>
      <c r="C44" s="330" t="s">
        <v>349</v>
      </c>
      <c r="D44" s="324" t="s">
        <v>350</v>
      </c>
      <c r="M44" s="156"/>
      <c r="N44" s="156"/>
      <c r="O44" s="156"/>
    </row>
    <row r="45" spans="1:30" x14ac:dyDescent="0.35">
      <c r="A45" s="36"/>
      <c r="B45" s="325">
        <v>44197</v>
      </c>
      <c r="C45" s="327">
        <v>6.3</v>
      </c>
      <c r="D45" s="326">
        <f>AVERAGE(C45:C47)</f>
        <v>6.166666666666667</v>
      </c>
      <c r="E45" s="36"/>
      <c r="M45" s="156"/>
      <c r="N45" s="156"/>
      <c r="O45" s="156"/>
    </row>
    <row r="46" spans="1:30" x14ac:dyDescent="0.35">
      <c r="A46" s="36"/>
      <c r="B46" s="325">
        <v>44228</v>
      </c>
      <c r="C46" s="327">
        <v>6.2</v>
      </c>
      <c r="D46" s="326"/>
      <c r="E46" s="36"/>
      <c r="M46" s="156"/>
      <c r="N46" s="156"/>
      <c r="O46" s="156"/>
    </row>
    <row r="47" spans="1:30" x14ac:dyDescent="0.35">
      <c r="A47" s="36"/>
      <c r="B47" s="325">
        <v>44256</v>
      </c>
      <c r="C47" s="327">
        <v>6</v>
      </c>
      <c r="D47" s="326"/>
      <c r="E47" s="36"/>
      <c r="M47" s="156"/>
      <c r="N47" s="156"/>
      <c r="O47" s="156"/>
    </row>
    <row r="48" spans="1:30" x14ac:dyDescent="0.35">
      <c r="A48" s="36"/>
      <c r="B48" s="325">
        <v>44287</v>
      </c>
      <c r="C48" s="327">
        <v>6.1</v>
      </c>
      <c r="D48" s="326">
        <f>AVERAGE(C48:C50)</f>
        <v>5.7666666666666657</v>
      </c>
      <c r="E48" s="36"/>
      <c r="M48" s="156"/>
      <c r="N48" s="156"/>
      <c r="O48" s="156"/>
    </row>
    <row r="49" spans="1:38" x14ac:dyDescent="0.35">
      <c r="A49" s="36"/>
      <c r="B49" s="325">
        <v>44317</v>
      </c>
      <c r="C49" s="327">
        <v>5.8</v>
      </c>
      <c r="D49" s="326"/>
      <c r="E49" s="36"/>
      <c r="M49" s="156"/>
      <c r="N49" s="156"/>
      <c r="O49" s="156"/>
    </row>
    <row r="50" spans="1:38" x14ac:dyDescent="0.35">
      <c r="A50" s="36"/>
      <c r="B50" s="325">
        <v>44348</v>
      </c>
      <c r="C50" s="327">
        <v>5.4</v>
      </c>
      <c r="D50" s="326"/>
      <c r="E50" s="36"/>
      <c r="M50" s="156"/>
      <c r="N50" s="156"/>
      <c r="O50" s="156"/>
    </row>
    <row r="51" spans="1:38" x14ac:dyDescent="0.35">
      <c r="A51" s="36"/>
      <c r="B51" s="325">
        <v>44378</v>
      </c>
      <c r="C51" s="327">
        <v>5.4</v>
      </c>
      <c r="D51" s="326">
        <f>AVERAGE(C51:C53)</f>
        <v>5.1333333333333337</v>
      </c>
      <c r="E51" s="156" t="s">
        <v>351</v>
      </c>
      <c r="M51" s="156"/>
      <c r="N51" s="156"/>
      <c r="O51" s="156"/>
    </row>
    <row r="52" spans="1:38" x14ac:dyDescent="0.35">
      <c r="A52" s="36"/>
      <c r="B52" s="325">
        <v>44409</v>
      </c>
      <c r="C52" s="327">
        <v>5.2</v>
      </c>
      <c r="D52" s="326"/>
      <c r="E52" s="36"/>
      <c r="M52" s="156"/>
      <c r="N52" s="156"/>
      <c r="O52" s="156"/>
    </row>
    <row r="53" spans="1:38" x14ac:dyDescent="0.35">
      <c r="A53" s="36"/>
      <c r="B53" s="325">
        <v>44440</v>
      </c>
      <c r="C53" s="327">
        <v>4.8</v>
      </c>
      <c r="D53" s="326"/>
      <c r="E53" s="36"/>
      <c r="M53" s="156"/>
      <c r="N53" s="156"/>
      <c r="O53" s="156"/>
    </row>
    <row r="54" spans="1:38" x14ac:dyDescent="0.35">
      <c r="A54" s="36"/>
      <c r="B54" s="325">
        <v>44470</v>
      </c>
      <c r="C54" s="327">
        <v>4.5999999999999996</v>
      </c>
      <c r="D54" s="326">
        <f>AVERAGE(C54:C56)</f>
        <v>4.2333333333333334</v>
      </c>
      <c r="E54" s="36"/>
      <c r="M54" s="156"/>
      <c r="N54" s="156"/>
      <c r="O54" s="156"/>
    </row>
    <row r="55" spans="1:38" x14ac:dyDescent="0.35">
      <c r="A55" s="36"/>
      <c r="B55" s="325">
        <v>44501</v>
      </c>
      <c r="C55" s="327">
        <v>4.2</v>
      </c>
      <c r="D55" s="326"/>
      <c r="E55" s="36"/>
      <c r="M55" s="156"/>
      <c r="N55" s="156"/>
      <c r="O55" s="156"/>
      <c r="AD55" s="156"/>
      <c r="AE55" s="156"/>
      <c r="AF55" s="156"/>
      <c r="AG55" s="156"/>
      <c r="AH55" s="156"/>
      <c r="AI55" s="156"/>
      <c r="AJ55" s="156"/>
      <c r="AK55" s="156"/>
      <c r="AL55" s="156"/>
    </row>
    <row r="56" spans="1:38" x14ac:dyDescent="0.35">
      <c r="A56" s="36"/>
      <c r="B56" s="325">
        <v>44531</v>
      </c>
      <c r="C56" s="327">
        <v>3.9</v>
      </c>
      <c r="D56" s="326"/>
      <c r="E56" s="36"/>
      <c r="M56" s="156"/>
      <c r="N56" s="156"/>
      <c r="O56" s="156"/>
      <c r="AD56" s="156"/>
      <c r="AE56" s="156"/>
      <c r="AF56" s="156"/>
      <c r="AG56" s="156"/>
      <c r="AH56" s="156"/>
      <c r="AI56" s="156"/>
      <c r="AJ56" s="156"/>
      <c r="AK56" s="156"/>
      <c r="AL56" s="156"/>
    </row>
    <row r="57" spans="1:38" x14ac:dyDescent="0.35">
      <c r="A57" s="36"/>
      <c r="B57" s="325">
        <v>44562</v>
      </c>
      <c r="C57" s="327">
        <v>4</v>
      </c>
      <c r="D57" s="327">
        <f>AVERAGE(C57:C59)</f>
        <v>3.8000000000000003</v>
      </c>
      <c r="E57" s="36"/>
      <c r="M57" s="156"/>
      <c r="N57" s="156"/>
      <c r="O57" s="156"/>
    </row>
    <row r="58" spans="1:38" x14ac:dyDescent="0.35">
      <c r="A58" s="36"/>
      <c r="B58" s="325">
        <v>44593</v>
      </c>
      <c r="C58" s="327">
        <v>3.8</v>
      </c>
      <c r="D58" s="327"/>
      <c r="E58" s="36"/>
    </row>
    <row r="59" spans="1:38" x14ac:dyDescent="0.35">
      <c r="A59" s="36"/>
      <c r="B59" s="325">
        <v>44621</v>
      </c>
      <c r="C59" s="327">
        <v>3.6</v>
      </c>
      <c r="D59" s="327"/>
      <c r="E59" s="36"/>
    </row>
    <row r="60" spans="1:38" x14ac:dyDescent="0.35">
      <c r="A60" s="36"/>
      <c r="B60" s="325">
        <v>44652</v>
      </c>
      <c r="C60" s="327">
        <v>3.6</v>
      </c>
      <c r="D60" s="327">
        <f>AVERAGE(C60:C62)</f>
        <v>3.6</v>
      </c>
      <c r="E60" s="36"/>
    </row>
    <row r="61" spans="1:38" x14ac:dyDescent="0.35">
      <c r="A61" s="36"/>
      <c r="B61" s="325">
        <v>44682</v>
      </c>
      <c r="C61" s="327">
        <v>3.6</v>
      </c>
      <c r="D61" s="327"/>
      <c r="E61" s="36"/>
    </row>
    <row r="62" spans="1:38" x14ac:dyDescent="0.35">
      <c r="A62" s="36"/>
      <c r="B62" s="325">
        <v>44713</v>
      </c>
      <c r="C62" s="327">
        <v>3.6</v>
      </c>
      <c r="D62" s="327"/>
      <c r="E62" s="36"/>
    </row>
    <row r="63" spans="1:38" x14ac:dyDescent="0.35">
      <c r="A63" s="36"/>
      <c r="B63" s="325">
        <v>44743</v>
      </c>
      <c r="C63" s="327"/>
      <c r="D63" s="327" t="e">
        <f>AVERAGE(C63:C65)</f>
        <v>#DIV/0!</v>
      </c>
      <c r="E63" s="36"/>
    </row>
    <row r="64" spans="1:38" x14ac:dyDescent="0.35">
      <c r="A64" s="36"/>
      <c r="B64" s="325">
        <v>44774</v>
      </c>
      <c r="C64" s="327"/>
      <c r="D64" s="327"/>
      <c r="E64" s="36"/>
    </row>
    <row r="65" spans="2:4" x14ac:dyDescent="0.35">
      <c r="B65" s="325">
        <v>44805</v>
      </c>
      <c r="C65" s="327"/>
      <c r="D65" s="327"/>
    </row>
    <row r="66" spans="2:4" x14ac:dyDescent="0.35">
      <c r="B66" s="325">
        <v>44835</v>
      </c>
      <c r="C66" s="327"/>
      <c r="D66" s="327" t="e">
        <f>AVERAGE(C66:C68)</f>
        <v>#DIV/0!</v>
      </c>
    </row>
    <row r="67" spans="2:4" x14ac:dyDescent="0.35">
      <c r="B67" s="325">
        <v>44866</v>
      </c>
      <c r="C67" s="327"/>
      <c r="D67" s="327"/>
    </row>
    <row r="68" spans="2:4" x14ac:dyDescent="0.35">
      <c r="B68" s="328">
        <v>44896</v>
      </c>
      <c r="C68" s="329"/>
      <c r="D68" s="329"/>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44"/>
  <sheetViews>
    <sheetView topLeftCell="A94" zoomScale="89" zoomScaleNormal="89" workbookViewId="0">
      <selection activeCell="M108" sqref="M108"/>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7265625" customWidth="1"/>
    <col min="20" max="29" width="8.1796875" customWidth="1"/>
    <col min="30" max="30" width="29.453125" customWidth="1"/>
    <col min="31" max="31" width="31.1796875" customWidth="1"/>
    <col min="32" max="32" width="114.7265625" customWidth="1"/>
  </cols>
  <sheetData>
    <row r="1" spans="2:34" x14ac:dyDescent="0.35">
      <c r="B1" s="1243" t="s">
        <v>192</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46"/>
      <c r="AA1" s="146"/>
      <c r="AB1" s="146"/>
      <c r="AC1" s="146"/>
      <c r="AD1" s="142"/>
      <c r="AE1" s="142"/>
    </row>
    <row r="2" spans="2:34" ht="14.25" customHeight="1" x14ac:dyDescent="0.35">
      <c r="B2" s="1275" t="s">
        <v>380</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c r="AD2" s="274"/>
      <c r="AE2" s="274"/>
    </row>
    <row r="3" spans="2:34" ht="50.65" customHeight="1"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c r="AD3" s="274"/>
      <c r="AE3" s="274"/>
    </row>
    <row r="4" spans="2:34" ht="5.25" customHeight="1"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c r="AD4" s="274"/>
      <c r="AE4" s="274"/>
    </row>
    <row r="5" spans="2:34" x14ac:dyDescent="0.35">
      <c r="B5" s="426" t="s">
        <v>381</v>
      </c>
    </row>
    <row r="6" spans="2:34" ht="14.65" customHeight="1" x14ac:dyDescent="0.35">
      <c r="B6" s="1276" t="s">
        <v>382</v>
      </c>
      <c r="C6" s="1256"/>
      <c r="D6" s="1253" t="s">
        <v>325</v>
      </c>
      <c r="E6" s="1254"/>
      <c r="F6" s="1254"/>
      <c r="G6" s="1254"/>
      <c r="H6" s="1254"/>
      <c r="I6" s="1254"/>
      <c r="J6" s="1254"/>
      <c r="K6" s="1254"/>
      <c r="L6" s="1254"/>
      <c r="M6" s="1254"/>
      <c r="N6" s="1254"/>
      <c r="O6" s="1254"/>
      <c r="P6" s="1254"/>
      <c r="Q6" s="1254"/>
      <c r="R6" s="1284"/>
      <c r="S6" s="1286" t="s">
        <v>326</v>
      </c>
      <c r="T6" s="1286"/>
      <c r="U6" s="1286"/>
      <c r="V6" s="1286"/>
      <c r="W6" s="1286"/>
      <c r="X6" s="1286"/>
      <c r="Y6" s="1286"/>
      <c r="Z6" s="1286"/>
      <c r="AA6" s="1286"/>
      <c r="AB6" s="1286"/>
      <c r="AC6" s="1287"/>
      <c r="AD6" s="1293" t="s">
        <v>383</v>
      </c>
      <c r="AE6" s="1296" t="s">
        <v>384</v>
      </c>
    </row>
    <row r="7" spans="2:34" ht="24" customHeight="1" x14ac:dyDescent="0.35">
      <c r="B7" s="1277"/>
      <c r="C7" s="1278"/>
      <c r="D7" s="154">
        <v>2018</v>
      </c>
      <c r="E7" s="1291">
        <v>2019</v>
      </c>
      <c r="F7" s="1292"/>
      <c r="G7" s="1292"/>
      <c r="H7" s="1299"/>
      <c r="I7" s="1291">
        <v>2020</v>
      </c>
      <c r="J7" s="1292"/>
      <c r="K7" s="1292"/>
      <c r="L7" s="1292"/>
      <c r="M7" s="1291">
        <v>2021</v>
      </c>
      <c r="N7" s="1292"/>
      <c r="O7" s="1292"/>
      <c r="P7" s="1299"/>
      <c r="Q7" s="1282">
        <v>2022</v>
      </c>
      <c r="R7" s="1283"/>
      <c r="S7" s="317"/>
      <c r="T7" s="318"/>
      <c r="U7" s="1279">
        <v>2023</v>
      </c>
      <c r="V7" s="1280"/>
      <c r="W7" s="1280"/>
      <c r="X7" s="1280"/>
      <c r="Y7" s="1279">
        <v>2024</v>
      </c>
      <c r="Z7" s="1280"/>
      <c r="AA7" s="1280"/>
      <c r="AB7" s="1281"/>
      <c r="AC7" s="285">
        <v>2025</v>
      </c>
      <c r="AD7" s="1294"/>
      <c r="AE7" s="1297"/>
    </row>
    <row r="8" spans="2:34" ht="14.25" customHeight="1" x14ac:dyDescent="0.35">
      <c r="B8" s="1289"/>
      <c r="C8" s="1290"/>
      <c r="D8" s="154" t="s">
        <v>327</v>
      </c>
      <c r="E8" s="154" t="s">
        <v>328</v>
      </c>
      <c r="F8" s="153" t="s">
        <v>329</v>
      </c>
      <c r="G8" s="153" t="s">
        <v>238</v>
      </c>
      <c r="H8" s="224" t="s">
        <v>327</v>
      </c>
      <c r="I8" s="153" t="s">
        <v>328</v>
      </c>
      <c r="J8" s="153" t="s">
        <v>329</v>
      </c>
      <c r="K8" s="153" t="s">
        <v>238</v>
      </c>
      <c r="L8" s="153" t="s">
        <v>327</v>
      </c>
      <c r="M8" s="175" t="s">
        <v>328</v>
      </c>
      <c r="N8" s="177" t="s">
        <v>329</v>
      </c>
      <c r="O8" s="177" t="s">
        <v>238</v>
      </c>
      <c r="P8" s="157" t="s">
        <v>327</v>
      </c>
      <c r="Q8" s="175" t="s">
        <v>328</v>
      </c>
      <c r="R8" s="157" t="s">
        <v>329</v>
      </c>
      <c r="S8" s="303" t="s">
        <v>238</v>
      </c>
      <c r="T8" s="303" t="s">
        <v>327</v>
      </c>
      <c r="U8" s="428" t="s">
        <v>328</v>
      </c>
      <c r="V8" s="429" t="s">
        <v>329</v>
      </c>
      <c r="W8" s="429" t="s">
        <v>238</v>
      </c>
      <c r="X8" s="429" t="s">
        <v>327</v>
      </c>
      <c r="Y8" s="428" t="s">
        <v>328</v>
      </c>
      <c r="Z8" s="295" t="s">
        <v>329</v>
      </c>
      <c r="AA8" s="429" t="s">
        <v>238</v>
      </c>
      <c r="AB8" s="443" t="s">
        <v>327</v>
      </c>
      <c r="AC8" s="458" t="s">
        <v>328</v>
      </c>
      <c r="AD8" s="1295"/>
      <c r="AE8" s="1298"/>
    </row>
    <row r="9" spans="2:34" ht="23.65" customHeight="1" x14ac:dyDescent="0.35">
      <c r="B9" s="437" t="s">
        <v>385</v>
      </c>
      <c r="C9" s="463" t="s">
        <v>386</v>
      </c>
      <c r="D9" s="407">
        <f>'Haver Pivoted'!GO32</f>
        <v>587.79999999999995</v>
      </c>
      <c r="E9" s="408">
        <f>'Haver Pivoted'!GP32</f>
        <v>592.4</v>
      </c>
      <c r="F9" s="408">
        <f>'Haver Pivoted'!GQ32</f>
        <v>615.5</v>
      </c>
      <c r="G9" s="408">
        <f>'Haver Pivoted'!GR32</f>
        <v>610.4</v>
      </c>
      <c r="H9" s="408">
        <f>'Haver Pivoted'!GS32</f>
        <v>617.5</v>
      </c>
      <c r="I9" s="408">
        <f>'Haver Pivoted'!GT32</f>
        <v>638.6</v>
      </c>
      <c r="J9" s="408">
        <f>'Haver Pivoted'!GU32</f>
        <v>1395</v>
      </c>
      <c r="K9" s="408">
        <f>'Haver Pivoted'!GV32</f>
        <v>737.1</v>
      </c>
      <c r="L9" s="408">
        <f>'Haver Pivoted'!GW32</f>
        <v>744.8</v>
      </c>
      <c r="M9" s="408">
        <f>'Haver Pivoted'!GX32</f>
        <v>785.1</v>
      </c>
      <c r="N9" s="408">
        <f>'Haver Pivoted'!GY32</f>
        <v>1653.7</v>
      </c>
      <c r="O9" s="408">
        <f>'Haver Pivoted'!GZ32</f>
        <v>1085</v>
      </c>
      <c r="P9" s="408">
        <f>'Haver Pivoted'!HA32</f>
        <v>924.7</v>
      </c>
      <c r="Q9" s="408">
        <f>'Haver Pivoted'!HB32</f>
        <v>940</v>
      </c>
      <c r="R9" s="486">
        <f>'Haver Pivoted'!HC32</f>
        <v>960.5</v>
      </c>
      <c r="S9" s="309">
        <f t="shared" ref="S9:AC9" si="0">S10+S11</f>
        <v>972.93725820642055</v>
      </c>
      <c r="T9" s="309">
        <f t="shared" si="0"/>
        <v>1001.8410430150573</v>
      </c>
      <c r="U9" s="309">
        <f t="shared" si="0"/>
        <v>1007.8692197938849</v>
      </c>
      <c r="V9" s="309">
        <f t="shared" si="0"/>
        <v>1024.2144755113422</v>
      </c>
      <c r="W9" s="309">
        <f t="shared" si="0"/>
        <v>996.9529795454248</v>
      </c>
      <c r="X9" s="309">
        <f t="shared" si="0"/>
        <v>967.4597088576968</v>
      </c>
      <c r="Y9" s="309">
        <f t="shared" si="0"/>
        <v>938.79914333504678</v>
      </c>
      <c r="Z9" s="309">
        <f t="shared" si="0"/>
        <v>916.2350831655915</v>
      </c>
      <c r="AA9" s="309">
        <f t="shared" si="0"/>
        <v>912.76706066679628</v>
      </c>
      <c r="AB9" s="309">
        <f t="shared" si="0"/>
        <v>891.46674260817281</v>
      </c>
      <c r="AC9" s="283">
        <f t="shared" si="0"/>
        <v>888.23279101800404</v>
      </c>
      <c r="AD9" s="412"/>
      <c r="AE9" s="468"/>
    </row>
    <row r="10" spans="2:34" ht="27.65" customHeight="1" x14ac:dyDescent="0.35">
      <c r="B10" s="475" t="s">
        <v>133</v>
      </c>
      <c r="C10" s="151" t="s">
        <v>387</v>
      </c>
      <c r="D10" s="409">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483">
        <f>'Haver Pivoted'!HC40</f>
        <v>590.13</v>
      </c>
      <c r="S10" s="354">
        <f>Medicaid!S37</f>
        <v>602.51022329975922</v>
      </c>
      <c r="T10" s="354">
        <f>Medicaid!T37</f>
        <v>612.81040771995322</v>
      </c>
      <c r="U10" s="354">
        <f>Medicaid!U37</f>
        <v>626.1563036150128</v>
      </c>
      <c r="V10" s="354">
        <f>Medicaid!V37</f>
        <v>639.79284884467575</v>
      </c>
      <c r="W10" s="354">
        <f>Medicaid!W37</f>
        <v>609.79595236530417</v>
      </c>
      <c r="X10" s="354">
        <f>Medicaid!X37</f>
        <v>602.79832815078862</v>
      </c>
      <c r="Y10" s="354">
        <f>Medicaid!Y37</f>
        <v>596.34819050901979</v>
      </c>
      <c r="Z10" s="354">
        <f>Medicaid!Z37</f>
        <v>589.96707143225831</v>
      </c>
      <c r="AA10" s="354">
        <f>Medicaid!AA37</f>
        <v>583.65423239947074</v>
      </c>
      <c r="AB10" s="354">
        <f>Medicaid!AB37</f>
        <v>573.35706667298837</v>
      </c>
      <c r="AC10" s="461">
        <f>Medicaid!AC37</f>
        <v>567.22196007893604</v>
      </c>
      <c r="AD10" s="398"/>
      <c r="AE10" s="446"/>
    </row>
    <row r="11" spans="2:34" ht="17.25" customHeight="1" x14ac:dyDescent="0.35">
      <c r="B11" s="299" t="s">
        <v>388</v>
      </c>
      <c r="C11" s="151"/>
      <c r="D11" s="409">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O9-O10</f>
        <v>542.14700000000005</v>
      </c>
      <c r="P11" s="68">
        <f>P9-P10</f>
        <v>370.83500000000004</v>
      </c>
      <c r="Q11" s="68">
        <f>Q9-Q10</f>
        <v>347.73299999999995</v>
      </c>
      <c r="R11" s="483">
        <f>R9-R10</f>
        <v>370.37</v>
      </c>
      <c r="S11" s="354">
        <f t="shared" ref="S11:AC11" si="3">SUM(S12:S20)</f>
        <v>370.42703490666133</v>
      </c>
      <c r="T11" s="354">
        <f t="shared" si="3"/>
        <v>389.03063529510399</v>
      </c>
      <c r="U11" s="354">
        <f t="shared" si="3"/>
        <v>381.71291617887215</v>
      </c>
      <c r="V11" s="354">
        <f t="shared" si="3"/>
        <v>384.42162666666655</v>
      </c>
      <c r="W11" s="354">
        <f t="shared" si="3"/>
        <v>387.15702718012068</v>
      </c>
      <c r="X11" s="354">
        <f t="shared" si="3"/>
        <v>364.66138070690812</v>
      </c>
      <c r="Y11" s="354">
        <f t="shared" si="3"/>
        <v>342.45095282602699</v>
      </c>
      <c r="Z11" s="354">
        <f t="shared" si="3"/>
        <v>326.2680117333332</v>
      </c>
      <c r="AA11" s="354">
        <f t="shared" si="3"/>
        <v>329.11282826732554</v>
      </c>
      <c r="AB11" s="354">
        <f t="shared" si="3"/>
        <v>318.10967593518444</v>
      </c>
      <c r="AC11" s="461">
        <f t="shared" si="3"/>
        <v>321.01083093906806</v>
      </c>
      <c r="AD11" s="398"/>
      <c r="AE11" s="446"/>
    </row>
    <row r="12" spans="2:34" ht="16.149999999999999" customHeight="1" x14ac:dyDescent="0.35">
      <c r="B12" s="472" t="s">
        <v>149</v>
      </c>
      <c r="C12" s="51" t="s">
        <v>389</v>
      </c>
      <c r="D12" s="410"/>
      <c r="E12" s="51"/>
      <c r="F12" s="51"/>
      <c r="G12" s="51"/>
      <c r="H12" s="68"/>
      <c r="I12" s="68"/>
      <c r="J12" s="68">
        <f>'Haver Pivoted'!GU56</f>
        <v>597.9</v>
      </c>
      <c r="K12" s="68"/>
      <c r="L12" s="68"/>
      <c r="M12" s="68"/>
      <c r="N12" s="68"/>
      <c r="O12" s="71">
        <v>0</v>
      </c>
      <c r="P12" s="71">
        <v>0</v>
      </c>
      <c r="Q12" s="71">
        <v>0</v>
      </c>
      <c r="R12" s="398">
        <v>0</v>
      </c>
      <c r="S12" s="354">
        <v>0</v>
      </c>
      <c r="T12" s="354">
        <v>0</v>
      </c>
      <c r="U12" s="354">
        <v>0</v>
      </c>
      <c r="V12" s="354">
        <v>0</v>
      </c>
      <c r="W12" s="354">
        <v>0</v>
      </c>
      <c r="X12" s="354">
        <v>0</v>
      </c>
      <c r="Y12" s="354">
        <v>0</v>
      </c>
      <c r="Z12" s="354">
        <v>0</v>
      </c>
      <c r="AA12" s="354">
        <v>0</v>
      </c>
      <c r="AB12" s="354">
        <v>0</v>
      </c>
      <c r="AC12" s="461">
        <v>0</v>
      </c>
      <c r="AD12" s="398">
        <f>SUM(I12:Y12)/4</f>
        <v>149.47499999999999</v>
      </c>
      <c r="AE12" s="446">
        <f>AD48</f>
        <v>150</v>
      </c>
    </row>
    <row r="13" spans="2:34" x14ac:dyDescent="0.35">
      <c r="B13" s="472" t="s">
        <v>150</v>
      </c>
      <c r="C13" s="51" t="s">
        <v>390</v>
      </c>
      <c r="D13" s="410"/>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83">
        <f>'Haver Pivoted'!HC57</f>
        <v>85.9</v>
      </c>
      <c r="S13" s="354">
        <f t="shared" ref="S13:AC13" si="4">S49+S53+S59</f>
        <v>89.123333333333306</v>
      </c>
      <c r="T13" s="354">
        <f t="shared" si="4"/>
        <v>70.92933333333329</v>
      </c>
      <c r="U13" s="354">
        <f t="shared" si="4"/>
        <v>60.929333333333297</v>
      </c>
      <c r="V13" s="354">
        <f t="shared" si="4"/>
        <v>60.929333333333297</v>
      </c>
      <c r="W13" s="354">
        <f t="shared" si="4"/>
        <v>60.929333333333297</v>
      </c>
      <c r="X13" s="354">
        <f t="shared" si="4"/>
        <v>54.244333333333302</v>
      </c>
      <c r="Y13" s="354">
        <f t="shared" si="4"/>
        <v>50.911000000000001</v>
      </c>
      <c r="Z13" s="354">
        <f t="shared" si="4"/>
        <v>31.911000000000001</v>
      </c>
      <c r="AA13" s="354">
        <f t="shared" si="4"/>
        <v>31.911000000000001</v>
      </c>
      <c r="AB13" s="354">
        <f t="shared" si="4"/>
        <v>23.099</v>
      </c>
      <c r="AC13" s="461">
        <f t="shared" si="4"/>
        <v>23.099</v>
      </c>
      <c r="AD13" s="398">
        <f t="shared" ref="AD13:AD19" si="5">SUM(I13:Y13)/4</f>
        <v>232.52399999999994</v>
      </c>
      <c r="AE13" s="446">
        <f>AD49+AD53+AD59</f>
        <v>225.76349999999994</v>
      </c>
      <c r="AF13" s="1198">
        <f>SUM(J13:R13)/4</f>
        <v>120.52500000000001</v>
      </c>
    </row>
    <row r="14" spans="2:34" x14ac:dyDescent="0.35">
      <c r="B14" s="472" t="s">
        <v>152</v>
      </c>
      <c r="C14" s="70" t="s">
        <v>355</v>
      </c>
      <c r="D14" s="411"/>
      <c r="E14" s="70"/>
      <c r="F14" s="70"/>
      <c r="G14" s="70"/>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483">
        <f>'Haver Pivoted'!HC58</f>
        <v>11.2</v>
      </c>
      <c r="S14" s="354">
        <f>'Provider Relief'!S12</f>
        <v>5.4035087719298245</v>
      </c>
      <c r="T14" s="354">
        <f>'Provider Relief'!T12</f>
        <v>0</v>
      </c>
      <c r="U14" s="354">
        <f>'Provider Relief'!U12</f>
        <v>0</v>
      </c>
      <c r="V14" s="354">
        <f>'Provider Relief'!V12</f>
        <v>0</v>
      </c>
      <c r="W14" s="354">
        <f>'Provider Relief'!W12</f>
        <v>0</v>
      </c>
      <c r="X14" s="354">
        <f>'Provider Relief'!X12</f>
        <v>0</v>
      </c>
      <c r="Y14" s="354">
        <f>'Provider Relief'!Y12</f>
        <v>0</v>
      </c>
      <c r="Z14" s="354">
        <f>'Provider Relief'!Z12</f>
        <v>0</v>
      </c>
      <c r="AA14" s="354">
        <f>'Provider Relief'!AA12</f>
        <v>0</v>
      </c>
      <c r="AB14" s="354">
        <f>'Provider Relief'!AB12</f>
        <v>0</v>
      </c>
      <c r="AC14" s="461">
        <f>'Provider Relief'!AC12</f>
        <v>0</v>
      </c>
      <c r="AD14" s="398">
        <f>SUM(I14:Y14)/4</f>
        <v>45.300877192982462</v>
      </c>
      <c r="AE14" s="446">
        <f>AD50+AD54+AD60</f>
        <v>34.125000000000007</v>
      </c>
    </row>
    <row r="15" spans="2:34" ht="15.75" customHeight="1" x14ac:dyDescent="0.35">
      <c r="B15" s="472" t="s">
        <v>391</v>
      </c>
      <c r="C15" s="70"/>
      <c r="D15" s="411"/>
      <c r="E15" s="70"/>
      <c r="F15" s="70"/>
      <c r="G15" s="70"/>
      <c r="H15" s="68"/>
      <c r="I15" s="68"/>
      <c r="J15" s="68"/>
      <c r="K15" s="68"/>
      <c r="L15" s="68"/>
      <c r="M15" s="68">
        <f>M52</f>
        <v>9.6666666666666661</v>
      </c>
      <c r="N15" s="71">
        <f t="shared" ref="N15:AC15" si="6">N52</f>
        <v>9.6666666666666661</v>
      </c>
      <c r="O15" s="71">
        <f t="shared" si="6"/>
        <v>9.6666666666666661</v>
      </c>
      <c r="P15" s="71">
        <f>P52</f>
        <v>9.6666666666666661</v>
      </c>
      <c r="Q15" s="71">
        <f>Q52</f>
        <v>9.6666666666666661</v>
      </c>
      <c r="R15" s="398">
        <f t="shared" si="6"/>
        <v>9.6666666666666661</v>
      </c>
      <c r="S15" s="354">
        <f t="shared" si="6"/>
        <v>9.6666666666666661</v>
      </c>
      <c r="T15" s="354">
        <f t="shared" si="6"/>
        <v>9.6666666666666661</v>
      </c>
      <c r="U15" s="354">
        <f t="shared" si="6"/>
        <v>9.6666666666666661</v>
      </c>
      <c r="V15" s="354">
        <f t="shared" si="6"/>
        <v>9.6666666666666661</v>
      </c>
      <c r="W15" s="354">
        <f t="shared" si="6"/>
        <v>9.6666666666666661</v>
      </c>
      <c r="X15" s="354">
        <f t="shared" si="6"/>
        <v>9.6666666666666661</v>
      </c>
      <c r="Y15" s="354">
        <f t="shared" si="6"/>
        <v>0</v>
      </c>
      <c r="Z15" s="354">
        <f t="shared" si="6"/>
        <v>0</v>
      </c>
      <c r="AA15" s="354">
        <f t="shared" si="6"/>
        <v>0</v>
      </c>
      <c r="AB15" s="354">
        <f t="shared" si="6"/>
        <v>0</v>
      </c>
      <c r="AC15" s="461">
        <f t="shared" si="6"/>
        <v>0</v>
      </c>
      <c r="AD15" s="398">
        <f>SUM(I15:Y15)/4</f>
        <v>29.000000000000004</v>
      </c>
      <c r="AE15" s="447">
        <f>AD52</f>
        <v>29.000000000000004</v>
      </c>
      <c r="AF15" s="390" t="s">
        <v>392</v>
      </c>
      <c r="AG15" s="390"/>
      <c r="AH15" s="390"/>
    </row>
    <row r="16" spans="2:34" ht="31.15" customHeight="1" x14ac:dyDescent="0.35">
      <c r="B16" s="472" t="s">
        <v>393</v>
      </c>
      <c r="C16" s="70"/>
      <c r="D16" s="411"/>
      <c r="E16" s="70"/>
      <c r="F16" s="70"/>
      <c r="G16" s="70"/>
      <c r="H16" s="68"/>
      <c r="I16" s="68"/>
      <c r="J16" s="68"/>
      <c r="K16" s="68"/>
      <c r="L16" s="68"/>
      <c r="M16" s="68">
        <f>M56+M55</f>
        <v>12</v>
      </c>
      <c r="N16" s="71">
        <f>N56+N55</f>
        <v>12</v>
      </c>
      <c r="O16" s="71">
        <f>O56+O55</f>
        <v>12</v>
      </c>
      <c r="P16" s="71">
        <f t="shared" ref="P16:AC16" si="7">P56+P55</f>
        <v>12</v>
      </c>
      <c r="Q16" s="71">
        <f t="shared" si="7"/>
        <v>12</v>
      </c>
      <c r="R16" s="398">
        <f t="shared" si="7"/>
        <v>12</v>
      </c>
      <c r="S16" s="354">
        <f t="shared" si="7"/>
        <v>12</v>
      </c>
      <c r="T16" s="354">
        <f t="shared" si="7"/>
        <v>12</v>
      </c>
      <c r="U16" s="354">
        <f t="shared" si="7"/>
        <v>12</v>
      </c>
      <c r="V16" s="354">
        <f t="shared" si="7"/>
        <v>12</v>
      </c>
      <c r="W16" s="354">
        <f t="shared" si="7"/>
        <v>12</v>
      </c>
      <c r="X16" s="354">
        <f t="shared" si="7"/>
        <v>12</v>
      </c>
      <c r="Y16" s="354">
        <f t="shared" si="7"/>
        <v>0</v>
      </c>
      <c r="Z16" s="354">
        <f t="shared" si="7"/>
        <v>0</v>
      </c>
      <c r="AA16" s="354">
        <f t="shared" si="7"/>
        <v>0</v>
      </c>
      <c r="AB16" s="354">
        <f t="shared" si="7"/>
        <v>0</v>
      </c>
      <c r="AC16" s="461">
        <f t="shared" si="7"/>
        <v>0</v>
      </c>
      <c r="AD16" s="398">
        <f>SUM(I16:Y16)/4</f>
        <v>36</v>
      </c>
      <c r="AE16" s="446">
        <f>SUM(AD55:AD56)+AD61</f>
        <v>130.3365</v>
      </c>
      <c r="AF16" s="390" t="s">
        <v>394</v>
      </c>
      <c r="AG16" s="390"/>
      <c r="AH16" s="390"/>
    </row>
    <row r="17" spans="1:34" x14ac:dyDescent="0.35">
      <c r="B17" s="472" t="s">
        <v>395</v>
      </c>
      <c r="C17" s="70"/>
      <c r="D17" s="411"/>
      <c r="E17" s="70"/>
      <c r="F17" s="70"/>
      <c r="G17" s="70"/>
      <c r="H17" s="68"/>
      <c r="I17" s="68"/>
      <c r="J17" s="68"/>
      <c r="K17" s="68"/>
      <c r="L17" s="68"/>
      <c r="M17" s="68"/>
      <c r="N17" s="71">
        <f>N61</f>
        <v>59.256</v>
      </c>
      <c r="O17" s="71">
        <f>O61</f>
        <v>59.256</v>
      </c>
      <c r="P17" s="71">
        <f>P61</f>
        <v>35.671000000000006</v>
      </c>
      <c r="Q17" s="71">
        <f>Q61</f>
        <v>35.671000000000006</v>
      </c>
      <c r="R17" s="398">
        <f t="shared" ref="R17:AC17" si="8">R61</f>
        <v>35.671000000000006</v>
      </c>
      <c r="S17" s="354">
        <f t="shared" si="8"/>
        <v>35.671000000000006</v>
      </c>
      <c r="T17" s="354">
        <f t="shared" si="8"/>
        <v>24.216000000000001</v>
      </c>
      <c r="U17" s="354">
        <f t="shared" si="8"/>
        <v>24.216000000000001</v>
      </c>
      <c r="V17" s="354">
        <f t="shared" si="8"/>
        <v>24.216000000000001</v>
      </c>
      <c r="W17" s="354">
        <f t="shared" si="8"/>
        <v>24.216000000000001</v>
      </c>
      <c r="X17" s="354">
        <f t="shared" si="8"/>
        <v>9.6430000000000007</v>
      </c>
      <c r="Y17" s="354">
        <f t="shared" si="8"/>
        <v>9.6430000000000007</v>
      </c>
      <c r="Z17" s="354">
        <f t="shared" si="8"/>
        <v>9.6430000000000007</v>
      </c>
      <c r="AA17" s="354">
        <f t="shared" si="8"/>
        <v>9.6430000000000007</v>
      </c>
      <c r="AB17" s="354">
        <f t="shared" si="8"/>
        <v>4.5789999999999997</v>
      </c>
      <c r="AC17" s="461">
        <f t="shared" si="8"/>
        <v>4.5789999999999997</v>
      </c>
      <c r="AD17" s="398">
        <f>SUM(I17:Y17)/4</f>
        <v>94.336500000000001</v>
      </c>
      <c r="AE17" s="446"/>
      <c r="AF17" s="390"/>
      <c r="AG17" s="390"/>
      <c r="AH17" s="390"/>
    </row>
    <row r="18" spans="1:34" ht="41.5" customHeight="1" x14ac:dyDescent="0.35">
      <c r="B18" s="454" t="s">
        <v>848</v>
      </c>
      <c r="C18" s="70"/>
      <c r="D18" s="411"/>
      <c r="E18" s="70"/>
      <c r="F18" s="70"/>
      <c r="G18" s="70"/>
      <c r="H18" s="68"/>
      <c r="I18" s="68"/>
      <c r="J18" s="68"/>
      <c r="K18" s="68"/>
      <c r="L18" s="68"/>
      <c r="M18" s="68"/>
      <c r="N18" s="71">
        <v>-40</v>
      </c>
      <c r="O18" s="71">
        <v>-40</v>
      </c>
      <c r="P18" s="71">
        <f>-51</f>
        <v>-51</v>
      </c>
      <c r="Q18" s="71">
        <f>-51</f>
        <v>-51</v>
      </c>
      <c r="R18" s="398">
        <v>-51</v>
      </c>
      <c r="S18" s="354">
        <f>-51</f>
        <v>-51</v>
      </c>
      <c r="T18" s="354">
        <v>0</v>
      </c>
      <c r="U18" s="354">
        <v>0</v>
      </c>
      <c r="V18" s="354">
        <v>0</v>
      </c>
      <c r="W18" s="354">
        <v>0</v>
      </c>
      <c r="X18" s="354">
        <v>-4</v>
      </c>
      <c r="Y18" s="354">
        <v>-4</v>
      </c>
      <c r="Z18" s="354">
        <v>-4</v>
      </c>
      <c r="AA18" s="354">
        <v>-4</v>
      </c>
      <c r="AB18" s="354">
        <v>-4</v>
      </c>
      <c r="AC18" s="461">
        <v>-4</v>
      </c>
      <c r="AD18" s="398"/>
      <c r="AE18" s="446"/>
      <c r="AF18" s="390"/>
      <c r="AG18" s="390"/>
      <c r="AH18" s="390"/>
    </row>
    <row r="19" spans="1:34" ht="15.75" customHeight="1" x14ac:dyDescent="0.35">
      <c r="B19" s="472" t="s">
        <v>396</v>
      </c>
      <c r="C19" s="51" t="s">
        <v>397</v>
      </c>
      <c r="D19" s="411"/>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83">
        <f>'Haver Pivoted'!HC56</f>
        <v>0</v>
      </c>
      <c r="S19" s="357">
        <f t="shared" ref="S19:AC19" si="9">S58</f>
        <v>0</v>
      </c>
      <c r="T19" s="357">
        <f t="shared" si="9"/>
        <v>0</v>
      </c>
      <c r="U19" s="357">
        <f t="shared" si="9"/>
        <v>0</v>
      </c>
      <c r="V19" s="357">
        <f t="shared" si="9"/>
        <v>0</v>
      </c>
      <c r="W19" s="357">
        <f t="shared" si="9"/>
        <v>0</v>
      </c>
      <c r="X19" s="357">
        <f t="shared" si="9"/>
        <v>0</v>
      </c>
      <c r="Y19" s="357">
        <f t="shared" si="9"/>
        <v>0</v>
      </c>
      <c r="Z19" s="357">
        <f t="shared" si="9"/>
        <v>0</v>
      </c>
      <c r="AA19" s="357">
        <f t="shared" si="9"/>
        <v>0</v>
      </c>
      <c r="AB19" s="357">
        <f t="shared" si="9"/>
        <v>0</v>
      </c>
      <c r="AC19" s="460">
        <f t="shared" si="9"/>
        <v>0</v>
      </c>
      <c r="AD19" s="398">
        <f t="shared" si="5"/>
        <v>245.9</v>
      </c>
      <c r="AE19" s="446">
        <f>AD58</f>
        <v>362.04999999999995</v>
      </c>
      <c r="AF19" s="423"/>
      <c r="AH19" s="390"/>
    </row>
    <row r="20" spans="1:34" ht="15.75" customHeight="1" x14ac:dyDescent="0.35">
      <c r="A20" s="393"/>
      <c r="B20" s="391" t="s">
        <v>398</v>
      </c>
      <c r="C20" s="415"/>
      <c r="D20" s="413">
        <f t="shared" ref="D20:R20" si="10">D11-SUM(D12:D19)</f>
        <v>197.26499999999993</v>
      </c>
      <c r="E20" s="415">
        <f t="shared" si="10"/>
        <v>184.779</v>
      </c>
      <c r="F20" s="415">
        <f t="shared" si="10"/>
        <v>199.041</v>
      </c>
      <c r="G20" s="415">
        <f t="shared" si="10"/>
        <v>191.73899999999998</v>
      </c>
      <c r="H20" s="415">
        <f t="shared" si="10"/>
        <v>205.80500000000001</v>
      </c>
      <c r="I20" s="415">
        <f t="shared" si="10"/>
        <v>210.29200000000003</v>
      </c>
      <c r="J20" s="415">
        <f t="shared" si="10"/>
        <v>197.48400000000004</v>
      </c>
      <c r="K20" s="415">
        <f t="shared" si="10"/>
        <v>213.12000000000006</v>
      </c>
      <c r="L20" s="415">
        <f t="shared" si="10"/>
        <v>215.54199999999997</v>
      </c>
      <c r="M20" s="415">
        <f t="shared" si="10"/>
        <v>213.11233333333337</v>
      </c>
      <c r="N20" s="415">
        <f t="shared" si="10"/>
        <v>224.76033333333339</v>
      </c>
      <c r="O20" s="415">
        <f t="shared" si="10"/>
        <v>222.12433333333337</v>
      </c>
      <c r="P20" s="415">
        <f t="shared" si="10"/>
        <v>250.09733333333338</v>
      </c>
      <c r="Q20" s="415">
        <f t="shared" si="10"/>
        <v>253.39533333333327</v>
      </c>
      <c r="R20" s="487">
        <f t="shared" si="10"/>
        <v>266.9323333333333</v>
      </c>
      <c r="S20" s="298">
        <f t="shared" ref="S20:AC20" si="11">R20*(1.04)^0.25</f>
        <v>269.56252613473151</v>
      </c>
      <c r="T20" s="298">
        <f t="shared" si="11"/>
        <v>272.21863529510404</v>
      </c>
      <c r="U20" s="298">
        <f t="shared" si="11"/>
        <v>274.90091617887219</v>
      </c>
      <c r="V20" s="298">
        <f t="shared" si="11"/>
        <v>277.6096266666666</v>
      </c>
      <c r="W20" s="298">
        <f t="shared" si="11"/>
        <v>280.34502718012072</v>
      </c>
      <c r="X20" s="298">
        <f t="shared" si="11"/>
        <v>283.10738070690815</v>
      </c>
      <c r="Y20" s="298">
        <f t="shared" si="11"/>
        <v>285.89695282602702</v>
      </c>
      <c r="Z20" s="298">
        <f t="shared" si="11"/>
        <v>288.71401173333322</v>
      </c>
      <c r="AA20" s="298">
        <f t="shared" si="11"/>
        <v>291.55882826732551</v>
      </c>
      <c r="AB20" s="298">
        <f t="shared" si="11"/>
        <v>294.43167593518444</v>
      </c>
      <c r="AC20" s="482">
        <f t="shared" si="11"/>
        <v>297.33283093906806</v>
      </c>
      <c r="AD20" s="452"/>
      <c r="AE20" s="448"/>
      <c r="AF20" s="390" t="s">
        <v>399</v>
      </c>
      <c r="AG20" s="390"/>
      <c r="AH20" s="390"/>
    </row>
    <row r="21" spans="1:34" ht="15.75" customHeight="1" x14ac:dyDescent="0.35">
      <c r="A21" s="8"/>
      <c r="B21" s="392"/>
      <c r="C21" s="70"/>
      <c r="D21" s="70"/>
      <c r="E21" s="70"/>
      <c r="F21" s="70"/>
      <c r="G21" s="70"/>
      <c r="H21" s="70"/>
      <c r="I21" s="70"/>
      <c r="J21" s="70"/>
      <c r="K21" s="70"/>
      <c r="L21" s="70"/>
      <c r="M21" s="70"/>
      <c r="N21" s="70"/>
      <c r="O21" s="405"/>
      <c r="P21" s="70"/>
      <c r="Q21" s="159"/>
      <c r="R21" s="159"/>
      <c r="S21" s="159"/>
      <c r="T21" s="159"/>
      <c r="U21" s="159"/>
      <c r="V21" s="159"/>
      <c r="W21" s="159"/>
      <c r="X21" s="159"/>
      <c r="Y21" s="159"/>
      <c r="Z21" s="159"/>
      <c r="AA21" s="159"/>
      <c r="AB21" s="159"/>
      <c r="AC21" s="159"/>
      <c r="AD21" s="159"/>
      <c r="AE21" s="396"/>
      <c r="AF21" s="390"/>
      <c r="AG21" s="390"/>
      <c r="AH21" s="390"/>
    </row>
    <row r="22" spans="1:34" ht="15.75" customHeight="1" x14ac:dyDescent="0.35">
      <c r="A22" s="8"/>
      <c r="B22" s="348" t="s">
        <v>385</v>
      </c>
      <c r="C22" s="349" t="s">
        <v>386</v>
      </c>
      <c r="D22" s="350">
        <v>588.9</v>
      </c>
      <c r="E22" s="351">
        <v>593.79999999999995</v>
      </c>
      <c r="F22" s="351">
        <v>610.5</v>
      </c>
      <c r="G22" s="351">
        <v>610.4</v>
      </c>
      <c r="H22" s="351">
        <v>622.4</v>
      </c>
      <c r="I22" s="351">
        <v>640.6</v>
      </c>
      <c r="J22" s="351">
        <v>1400</v>
      </c>
      <c r="K22" s="351">
        <v>738.5</v>
      </c>
      <c r="L22" s="351">
        <v>743</v>
      </c>
      <c r="M22" s="351">
        <v>781.5</v>
      </c>
      <c r="N22" s="351">
        <v>1632.2</v>
      </c>
      <c r="O22" s="351">
        <v>1057.0999999999999</v>
      </c>
      <c r="P22" s="351">
        <v>904.2</v>
      </c>
      <c r="Q22" s="351">
        <v>916.3</v>
      </c>
      <c r="R22" s="352">
        <v>936.8</v>
      </c>
      <c r="S22" s="336">
        <v>930.0658192576999</v>
      </c>
      <c r="T22" s="336">
        <v>961.77254903789276</v>
      </c>
      <c r="U22" s="336">
        <v>977.34022040010927</v>
      </c>
      <c r="V22" s="336">
        <v>993.21685655978661</v>
      </c>
      <c r="W22" s="336">
        <v>964.11173137199603</v>
      </c>
      <c r="X22" s="336">
        <v>935.06561806260015</v>
      </c>
      <c r="Y22" s="336">
        <v>906.86010418644003</v>
      </c>
      <c r="Z22" s="336">
        <v>884.73826159612565</v>
      </c>
      <c r="AA22" s="336">
        <v>881.69977109007573</v>
      </c>
      <c r="AB22" s="336">
        <v>860.62270691967592</v>
      </c>
      <c r="AC22" s="337">
        <v>857.79212345796464</v>
      </c>
      <c r="AD22" s="412"/>
      <c r="AE22" s="468"/>
      <c r="AF22" s="390"/>
      <c r="AG22" s="390"/>
      <c r="AH22" s="390"/>
    </row>
    <row r="23" spans="1:34" ht="15.75" customHeight="1" x14ac:dyDescent="0.35">
      <c r="A23" s="8"/>
      <c r="B23" s="353" t="s">
        <v>133</v>
      </c>
      <c r="C23" s="151" t="s">
        <v>387</v>
      </c>
      <c r="D23" s="409">
        <v>390.86599999999999</v>
      </c>
      <c r="E23" s="68">
        <v>408.75599999999997</v>
      </c>
      <c r="F23" s="68">
        <v>413.34399999999999</v>
      </c>
      <c r="G23" s="68">
        <v>418.529</v>
      </c>
      <c r="H23" s="68">
        <v>413.80599999999998</v>
      </c>
      <c r="I23" s="68">
        <v>428.11799999999999</v>
      </c>
      <c r="J23" s="68">
        <v>502.49</v>
      </c>
      <c r="K23" s="68">
        <v>481.71699999999998</v>
      </c>
      <c r="L23" s="68">
        <v>507.83699999999999</v>
      </c>
      <c r="M23" s="68">
        <v>511.34500000000003</v>
      </c>
      <c r="N23" s="68">
        <v>520.72900000000004</v>
      </c>
      <c r="O23" s="68">
        <v>530.82100000000003</v>
      </c>
      <c r="P23" s="68">
        <v>541.83299999999997</v>
      </c>
      <c r="Q23" s="68">
        <v>578.14700000000005</v>
      </c>
      <c r="R23" s="483">
        <v>576.01</v>
      </c>
      <c r="S23" s="354">
        <v>589.15241570768478</v>
      </c>
      <c r="T23" s="354">
        <v>599.03838010823131</v>
      </c>
      <c r="U23" s="354">
        <v>612.08434629508997</v>
      </c>
      <c r="V23" s="354">
        <v>625.41442989312009</v>
      </c>
      <c r="W23" s="354">
        <v>593.73765992599408</v>
      </c>
      <c r="X23" s="354">
        <v>587.35256237575231</v>
      </c>
      <c r="Y23" s="354">
        <v>581.52447511722005</v>
      </c>
      <c r="Z23" s="354">
        <v>575.75421786279253</v>
      </c>
      <c r="AA23" s="354">
        <v>570.04121678623369</v>
      </c>
      <c r="AB23" s="354">
        <v>560.13928900535416</v>
      </c>
      <c r="AC23" s="355">
        <v>554.5812292259759</v>
      </c>
      <c r="AD23" s="398"/>
      <c r="AE23" s="446"/>
      <c r="AF23" s="390"/>
      <c r="AG23" s="390"/>
      <c r="AH23" s="390"/>
    </row>
    <row r="24" spans="1:34" ht="15.75" customHeight="1" x14ac:dyDescent="0.35">
      <c r="A24" s="8"/>
      <c r="B24" s="341" t="s">
        <v>388</v>
      </c>
      <c r="C24" s="151"/>
      <c r="D24" s="409">
        <v>198.03399999999999</v>
      </c>
      <c r="E24" s="68">
        <v>185.04399999999998</v>
      </c>
      <c r="F24" s="68">
        <v>197.15600000000001</v>
      </c>
      <c r="G24" s="68">
        <v>191.87099999999998</v>
      </c>
      <c r="H24" s="68">
        <v>208.59399999999999</v>
      </c>
      <c r="I24" s="68">
        <v>212.48200000000003</v>
      </c>
      <c r="J24" s="68">
        <v>897.51</v>
      </c>
      <c r="K24" s="68">
        <v>256.78300000000002</v>
      </c>
      <c r="L24" s="68">
        <v>235.16300000000001</v>
      </c>
      <c r="M24" s="68">
        <v>270.15499999999997</v>
      </c>
      <c r="N24" s="68">
        <v>1111.471</v>
      </c>
      <c r="O24" s="68">
        <v>526.27899999999988</v>
      </c>
      <c r="P24" s="68">
        <v>362.36700000000008</v>
      </c>
      <c r="Q24" s="68">
        <v>338.15299999999991</v>
      </c>
      <c r="R24" s="483">
        <v>360.78999999999996</v>
      </c>
      <c r="S24" s="354">
        <v>340.91340355001512</v>
      </c>
      <c r="T24" s="354">
        <v>362.73416892966145</v>
      </c>
      <c r="U24" s="354">
        <v>365.25587410501925</v>
      </c>
      <c r="V24" s="354">
        <v>367.80242666666652</v>
      </c>
      <c r="W24" s="354">
        <v>370.37407144600201</v>
      </c>
      <c r="X24" s="354">
        <v>347.71305568684784</v>
      </c>
      <c r="Y24" s="354">
        <v>325.33562906921998</v>
      </c>
      <c r="Z24" s="354">
        <v>308.98404373333312</v>
      </c>
      <c r="AA24" s="354">
        <v>311.65855430384204</v>
      </c>
      <c r="AB24" s="354">
        <v>300.48341791432171</v>
      </c>
      <c r="AC24" s="355">
        <v>303.21089423198873</v>
      </c>
      <c r="AD24" s="398"/>
      <c r="AE24" s="446"/>
      <c r="AF24" s="390"/>
      <c r="AG24" s="390"/>
      <c r="AH24" s="390"/>
    </row>
    <row r="25" spans="1:34" ht="15.75" customHeight="1" x14ac:dyDescent="0.35">
      <c r="A25" s="8"/>
      <c r="B25" s="345" t="s">
        <v>149</v>
      </c>
      <c r="C25" s="51" t="s">
        <v>389</v>
      </c>
      <c r="D25" s="410"/>
      <c r="E25" s="51"/>
      <c r="F25" s="51"/>
      <c r="G25" s="51"/>
      <c r="H25" s="68"/>
      <c r="I25" s="68"/>
      <c r="J25" s="68">
        <v>597.9</v>
      </c>
      <c r="K25" s="68"/>
      <c r="L25" s="68"/>
      <c r="M25" s="68"/>
      <c r="N25" s="68"/>
      <c r="O25" s="71">
        <v>0</v>
      </c>
      <c r="P25" s="71">
        <v>0</v>
      </c>
      <c r="Q25" s="71">
        <v>0</v>
      </c>
      <c r="R25" s="398">
        <v>0</v>
      </c>
      <c r="S25" s="354">
        <v>0</v>
      </c>
      <c r="T25" s="354">
        <v>0</v>
      </c>
      <c r="U25" s="354">
        <v>0</v>
      </c>
      <c r="V25" s="354">
        <v>0</v>
      </c>
      <c r="W25" s="354">
        <v>0</v>
      </c>
      <c r="X25" s="354">
        <v>0</v>
      </c>
      <c r="Y25" s="354">
        <v>0</v>
      </c>
      <c r="Z25" s="354">
        <v>0</v>
      </c>
      <c r="AA25" s="354">
        <v>0</v>
      </c>
      <c r="AB25" s="354">
        <v>0</v>
      </c>
      <c r="AC25" s="355">
        <v>0</v>
      </c>
      <c r="AD25" s="398">
        <f>SUM(I25:Y25)/4</f>
        <v>149.47499999999999</v>
      </c>
      <c r="AE25" s="446">
        <f>AD61</f>
        <v>94.336500000000001</v>
      </c>
      <c r="AF25" s="390"/>
      <c r="AG25" s="390"/>
      <c r="AH25" s="390"/>
    </row>
    <row r="26" spans="1:34" ht="15.75" customHeight="1" x14ac:dyDescent="0.35">
      <c r="A26" s="8"/>
      <c r="B26" s="345" t="s">
        <v>150</v>
      </c>
      <c r="C26" s="51" t="s">
        <v>390</v>
      </c>
      <c r="D26" s="410"/>
      <c r="E26" s="51"/>
      <c r="F26" s="51"/>
      <c r="G26" s="51"/>
      <c r="H26" s="68"/>
      <c r="I26" s="68"/>
      <c r="J26" s="68">
        <v>28.4</v>
      </c>
      <c r="K26" s="68">
        <v>15.8</v>
      </c>
      <c r="L26" s="68">
        <v>15.2</v>
      </c>
      <c r="M26" s="68">
        <v>28.9</v>
      </c>
      <c r="N26" s="68">
        <v>67.599999999999994</v>
      </c>
      <c r="O26" s="68">
        <v>80.7</v>
      </c>
      <c r="P26" s="68">
        <v>87.2</v>
      </c>
      <c r="Q26" s="68">
        <v>72.400000000000006</v>
      </c>
      <c r="R26" s="483">
        <v>85.9</v>
      </c>
      <c r="S26" s="354">
        <v>69.123333333333306</v>
      </c>
      <c r="T26" s="354">
        <v>60.929333333333297</v>
      </c>
      <c r="U26" s="354">
        <v>60.929333333333297</v>
      </c>
      <c r="V26" s="354">
        <v>60.929333333333297</v>
      </c>
      <c r="W26" s="354">
        <v>60.929333333333297</v>
      </c>
      <c r="X26" s="354">
        <v>54.244333333333302</v>
      </c>
      <c r="Y26" s="354">
        <v>50.911000000000001</v>
      </c>
      <c r="Z26" s="354">
        <v>31.911000000000001</v>
      </c>
      <c r="AA26" s="354">
        <v>31.911000000000001</v>
      </c>
      <c r="AB26" s="354">
        <v>23.099</v>
      </c>
      <c r="AC26" s="355">
        <v>23.099</v>
      </c>
      <c r="AD26" s="398">
        <f t="shared" ref="AD26" si="12">SUM(I26:Y26)/4</f>
        <v>225.02399999999994</v>
      </c>
      <c r="AE26" s="446">
        <f>AD62+AD66+AD72</f>
        <v>0</v>
      </c>
      <c r="AF26" s="390"/>
      <c r="AG26" s="390"/>
      <c r="AH26" s="390"/>
    </row>
    <row r="27" spans="1:34" ht="15.75" customHeight="1" x14ac:dyDescent="0.35">
      <c r="A27" s="8"/>
      <c r="B27" s="345" t="s">
        <v>152</v>
      </c>
      <c r="C27" s="70" t="s">
        <v>355</v>
      </c>
      <c r="D27" s="411"/>
      <c r="E27" s="70"/>
      <c r="F27" s="70"/>
      <c r="G27" s="70"/>
      <c r="H27" s="68"/>
      <c r="I27" s="68"/>
      <c r="J27" s="68">
        <v>64.400000000000006</v>
      </c>
      <c r="K27" s="68">
        <v>23.4</v>
      </c>
      <c r="L27" s="68">
        <v>13.8</v>
      </c>
      <c r="M27" s="68">
        <v>17.100000000000001</v>
      </c>
      <c r="N27" s="68">
        <v>10.6</v>
      </c>
      <c r="O27" s="68">
        <v>15</v>
      </c>
      <c r="P27" s="68">
        <v>25.8</v>
      </c>
      <c r="Q27" s="68">
        <v>21.5</v>
      </c>
      <c r="R27" s="483">
        <v>17.600000000000001</v>
      </c>
      <c r="S27" s="354">
        <v>12.027334851936219</v>
      </c>
      <c r="T27" s="354">
        <v>0</v>
      </c>
      <c r="U27" s="354">
        <v>0</v>
      </c>
      <c r="V27" s="354">
        <v>0</v>
      </c>
      <c r="W27" s="354">
        <v>0</v>
      </c>
      <c r="X27" s="354">
        <v>0</v>
      </c>
      <c r="Y27" s="354">
        <v>0</v>
      </c>
      <c r="Z27" s="354">
        <v>0</v>
      </c>
      <c r="AA27" s="354">
        <v>0</v>
      </c>
      <c r="AB27" s="354">
        <v>0</v>
      </c>
      <c r="AC27" s="355">
        <v>0</v>
      </c>
      <c r="AD27" s="398">
        <f>SUM(I27:Y27)/4</f>
        <v>55.306833712984059</v>
      </c>
      <c r="AE27" s="446">
        <f>AD63+AD67+AD73</f>
        <v>0</v>
      </c>
      <c r="AF27" s="390"/>
      <c r="AG27" s="390"/>
      <c r="AH27" s="390"/>
    </row>
    <row r="28" spans="1:34" ht="15.75" customHeight="1" x14ac:dyDescent="0.35">
      <c r="A28" s="8"/>
      <c r="B28" s="345" t="s">
        <v>391</v>
      </c>
      <c r="C28" s="70"/>
      <c r="D28" s="411"/>
      <c r="E28" s="70"/>
      <c r="F28" s="70"/>
      <c r="G28" s="70"/>
      <c r="H28" s="68"/>
      <c r="I28" s="68"/>
      <c r="J28" s="68"/>
      <c r="K28" s="68"/>
      <c r="L28" s="68"/>
      <c r="M28" s="68">
        <v>9.6666666666666661</v>
      </c>
      <c r="N28" s="71">
        <v>9.6666666666666661</v>
      </c>
      <c r="O28" s="71">
        <v>9.6666666666666661</v>
      </c>
      <c r="P28" s="71">
        <v>9.6666666666666661</v>
      </c>
      <c r="Q28" s="71">
        <v>9.6666666666666661</v>
      </c>
      <c r="R28" s="398">
        <v>9.6666666666666661</v>
      </c>
      <c r="S28" s="354">
        <v>9.6666666666666661</v>
      </c>
      <c r="T28" s="354">
        <v>9.6666666666666661</v>
      </c>
      <c r="U28" s="354">
        <v>9.6666666666666661</v>
      </c>
      <c r="V28" s="354">
        <v>9.6666666666666661</v>
      </c>
      <c r="W28" s="354">
        <v>9.6666666666666661</v>
      </c>
      <c r="X28" s="354">
        <v>9.6666666666666661</v>
      </c>
      <c r="Y28" s="354">
        <v>0</v>
      </c>
      <c r="Z28" s="354">
        <v>0</v>
      </c>
      <c r="AA28" s="354">
        <v>0</v>
      </c>
      <c r="AB28" s="354">
        <v>0</v>
      </c>
      <c r="AC28" s="355">
        <v>0</v>
      </c>
      <c r="AD28" s="398">
        <f>SUM(I28:Y28)/4</f>
        <v>29.000000000000004</v>
      </c>
      <c r="AE28" s="447">
        <f>AD65</f>
        <v>0</v>
      </c>
      <c r="AF28" s="390"/>
      <c r="AG28" s="390"/>
      <c r="AH28" s="390"/>
    </row>
    <row r="29" spans="1:34" ht="15.75" customHeight="1" x14ac:dyDescent="0.35">
      <c r="A29" s="8"/>
      <c r="B29" s="345" t="s">
        <v>393</v>
      </c>
      <c r="C29" s="70"/>
      <c r="D29" s="411"/>
      <c r="E29" s="70"/>
      <c r="F29" s="70"/>
      <c r="G29" s="70"/>
      <c r="H29" s="68"/>
      <c r="I29" s="68"/>
      <c r="J29" s="68"/>
      <c r="K29" s="68"/>
      <c r="L29" s="68"/>
      <c r="M29" s="68">
        <v>12</v>
      </c>
      <c r="N29" s="71">
        <v>12</v>
      </c>
      <c r="O29" s="71">
        <v>12</v>
      </c>
      <c r="P29" s="71">
        <v>12</v>
      </c>
      <c r="Q29" s="71">
        <v>12</v>
      </c>
      <c r="R29" s="398">
        <v>12</v>
      </c>
      <c r="S29" s="354">
        <v>12</v>
      </c>
      <c r="T29" s="354">
        <v>12</v>
      </c>
      <c r="U29" s="354">
        <v>12</v>
      </c>
      <c r="V29" s="354">
        <v>12</v>
      </c>
      <c r="W29" s="354">
        <v>12</v>
      </c>
      <c r="X29" s="354">
        <v>12</v>
      </c>
      <c r="Y29" s="354">
        <v>0</v>
      </c>
      <c r="Z29" s="354">
        <v>0</v>
      </c>
      <c r="AA29" s="354">
        <v>0</v>
      </c>
      <c r="AB29" s="354">
        <v>0</v>
      </c>
      <c r="AC29" s="355">
        <v>0</v>
      </c>
      <c r="AD29" s="398">
        <f>SUM(I29:Y29)/4</f>
        <v>36</v>
      </c>
      <c r="AE29" s="446">
        <f>SUM(AD68:AD69)+AD74</f>
        <v>0</v>
      </c>
      <c r="AF29" s="390"/>
      <c r="AG29" s="390"/>
      <c r="AH29" s="390"/>
    </row>
    <row r="30" spans="1:34" ht="15.75" customHeight="1" x14ac:dyDescent="0.35">
      <c r="A30" s="8"/>
      <c r="B30" s="345" t="s">
        <v>395</v>
      </c>
      <c r="C30" s="70"/>
      <c r="D30" s="411"/>
      <c r="E30" s="70"/>
      <c r="F30" s="70"/>
      <c r="G30" s="70"/>
      <c r="H30" s="68"/>
      <c r="I30" s="68"/>
      <c r="J30" s="68"/>
      <c r="K30" s="68"/>
      <c r="L30" s="68"/>
      <c r="M30" s="68"/>
      <c r="N30" s="71">
        <v>59.256</v>
      </c>
      <c r="O30" s="71">
        <v>59.256</v>
      </c>
      <c r="P30" s="71">
        <v>35.671000000000006</v>
      </c>
      <c r="Q30" s="71">
        <v>35.671000000000006</v>
      </c>
      <c r="R30" s="398">
        <v>35.671000000000006</v>
      </c>
      <c r="S30" s="354">
        <v>35.671000000000006</v>
      </c>
      <c r="T30" s="354">
        <v>24.216000000000001</v>
      </c>
      <c r="U30" s="354">
        <v>24.216000000000001</v>
      </c>
      <c r="V30" s="354">
        <v>24.216000000000001</v>
      </c>
      <c r="W30" s="354">
        <v>24.216000000000001</v>
      </c>
      <c r="X30" s="354">
        <v>9.6430000000000007</v>
      </c>
      <c r="Y30" s="354">
        <v>9.6430000000000007</v>
      </c>
      <c r="Z30" s="354">
        <v>9.6430000000000007</v>
      </c>
      <c r="AA30" s="354">
        <v>9.6430000000000007</v>
      </c>
      <c r="AB30" s="354">
        <v>4.5789999999999997</v>
      </c>
      <c r="AC30" s="355">
        <v>4.5789999999999997</v>
      </c>
      <c r="AD30" s="398">
        <f>SUM(I30:Y30)/4</f>
        <v>94.336500000000001</v>
      </c>
      <c r="AE30" s="446"/>
      <c r="AF30" s="390"/>
      <c r="AG30" s="390"/>
      <c r="AH30" s="390"/>
    </row>
    <row r="31" spans="1:34" ht="15.75" customHeight="1" x14ac:dyDescent="0.35">
      <c r="A31" s="8"/>
      <c r="B31" s="356" t="s">
        <v>848</v>
      </c>
      <c r="C31" s="70"/>
      <c r="D31" s="411"/>
      <c r="E31" s="70"/>
      <c r="F31" s="70"/>
      <c r="G31" s="70"/>
      <c r="H31" s="68"/>
      <c r="I31" s="68"/>
      <c r="J31" s="68"/>
      <c r="K31" s="68"/>
      <c r="L31" s="68"/>
      <c r="M31" s="68"/>
      <c r="N31" s="71">
        <v>-40</v>
      </c>
      <c r="O31" s="71">
        <v>-40</v>
      </c>
      <c r="P31" s="71">
        <v>-51</v>
      </c>
      <c r="Q31" s="71">
        <v>-51</v>
      </c>
      <c r="R31" s="398">
        <v>-51</v>
      </c>
      <c r="S31" s="354">
        <v>-51</v>
      </c>
      <c r="T31" s="354">
        <v>0</v>
      </c>
      <c r="U31" s="354">
        <v>0</v>
      </c>
      <c r="V31" s="354">
        <v>0</v>
      </c>
      <c r="W31" s="354">
        <v>0</v>
      </c>
      <c r="X31" s="354">
        <v>-4</v>
      </c>
      <c r="Y31" s="354">
        <v>-4</v>
      </c>
      <c r="Z31" s="354">
        <v>-4</v>
      </c>
      <c r="AA31" s="354">
        <v>-4</v>
      </c>
      <c r="AB31" s="354">
        <v>-4</v>
      </c>
      <c r="AC31" s="355">
        <v>-4</v>
      </c>
      <c r="AD31" s="398"/>
      <c r="AE31" s="446"/>
      <c r="AF31" s="390"/>
      <c r="AG31" s="390"/>
      <c r="AH31" s="390"/>
    </row>
    <row r="32" spans="1:34" ht="15.75" customHeight="1" x14ac:dyDescent="0.35">
      <c r="A32" s="8"/>
      <c r="B32" s="345" t="s">
        <v>396</v>
      </c>
      <c r="C32" s="51" t="s">
        <v>397</v>
      </c>
      <c r="D32" s="411"/>
      <c r="E32" s="70"/>
      <c r="F32" s="70"/>
      <c r="G32" s="70"/>
      <c r="H32" s="68"/>
      <c r="I32" s="68"/>
      <c r="J32" s="68"/>
      <c r="K32" s="68">
        <v>0</v>
      </c>
      <c r="L32" s="68">
        <v>0</v>
      </c>
      <c r="M32" s="68">
        <v>0</v>
      </c>
      <c r="N32" s="68">
        <v>785.9</v>
      </c>
      <c r="O32" s="68">
        <v>187.9</v>
      </c>
      <c r="P32" s="68">
        <v>9.1999999999999993</v>
      </c>
      <c r="Q32" s="68">
        <v>0.6</v>
      </c>
      <c r="R32" s="483">
        <v>0</v>
      </c>
      <c r="S32" s="357">
        <v>0</v>
      </c>
      <c r="T32" s="357">
        <v>0</v>
      </c>
      <c r="U32" s="357">
        <v>0</v>
      </c>
      <c r="V32" s="357">
        <v>0</v>
      </c>
      <c r="W32" s="357">
        <v>0</v>
      </c>
      <c r="X32" s="357">
        <v>0</v>
      </c>
      <c r="Y32" s="357">
        <v>0</v>
      </c>
      <c r="Z32" s="357">
        <v>0</v>
      </c>
      <c r="AA32" s="357">
        <v>0</v>
      </c>
      <c r="AB32" s="357">
        <v>0</v>
      </c>
      <c r="AC32" s="358">
        <v>0</v>
      </c>
      <c r="AD32" s="398">
        <f t="shared" ref="AD32" si="13">SUM(I32:Y32)/4</f>
        <v>245.9</v>
      </c>
      <c r="AE32" s="446">
        <f>AD71</f>
        <v>0</v>
      </c>
      <c r="AF32" s="390"/>
      <c r="AG32" s="390"/>
      <c r="AH32" s="390"/>
    </row>
    <row r="33" spans="1:34" ht="15.75" customHeight="1" x14ac:dyDescent="0.35">
      <c r="A33" s="8"/>
      <c r="B33" s="346" t="s">
        <v>398</v>
      </c>
      <c r="C33" s="347"/>
      <c r="D33" s="359">
        <v>198.03399999999999</v>
      </c>
      <c r="E33" s="347">
        <v>185.04399999999998</v>
      </c>
      <c r="F33" s="347">
        <v>197.15600000000001</v>
      </c>
      <c r="G33" s="347">
        <v>191.87099999999998</v>
      </c>
      <c r="H33" s="347">
        <v>208.59399999999999</v>
      </c>
      <c r="I33" s="347">
        <v>212.48200000000003</v>
      </c>
      <c r="J33" s="347">
        <v>206.81000000000006</v>
      </c>
      <c r="K33" s="347">
        <v>217.58300000000003</v>
      </c>
      <c r="L33" s="347">
        <v>206.16300000000001</v>
      </c>
      <c r="M33" s="347">
        <v>202.48833333333332</v>
      </c>
      <c r="N33" s="347">
        <v>206.44833333333338</v>
      </c>
      <c r="O33" s="347">
        <v>201.7563333333332</v>
      </c>
      <c r="P33" s="347">
        <v>233.82933333333341</v>
      </c>
      <c r="Q33" s="347">
        <v>237.31533333333323</v>
      </c>
      <c r="R33" s="360">
        <v>250.95233333333329</v>
      </c>
      <c r="S33" s="361">
        <v>253.42506869807895</v>
      </c>
      <c r="T33" s="361">
        <v>255.92216892966147</v>
      </c>
      <c r="U33" s="361">
        <v>258.44387410501929</v>
      </c>
      <c r="V33" s="361">
        <v>260.99042666666656</v>
      </c>
      <c r="W33" s="361">
        <v>263.56207144600205</v>
      </c>
      <c r="X33" s="361">
        <v>266.15905568684786</v>
      </c>
      <c r="Y33" s="361">
        <v>268.78162906922</v>
      </c>
      <c r="Z33" s="361">
        <v>271.43004373333315</v>
      </c>
      <c r="AA33" s="361">
        <v>274.10455430384206</v>
      </c>
      <c r="AB33" s="361">
        <v>276.80541791432171</v>
      </c>
      <c r="AC33" s="362">
        <v>279.53289423198873</v>
      </c>
      <c r="AD33" s="452"/>
      <c r="AE33" s="448"/>
      <c r="AF33" s="390"/>
      <c r="AG33" s="390"/>
      <c r="AH33" s="390"/>
    </row>
    <row r="34" spans="1:34" ht="15.75" customHeight="1" x14ac:dyDescent="0.35">
      <c r="A34" s="8"/>
      <c r="B34" s="392"/>
      <c r="C34" s="70"/>
      <c r="D34" s="70"/>
      <c r="E34" s="70"/>
      <c r="F34" s="70"/>
      <c r="G34" s="70"/>
      <c r="H34" s="70"/>
      <c r="I34" s="70"/>
      <c r="J34" s="70"/>
      <c r="K34" s="70"/>
      <c r="L34" s="70"/>
      <c r="M34" s="70"/>
      <c r="N34" s="70"/>
      <c r="O34" s="405"/>
      <c r="P34" s="70"/>
      <c r="Q34" s="159"/>
      <c r="R34" s="159"/>
      <c r="S34" s="159"/>
      <c r="T34" s="159"/>
      <c r="U34" s="159"/>
      <c r="V34" s="159"/>
      <c r="W34" s="159"/>
      <c r="X34" s="159"/>
      <c r="Y34" s="159"/>
      <c r="Z34" s="159"/>
      <c r="AA34" s="159"/>
      <c r="AB34" s="159"/>
      <c r="AC34" s="159"/>
      <c r="AD34" s="159"/>
      <c r="AE34" s="396"/>
      <c r="AF34" s="390"/>
      <c r="AG34" s="390"/>
      <c r="AH34" s="390"/>
    </row>
    <row r="35" spans="1:34" ht="15.75" customHeight="1" x14ac:dyDescent="0.35">
      <c r="A35" s="8"/>
      <c r="B35" s="392"/>
      <c r="C35" s="70"/>
      <c r="D35" s="70"/>
      <c r="E35" s="70"/>
      <c r="F35" s="70"/>
      <c r="G35" s="70"/>
      <c r="H35" s="70"/>
      <c r="I35" s="70"/>
      <c r="J35" s="70"/>
      <c r="K35" s="70"/>
      <c r="L35" s="70"/>
      <c r="M35" s="70"/>
      <c r="N35" s="70"/>
      <c r="O35" s="405"/>
      <c r="P35" s="70"/>
      <c r="Q35" s="159"/>
      <c r="R35" s="159"/>
      <c r="S35" s="159"/>
      <c r="T35" s="159"/>
      <c r="U35" s="159"/>
      <c r="V35" s="159"/>
      <c r="W35" s="159"/>
      <c r="X35" s="159"/>
      <c r="Y35" s="159"/>
      <c r="Z35" s="159"/>
      <c r="AA35" s="159"/>
      <c r="AB35" s="159"/>
      <c r="AC35" s="159"/>
      <c r="AD35" s="159"/>
      <c r="AE35" s="396"/>
      <c r="AF35" s="390"/>
      <c r="AG35" s="390"/>
      <c r="AH35" s="390"/>
    </row>
    <row r="36" spans="1:34" ht="15.75" customHeight="1" x14ac:dyDescent="0.35">
      <c r="A36" s="8"/>
      <c r="B36" s="392"/>
      <c r="C36" s="70"/>
      <c r="D36" s="70"/>
      <c r="E36" s="70"/>
      <c r="F36" s="70"/>
      <c r="G36" s="70"/>
      <c r="H36" s="70"/>
      <c r="I36" s="70"/>
      <c r="J36" s="70"/>
      <c r="K36" s="70"/>
      <c r="L36" s="70"/>
      <c r="M36" s="70"/>
      <c r="N36" s="70"/>
      <c r="O36" s="405"/>
      <c r="P36" s="70"/>
      <c r="Q36" s="159"/>
      <c r="R36" s="159"/>
      <c r="S36" s="159"/>
      <c r="T36" s="159"/>
      <c r="U36" s="159"/>
      <c r="V36" s="159"/>
      <c r="W36" s="159"/>
      <c r="X36" s="159"/>
      <c r="Y36" s="159"/>
      <c r="Z36" s="159"/>
      <c r="AA36" s="159"/>
      <c r="AB36" s="159"/>
      <c r="AC36" s="159"/>
      <c r="AD36" s="159"/>
      <c r="AE36" s="396"/>
      <c r="AF36" s="390"/>
      <c r="AG36" s="390"/>
      <c r="AH36" s="390"/>
    </row>
    <row r="37" spans="1:34" ht="15.75" customHeight="1" x14ac:dyDescent="0.35">
      <c r="A37" s="8"/>
      <c r="B37" s="392"/>
      <c r="C37" s="70"/>
      <c r="D37" s="70"/>
      <c r="E37" s="70"/>
      <c r="F37" s="70"/>
      <c r="G37" s="70"/>
      <c r="H37" s="70"/>
      <c r="I37" s="70"/>
      <c r="J37" s="70"/>
      <c r="K37" s="70"/>
      <c r="L37" s="70"/>
      <c r="M37" s="70"/>
      <c r="N37" s="70"/>
      <c r="O37" s="405"/>
      <c r="P37" s="70"/>
      <c r="Q37" s="159"/>
      <c r="R37" s="159"/>
      <c r="S37" s="159"/>
      <c r="T37" s="159"/>
      <c r="U37" s="159"/>
      <c r="V37" s="159"/>
      <c r="W37" s="159"/>
      <c r="X37" s="159"/>
      <c r="Y37" s="159"/>
      <c r="Z37" s="159"/>
      <c r="AA37" s="159"/>
      <c r="AB37" s="159"/>
      <c r="AC37" s="159"/>
      <c r="AD37" s="159"/>
      <c r="AE37" s="396"/>
      <c r="AF37" s="390"/>
      <c r="AG37" s="390"/>
      <c r="AH37" s="390"/>
    </row>
    <row r="38" spans="1:34" ht="15.75" customHeight="1" x14ac:dyDescent="0.35">
      <c r="A38" s="8"/>
      <c r="B38" s="392"/>
      <c r="C38" s="70"/>
      <c r="D38" s="70"/>
      <c r="E38" s="70"/>
      <c r="F38" s="70"/>
      <c r="G38" s="70"/>
      <c r="H38" s="70"/>
      <c r="I38" s="70"/>
      <c r="J38" s="70"/>
      <c r="K38" s="70"/>
      <c r="L38" s="70"/>
      <c r="M38" s="70"/>
      <c r="N38" s="70"/>
      <c r="O38" s="405"/>
      <c r="P38" s="70"/>
      <c r="Q38" s="159"/>
      <c r="R38" s="159"/>
      <c r="S38" s="159"/>
      <c r="T38" s="159"/>
      <c r="U38" s="159"/>
      <c r="V38" s="159"/>
      <c r="W38" s="159"/>
      <c r="X38" s="159"/>
      <c r="Y38" s="159"/>
      <c r="Z38" s="159"/>
      <c r="AA38" s="159"/>
      <c r="AB38" s="159"/>
      <c r="AC38" s="159"/>
      <c r="AD38" s="159"/>
      <c r="AE38" s="396"/>
      <c r="AF38" s="390"/>
      <c r="AG38" s="390"/>
      <c r="AH38" s="390"/>
    </row>
    <row r="39" spans="1:34" ht="15.75" customHeight="1" x14ac:dyDescent="0.35">
      <c r="A39" s="8"/>
      <c r="B39" s="392"/>
      <c r="C39" s="70"/>
      <c r="D39" s="70"/>
      <c r="E39" s="70"/>
      <c r="F39" s="70"/>
      <c r="G39" s="70"/>
      <c r="H39" s="70"/>
      <c r="I39" s="70"/>
      <c r="J39" s="70"/>
      <c r="K39" s="70"/>
      <c r="L39" s="70"/>
      <c r="M39" s="70"/>
      <c r="N39" s="70"/>
      <c r="O39" s="405"/>
      <c r="P39" s="70"/>
      <c r="Q39" s="159"/>
      <c r="R39" s="159"/>
      <c r="S39" s="159"/>
      <c r="T39" s="159"/>
      <c r="U39" s="159"/>
      <c r="V39" s="159"/>
      <c r="W39" s="159"/>
      <c r="X39" s="159"/>
      <c r="Y39" s="159"/>
      <c r="Z39" s="159"/>
      <c r="AA39" s="159"/>
      <c r="AB39" s="159"/>
      <c r="AC39" s="159"/>
      <c r="AD39" s="159"/>
      <c r="AE39" s="396"/>
      <c r="AF39" s="390"/>
      <c r="AG39" s="390"/>
      <c r="AH39" s="390"/>
    </row>
    <row r="40" spans="1:34" ht="15.75" customHeight="1" x14ac:dyDescent="0.35">
      <c r="A40" s="8"/>
      <c r="B40" s="392"/>
      <c r="C40" s="70"/>
      <c r="D40" s="70"/>
      <c r="E40" s="70"/>
      <c r="F40" s="70"/>
      <c r="G40" s="70"/>
      <c r="H40" s="70"/>
      <c r="I40" s="70"/>
      <c r="J40" s="70"/>
      <c r="K40" s="70"/>
      <c r="L40" s="70"/>
      <c r="M40" s="70"/>
      <c r="N40" s="70"/>
      <c r="O40" s="405"/>
      <c r="P40" s="70"/>
      <c r="Q40" s="159"/>
      <c r="R40" s="159"/>
      <c r="S40" s="159"/>
      <c r="T40" s="159"/>
      <c r="U40" s="159"/>
      <c r="V40" s="159"/>
      <c r="W40" s="159"/>
      <c r="X40" s="159"/>
      <c r="Y40" s="159"/>
      <c r="Z40" s="159"/>
      <c r="AA40" s="159"/>
      <c r="AB40" s="159"/>
      <c r="AC40" s="159"/>
      <c r="AD40" s="159"/>
      <c r="AE40" s="396"/>
      <c r="AF40" s="390"/>
      <c r="AG40" s="390"/>
      <c r="AH40" s="390"/>
    </row>
    <row r="41" spans="1:34" ht="15.75" customHeight="1" x14ac:dyDescent="0.35">
      <c r="A41" s="8"/>
      <c r="B41" s="392"/>
      <c r="C41" s="70"/>
      <c r="D41" s="70"/>
      <c r="E41" s="70"/>
      <c r="F41" s="70"/>
      <c r="G41" s="70"/>
      <c r="H41" s="70"/>
      <c r="I41" s="70"/>
      <c r="J41" s="70"/>
      <c r="K41" s="70"/>
      <c r="L41" s="70"/>
      <c r="M41" s="70"/>
      <c r="N41" s="70"/>
      <c r="O41" s="405"/>
      <c r="P41" s="70"/>
      <c r="Q41" s="159"/>
      <c r="R41" s="159"/>
      <c r="S41" s="159"/>
      <c r="T41" s="159"/>
      <c r="U41" s="159"/>
      <c r="V41" s="159"/>
      <c r="W41" s="159"/>
      <c r="X41" s="159"/>
      <c r="Y41" s="159"/>
      <c r="Z41" s="159"/>
      <c r="AA41" s="159"/>
      <c r="AB41" s="159"/>
      <c r="AC41" s="159"/>
      <c r="AD41" s="159"/>
      <c r="AE41" s="396"/>
      <c r="AF41" s="390"/>
      <c r="AG41" s="390"/>
      <c r="AH41" s="390"/>
    </row>
    <row r="42" spans="1:34" ht="15.75" customHeight="1" x14ac:dyDescent="0.35">
      <c r="A42" s="8"/>
      <c r="B42" s="392"/>
      <c r="C42" s="70"/>
      <c r="D42" s="70"/>
      <c r="E42" s="70"/>
      <c r="F42" s="70"/>
      <c r="G42" s="70"/>
      <c r="H42" s="70"/>
      <c r="I42" s="70"/>
      <c r="J42" s="70"/>
      <c r="K42" s="70"/>
      <c r="L42" s="70"/>
      <c r="M42" s="70"/>
      <c r="N42" s="70"/>
      <c r="O42" s="405"/>
      <c r="P42" s="70"/>
      <c r="Q42" s="159"/>
      <c r="R42" s="159"/>
      <c r="S42" s="159"/>
      <c r="T42" s="159"/>
      <c r="U42" s="159"/>
      <c r="V42" s="159"/>
      <c r="W42" s="159"/>
      <c r="X42" s="159"/>
      <c r="Y42" s="159"/>
      <c r="Z42" s="159"/>
      <c r="AA42" s="159"/>
      <c r="AB42" s="159"/>
      <c r="AC42" s="159"/>
      <c r="AD42" s="159"/>
      <c r="AE42" s="396"/>
      <c r="AF42" s="390"/>
      <c r="AG42" s="390"/>
      <c r="AH42" s="390"/>
    </row>
    <row r="43" spans="1:34" ht="15.75" customHeight="1" x14ac:dyDescent="0.35">
      <c r="A43" s="8"/>
      <c r="B43" s="392"/>
      <c r="C43" s="70"/>
      <c r="D43" s="70"/>
      <c r="E43" s="70"/>
      <c r="F43" s="70"/>
      <c r="G43" s="70"/>
      <c r="H43" s="70"/>
      <c r="I43" s="70"/>
      <c r="J43" s="70"/>
      <c r="K43" s="70"/>
      <c r="L43" s="70"/>
      <c r="M43" s="70"/>
      <c r="N43" s="70"/>
      <c r="O43" s="405"/>
      <c r="P43" s="70"/>
      <c r="Q43" s="159"/>
      <c r="R43" s="159"/>
      <c r="S43" s="159"/>
      <c r="T43" s="159"/>
      <c r="U43" s="159"/>
      <c r="V43" s="159"/>
      <c r="W43" s="159"/>
      <c r="X43" s="159"/>
      <c r="Y43" s="159"/>
      <c r="Z43" s="159"/>
      <c r="AA43" s="159"/>
      <c r="AB43" s="159"/>
      <c r="AC43" s="159"/>
      <c r="AD43" s="159"/>
      <c r="AE43" s="396"/>
      <c r="AF43" s="390"/>
      <c r="AG43" s="390"/>
      <c r="AH43" s="390"/>
    </row>
    <row r="44" spans="1:34" x14ac:dyDescent="0.35">
      <c r="C44" s="70"/>
      <c r="D44" s="70"/>
      <c r="E44" s="397"/>
      <c r="F44" s="70"/>
      <c r="G44" s="70"/>
      <c r="H44" s="70"/>
      <c r="I44" s="70"/>
      <c r="J44" s="70"/>
      <c r="K44" s="70"/>
      <c r="L44" s="70"/>
      <c r="M44" s="70"/>
      <c r="N44" s="70"/>
      <c r="P44" s="70"/>
      <c r="Q44" s="70"/>
      <c r="R44" s="70"/>
      <c r="S44" s="70"/>
      <c r="T44" s="70"/>
      <c r="U44" s="70"/>
      <c r="V44" s="70"/>
      <c r="W44" s="70"/>
      <c r="X44" s="70"/>
      <c r="Y44" s="70"/>
      <c r="Z44" s="70"/>
      <c r="AA44" s="70"/>
      <c r="AB44" s="70"/>
      <c r="AC44" s="70"/>
      <c r="AD44" s="70"/>
      <c r="AE44" s="70"/>
    </row>
    <row r="45" spans="1:34" x14ac:dyDescent="0.35">
      <c r="B45" s="438" t="s">
        <v>400</v>
      </c>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row>
    <row r="46" spans="1:34" ht="27" customHeight="1" x14ac:dyDescent="0.35">
      <c r="B46" s="1300" t="s">
        <v>401</v>
      </c>
      <c r="C46" s="1301"/>
      <c r="D46" s="1302"/>
      <c r="E46" s="1302"/>
      <c r="F46" s="1302"/>
      <c r="G46" s="1302"/>
      <c r="H46" s="1302"/>
      <c r="I46" s="1302"/>
      <c r="J46" s="1302"/>
      <c r="K46" s="1302"/>
      <c r="L46" s="1302"/>
      <c r="M46" s="1302"/>
      <c r="N46" s="1302"/>
      <c r="O46" s="1302"/>
      <c r="P46" s="1302"/>
      <c r="Q46" s="1302"/>
      <c r="R46" s="1302"/>
      <c r="S46" s="1302"/>
      <c r="T46" s="1302"/>
      <c r="U46" s="1302"/>
      <c r="V46" s="1302"/>
      <c r="W46" s="1302"/>
      <c r="X46" s="1302"/>
      <c r="Y46" s="1302"/>
      <c r="Z46" s="1302"/>
      <c r="AA46" s="1302"/>
      <c r="AB46" s="1302"/>
      <c r="AC46" s="1303"/>
      <c r="AD46" s="450" t="s">
        <v>383</v>
      </c>
      <c r="AE46" s="449"/>
    </row>
    <row r="47" spans="1:34" ht="17.649999999999999" customHeight="1" x14ac:dyDescent="0.35">
      <c r="B47" s="459" t="s">
        <v>402</v>
      </c>
      <c r="C47" s="70"/>
      <c r="D47" s="477"/>
      <c r="E47" s="462"/>
      <c r="F47" s="462"/>
      <c r="G47" s="462"/>
      <c r="H47" s="455"/>
      <c r="I47" s="455"/>
      <c r="J47" s="431">
        <f>SUM(J48:J50)</f>
        <v>692.8</v>
      </c>
      <c r="K47" s="431">
        <f t="shared" ref="K47:P47" si="14">SUM(K48:K50)</f>
        <v>39.200000000000003</v>
      </c>
      <c r="L47" s="431">
        <f t="shared" si="14"/>
        <v>29</v>
      </c>
      <c r="M47" s="431">
        <f t="shared" si="14"/>
        <v>27</v>
      </c>
      <c r="N47" s="431">
        <f t="shared" si="14"/>
        <v>18</v>
      </c>
      <c r="O47" s="431">
        <f t="shared" si="14"/>
        <v>0</v>
      </c>
      <c r="P47" s="478">
        <f t="shared" si="14"/>
        <v>0</v>
      </c>
      <c r="Q47" s="431"/>
      <c r="R47" s="431"/>
      <c r="S47" s="453"/>
      <c r="T47" s="453"/>
      <c r="U47" s="453"/>
      <c r="V47" s="453"/>
      <c r="W47" s="453"/>
      <c r="X47" s="453"/>
      <c r="Y47" s="453"/>
      <c r="Z47" s="453"/>
      <c r="AA47" s="453"/>
      <c r="AB47" s="453"/>
      <c r="AC47" s="430"/>
      <c r="AD47" s="398">
        <f t="shared" ref="AD47:AD61" si="15">SUM(I47:Y47)/4</f>
        <v>201.5</v>
      </c>
      <c r="AE47" s="1288" t="s">
        <v>403</v>
      </c>
      <c r="AF47" s="1242"/>
    </row>
    <row r="48" spans="1:34" x14ac:dyDescent="0.35">
      <c r="B48" s="394" t="s">
        <v>149</v>
      </c>
      <c r="C48" s="70"/>
      <c r="D48" s="411"/>
      <c r="E48" s="70"/>
      <c r="F48" s="70"/>
      <c r="G48" s="70"/>
      <c r="H48" s="71"/>
      <c r="I48" s="71"/>
      <c r="J48" s="375">
        <f>C68*4</f>
        <v>600</v>
      </c>
      <c r="K48" s="375"/>
      <c r="L48" s="375"/>
      <c r="M48" s="375"/>
      <c r="N48" s="375"/>
      <c r="O48" s="375"/>
      <c r="P48" s="435"/>
      <c r="Q48" s="375"/>
      <c r="R48" s="375"/>
      <c r="S48" s="357"/>
      <c r="T48" s="357"/>
      <c r="U48" s="357"/>
      <c r="V48" s="357"/>
      <c r="W48" s="357"/>
      <c r="X48" s="357"/>
      <c r="Y48" s="357"/>
      <c r="Z48" s="357"/>
      <c r="AA48" s="357"/>
      <c r="AB48" s="357"/>
      <c r="AC48" s="460"/>
      <c r="AD48" s="398">
        <f t="shared" si="15"/>
        <v>150</v>
      </c>
      <c r="AE48" s="375"/>
    </row>
    <row r="49" spans="1:88" ht="15" customHeight="1" x14ac:dyDescent="0.35">
      <c r="B49" s="394" t="s">
        <v>150</v>
      </c>
      <c r="C49" s="70"/>
      <c r="D49" s="411"/>
      <c r="E49" s="70"/>
      <c r="F49" s="70"/>
      <c r="G49" s="70"/>
      <c r="H49" s="71"/>
      <c r="I49" s="71"/>
      <c r="J49" s="375">
        <v>28.4</v>
      </c>
      <c r="K49" s="375">
        <v>15.8</v>
      </c>
      <c r="L49" s="375">
        <v>15.2</v>
      </c>
      <c r="M49" s="375">
        <v>10.9</v>
      </c>
      <c r="N49" s="375">
        <v>18</v>
      </c>
      <c r="O49" s="375"/>
      <c r="P49" s="435"/>
      <c r="Q49" s="375"/>
      <c r="R49" s="375"/>
      <c r="S49" s="1201">
        <v>20</v>
      </c>
      <c r="T49" s="1201">
        <v>10</v>
      </c>
      <c r="U49" s="357"/>
      <c r="V49" s="357"/>
      <c r="W49" s="357"/>
      <c r="X49" s="357"/>
      <c r="Y49" s="357"/>
      <c r="Z49" s="357"/>
      <c r="AA49" s="357"/>
      <c r="AB49" s="357"/>
      <c r="AC49" s="460"/>
      <c r="AD49" s="398">
        <f t="shared" si="15"/>
        <v>29.575000000000003</v>
      </c>
      <c r="AE49" s="375"/>
    </row>
    <row r="50" spans="1:88" x14ac:dyDescent="0.35">
      <c r="B50" s="394" t="s">
        <v>152</v>
      </c>
      <c r="C50" s="70"/>
      <c r="D50" s="411"/>
      <c r="E50" s="70"/>
      <c r="F50" s="70"/>
      <c r="G50" s="70"/>
      <c r="H50" s="71"/>
      <c r="I50" s="71"/>
      <c r="J50" s="151">
        <v>64.400000000000006</v>
      </c>
      <c r="K50" s="151">
        <v>23.4</v>
      </c>
      <c r="L50" s="151">
        <v>13.8</v>
      </c>
      <c r="M50" s="151">
        <v>16.100000000000001</v>
      </c>
      <c r="N50" s="375"/>
      <c r="O50" s="375"/>
      <c r="P50" s="435"/>
      <c r="Q50" s="375"/>
      <c r="R50" s="375"/>
      <c r="S50" s="357"/>
      <c r="T50" s="357"/>
      <c r="U50" s="357"/>
      <c r="V50" s="357"/>
      <c r="W50" s="357"/>
      <c r="X50" s="357"/>
      <c r="Y50" s="357"/>
      <c r="Z50" s="357"/>
      <c r="AA50" s="357"/>
      <c r="AB50" s="357"/>
      <c r="AC50" s="460"/>
      <c r="AD50" s="398">
        <f t="shared" si="15"/>
        <v>29.425000000000004</v>
      </c>
      <c r="AE50" s="375"/>
    </row>
    <row r="51" spans="1:88" ht="16.5" customHeight="1" x14ac:dyDescent="0.35">
      <c r="B51" s="459" t="s">
        <v>404</v>
      </c>
      <c r="C51" s="70"/>
      <c r="D51" s="411"/>
      <c r="E51" s="70"/>
      <c r="F51" s="70"/>
      <c r="G51" s="70"/>
      <c r="H51" s="71"/>
      <c r="I51" s="71"/>
      <c r="J51" s="71"/>
      <c r="K51" s="71"/>
      <c r="L51" s="71"/>
      <c r="M51" s="375">
        <f>SUM(M52:M56)</f>
        <v>43</v>
      </c>
      <c r="N51" s="375">
        <f t="shared" ref="N51:AC51" si="16">SUM(N52:N56)</f>
        <v>70</v>
      </c>
      <c r="O51" s="375">
        <f t="shared" si="16"/>
        <v>59.999999999999964</v>
      </c>
      <c r="P51" s="435">
        <f t="shared" si="16"/>
        <v>50</v>
      </c>
      <c r="Q51" s="375">
        <f t="shared" si="16"/>
        <v>44.999999999999964</v>
      </c>
      <c r="R51" s="375">
        <f t="shared" si="16"/>
        <v>44.999999999999964</v>
      </c>
      <c r="S51" s="357">
        <f t="shared" si="16"/>
        <v>44.999999999999964</v>
      </c>
      <c r="T51" s="357">
        <f t="shared" si="16"/>
        <v>44.999999999999964</v>
      </c>
      <c r="U51" s="357">
        <f t="shared" si="16"/>
        <v>44.999999999999964</v>
      </c>
      <c r="V51" s="357">
        <f t="shared" si="16"/>
        <v>44.999999999999964</v>
      </c>
      <c r="W51" s="357">
        <f t="shared" si="16"/>
        <v>44.999999999999964</v>
      </c>
      <c r="X51" s="357">
        <f t="shared" si="16"/>
        <v>44.999999999999964</v>
      </c>
      <c r="Y51" s="357">
        <f t="shared" si="16"/>
        <v>19</v>
      </c>
      <c r="Z51" s="357">
        <f t="shared" si="16"/>
        <v>0</v>
      </c>
      <c r="AA51" s="357">
        <f t="shared" si="16"/>
        <v>0</v>
      </c>
      <c r="AB51" s="357">
        <f t="shared" si="16"/>
        <v>0</v>
      </c>
      <c r="AC51" s="460">
        <f t="shared" si="16"/>
        <v>0</v>
      </c>
      <c r="AD51" s="398">
        <f t="shared" si="15"/>
        <v>150.49999999999991</v>
      </c>
      <c r="AE51" s="1288" t="s">
        <v>405</v>
      </c>
      <c r="AF51" s="1242"/>
    </row>
    <row r="52" spans="1:88" x14ac:dyDescent="0.35">
      <c r="B52" s="394" t="s">
        <v>391</v>
      </c>
      <c r="C52" s="70"/>
      <c r="D52" s="411"/>
      <c r="E52" s="70"/>
      <c r="F52" s="70"/>
      <c r="G52" s="70"/>
      <c r="H52" s="71"/>
      <c r="I52" s="71"/>
      <c r="J52" s="71"/>
      <c r="K52" s="71"/>
      <c r="L52" s="71"/>
      <c r="M52" s="375">
        <f>C71/12*4</f>
        <v>9.6666666666666661</v>
      </c>
      <c r="N52" s="375">
        <f>M52</f>
        <v>9.6666666666666661</v>
      </c>
      <c r="O52" s="375">
        <f t="shared" ref="O52:X52" si="17">N52</f>
        <v>9.6666666666666661</v>
      </c>
      <c r="P52" s="435">
        <f t="shared" si="17"/>
        <v>9.6666666666666661</v>
      </c>
      <c r="Q52" s="375">
        <f t="shared" si="17"/>
        <v>9.6666666666666661</v>
      </c>
      <c r="R52" s="375">
        <f t="shared" si="17"/>
        <v>9.6666666666666661</v>
      </c>
      <c r="S52" s="357">
        <f t="shared" si="17"/>
        <v>9.6666666666666661</v>
      </c>
      <c r="T52" s="357">
        <f t="shared" si="17"/>
        <v>9.6666666666666661</v>
      </c>
      <c r="U52" s="357">
        <f t="shared" si="17"/>
        <v>9.6666666666666661</v>
      </c>
      <c r="V52" s="357">
        <f t="shared" si="17"/>
        <v>9.6666666666666661</v>
      </c>
      <c r="W52" s="357">
        <f t="shared" si="17"/>
        <v>9.6666666666666661</v>
      </c>
      <c r="X52" s="357">
        <f t="shared" si="17"/>
        <v>9.6666666666666661</v>
      </c>
      <c r="Y52" s="354"/>
      <c r="Z52" s="354"/>
      <c r="AA52" s="354"/>
      <c r="AB52" s="354"/>
      <c r="AC52" s="461"/>
      <c r="AD52" s="398">
        <f t="shared" si="15"/>
        <v>29.000000000000004</v>
      </c>
      <c r="AE52" s="1288"/>
      <c r="AF52" s="1242"/>
    </row>
    <row r="53" spans="1:88" ht="41.5" customHeight="1" x14ac:dyDescent="0.35">
      <c r="B53" s="394" t="s">
        <v>150</v>
      </c>
      <c r="C53" s="70"/>
      <c r="D53" s="411"/>
      <c r="E53" s="70"/>
      <c r="F53" s="70"/>
      <c r="G53" s="70"/>
      <c r="H53" s="71"/>
      <c r="I53" s="71"/>
      <c r="J53" s="71"/>
      <c r="K53" s="71"/>
      <c r="L53" s="71"/>
      <c r="M53" s="432">
        <f>C82/12*4 - 7</f>
        <v>20.333333333333332</v>
      </c>
      <c r="N53" s="432">
        <f>C82/12*4 + 20</f>
        <v>47.333333333333329</v>
      </c>
      <c r="O53" s="432">
        <v>37.3333333333333</v>
      </c>
      <c r="P53" s="479">
        <v>27.333333333333332</v>
      </c>
      <c r="Q53" s="432">
        <v>22.3333333333333</v>
      </c>
      <c r="R53" s="432">
        <v>22.3333333333333</v>
      </c>
      <c r="S53" s="466">
        <v>22.3333333333333</v>
      </c>
      <c r="T53" s="466">
        <v>22.3333333333333</v>
      </c>
      <c r="U53" s="466">
        <v>22.3333333333333</v>
      </c>
      <c r="V53" s="466">
        <v>22.3333333333333</v>
      </c>
      <c r="W53" s="466">
        <v>22.3333333333333</v>
      </c>
      <c r="X53" s="466">
        <v>22.3333333333333</v>
      </c>
      <c r="Y53" s="466">
        <v>19</v>
      </c>
      <c r="Z53" s="466"/>
      <c r="AA53" s="466"/>
      <c r="AB53" s="466"/>
      <c r="AC53" s="467"/>
      <c r="AD53" s="398">
        <f>SUM(I53:Y53)/4</f>
        <v>82.499999999999943</v>
      </c>
      <c r="AE53" s="473" t="s">
        <v>406</v>
      </c>
    </row>
    <row r="54" spans="1:88" x14ac:dyDescent="0.35">
      <c r="B54" s="394" t="s">
        <v>152</v>
      </c>
      <c r="C54" s="70"/>
      <c r="D54" s="411"/>
      <c r="E54" s="70"/>
      <c r="F54" s="70"/>
      <c r="G54" s="70"/>
      <c r="H54" s="71"/>
      <c r="I54" s="71"/>
      <c r="J54" s="71"/>
      <c r="K54" s="71"/>
      <c r="L54" s="71"/>
      <c r="M54" s="375">
        <f>C83/12*4</f>
        <v>1</v>
      </c>
      <c r="N54" s="375">
        <f>C83/12*4</f>
        <v>1</v>
      </c>
      <c r="O54" s="375">
        <f t="shared" ref="O54:X54" si="18">$C$83/12*4</f>
        <v>1</v>
      </c>
      <c r="P54" s="435">
        <f t="shared" si="18"/>
        <v>1</v>
      </c>
      <c r="Q54" s="375">
        <f t="shared" si="18"/>
        <v>1</v>
      </c>
      <c r="R54" s="375">
        <f t="shared" si="18"/>
        <v>1</v>
      </c>
      <c r="S54" s="357">
        <f t="shared" si="18"/>
        <v>1</v>
      </c>
      <c r="T54" s="357">
        <f t="shared" si="18"/>
        <v>1</v>
      </c>
      <c r="U54" s="357">
        <f t="shared" si="18"/>
        <v>1</v>
      </c>
      <c r="V54" s="357">
        <f t="shared" si="18"/>
        <v>1</v>
      </c>
      <c r="W54" s="357">
        <f t="shared" si="18"/>
        <v>1</v>
      </c>
      <c r="X54" s="357">
        <f t="shared" si="18"/>
        <v>1</v>
      </c>
      <c r="Y54" s="354"/>
      <c r="Z54" s="354"/>
      <c r="AA54" s="354"/>
      <c r="AB54" s="354"/>
      <c r="AC54" s="461"/>
      <c r="AD54" s="398">
        <f t="shared" si="15"/>
        <v>3</v>
      </c>
      <c r="AE54" s="71"/>
    </row>
    <row r="55" spans="1:88" ht="13.15" customHeight="1" x14ac:dyDescent="0.35">
      <c r="B55" s="394" t="s">
        <v>407</v>
      </c>
      <c r="C55" s="70"/>
      <c r="D55" s="411"/>
      <c r="E55" s="70"/>
      <c r="F55" s="70"/>
      <c r="G55" s="70"/>
      <c r="H55" s="71"/>
      <c r="I55" s="71"/>
      <c r="J55" s="71"/>
      <c r="K55" s="71"/>
      <c r="L55" s="71"/>
      <c r="M55" s="375">
        <f t="shared" ref="M55:X55" si="19">$C$84/12*4</f>
        <v>11.333333333333334</v>
      </c>
      <c r="N55" s="375">
        <f t="shared" si="19"/>
        <v>11.333333333333334</v>
      </c>
      <c r="O55" s="375">
        <f t="shared" si="19"/>
        <v>11.333333333333334</v>
      </c>
      <c r="P55" s="435">
        <f t="shared" si="19"/>
        <v>11.333333333333334</v>
      </c>
      <c r="Q55" s="375">
        <f t="shared" si="19"/>
        <v>11.333333333333334</v>
      </c>
      <c r="R55" s="375">
        <f t="shared" si="19"/>
        <v>11.333333333333334</v>
      </c>
      <c r="S55" s="357">
        <f t="shared" si="19"/>
        <v>11.333333333333334</v>
      </c>
      <c r="T55" s="357">
        <f t="shared" si="19"/>
        <v>11.333333333333334</v>
      </c>
      <c r="U55" s="357">
        <f t="shared" si="19"/>
        <v>11.333333333333334</v>
      </c>
      <c r="V55" s="357">
        <f t="shared" si="19"/>
        <v>11.333333333333334</v>
      </c>
      <c r="W55" s="357">
        <f t="shared" si="19"/>
        <v>11.333333333333334</v>
      </c>
      <c r="X55" s="357">
        <f t="shared" si="19"/>
        <v>11.333333333333334</v>
      </c>
      <c r="Y55" s="354"/>
      <c r="Z55" s="354"/>
      <c r="AA55" s="354"/>
      <c r="AB55" s="354"/>
      <c r="AC55" s="461"/>
      <c r="AD55" s="398">
        <f t="shared" si="15"/>
        <v>33.999999999999993</v>
      </c>
      <c r="AE55" s="71"/>
    </row>
    <row r="56" spans="1:88" ht="29.25" customHeight="1" x14ac:dyDescent="0.35">
      <c r="B56" s="394" t="s">
        <v>408</v>
      </c>
      <c r="C56" s="70"/>
      <c r="D56" s="411"/>
      <c r="E56" s="70"/>
      <c r="F56" s="70"/>
      <c r="G56" s="70"/>
      <c r="H56" s="71"/>
      <c r="I56" s="71"/>
      <c r="J56" s="71"/>
      <c r="K56" s="71"/>
      <c r="L56" s="71"/>
      <c r="M56" s="375">
        <f t="shared" ref="M56:X56" si="20">$C$85/12*4</f>
        <v>0.66666666666666663</v>
      </c>
      <c r="N56" s="375">
        <f t="shared" si="20"/>
        <v>0.66666666666666663</v>
      </c>
      <c r="O56" s="375">
        <f t="shared" si="20"/>
        <v>0.66666666666666663</v>
      </c>
      <c r="P56" s="435">
        <f t="shared" si="20"/>
        <v>0.66666666666666663</v>
      </c>
      <c r="Q56" s="375">
        <f t="shared" si="20"/>
        <v>0.66666666666666663</v>
      </c>
      <c r="R56" s="375">
        <f t="shared" si="20"/>
        <v>0.66666666666666663</v>
      </c>
      <c r="S56" s="357">
        <f t="shared" si="20"/>
        <v>0.66666666666666663</v>
      </c>
      <c r="T56" s="357">
        <f t="shared" si="20"/>
        <v>0.66666666666666663</v>
      </c>
      <c r="U56" s="357">
        <f t="shared" si="20"/>
        <v>0.66666666666666663</v>
      </c>
      <c r="V56" s="357">
        <f t="shared" si="20"/>
        <v>0.66666666666666663</v>
      </c>
      <c r="W56" s="357">
        <f t="shared" si="20"/>
        <v>0.66666666666666663</v>
      </c>
      <c r="X56" s="357">
        <f t="shared" si="20"/>
        <v>0.66666666666666663</v>
      </c>
      <c r="Y56" s="354"/>
      <c r="Z56" s="354"/>
      <c r="AA56" s="354"/>
      <c r="AB56" s="354"/>
      <c r="AC56" s="461"/>
      <c r="AD56" s="398">
        <f t="shared" si="15"/>
        <v>2</v>
      </c>
      <c r="AE56" s="71"/>
    </row>
    <row r="57" spans="1:88" ht="44.25" customHeight="1" x14ac:dyDescent="0.35">
      <c r="B57" s="459" t="s">
        <v>409</v>
      </c>
      <c r="C57" s="70"/>
      <c r="D57" s="411"/>
      <c r="E57" s="70"/>
      <c r="F57" s="70"/>
      <c r="G57" s="70"/>
      <c r="H57" s="71"/>
      <c r="I57" s="71"/>
      <c r="J57" s="71"/>
      <c r="K57" s="71"/>
      <c r="L57" s="71"/>
      <c r="M57" s="375"/>
      <c r="N57" s="375">
        <f t="shared" ref="N57:AC57" si="21">SUM(N58:N62)</f>
        <v>954.03959999999972</v>
      </c>
      <c r="O57" s="375">
        <f t="shared" si="21"/>
        <v>85.500399999999999</v>
      </c>
      <c r="P57" s="435">
        <f t="shared" si="21"/>
        <v>83.481000000000009</v>
      </c>
      <c r="Q57" s="375">
        <f t="shared" si="21"/>
        <v>662.76099999999997</v>
      </c>
      <c r="R57" s="375">
        <f t="shared" si="21"/>
        <v>83.481000000000009</v>
      </c>
      <c r="S57" s="357">
        <f t="shared" si="21"/>
        <v>83.481000000000009</v>
      </c>
      <c r="T57" s="357">
        <f t="shared" si="21"/>
        <v>62.811999999999998</v>
      </c>
      <c r="U57" s="357">
        <f t="shared" si="21"/>
        <v>62.811999999999998</v>
      </c>
      <c r="V57" s="357">
        <f t="shared" si="21"/>
        <v>62.811999999999998</v>
      </c>
      <c r="W57" s="357">
        <f t="shared" si="21"/>
        <v>62.811999999999998</v>
      </c>
      <c r="X57" s="357">
        <f t="shared" si="21"/>
        <v>41.554000000000002</v>
      </c>
      <c r="Y57" s="357">
        <f t="shared" si="21"/>
        <v>41.554000000000002</v>
      </c>
      <c r="Z57" s="357">
        <f t="shared" si="21"/>
        <v>41.554000000000002</v>
      </c>
      <c r="AA57" s="357">
        <f t="shared" si="21"/>
        <v>41.554000000000002</v>
      </c>
      <c r="AB57" s="357">
        <f t="shared" si="21"/>
        <v>27.678000000000001</v>
      </c>
      <c r="AC57" s="460">
        <f t="shared" si="21"/>
        <v>27.678000000000001</v>
      </c>
      <c r="AD57" s="398">
        <f t="shared" si="15"/>
        <v>571.77499999999986</v>
      </c>
      <c r="AE57" s="1288" t="s">
        <v>410</v>
      </c>
      <c r="AF57" s="1242"/>
    </row>
    <row r="58" spans="1:88" ht="17.649999999999999" customHeight="1" x14ac:dyDescent="0.35">
      <c r="B58" s="394" t="s">
        <v>396</v>
      </c>
      <c r="C58" s="70"/>
      <c r="D58" s="411"/>
      <c r="E58" s="70"/>
      <c r="F58" s="70"/>
      <c r="G58" s="70"/>
      <c r="H58" s="71"/>
      <c r="I58" s="71"/>
      <c r="J58" s="71"/>
      <c r="K58" s="71"/>
      <c r="L58" s="71"/>
      <c r="M58" s="375"/>
      <c r="N58" s="375">
        <f>0.6*C87*4</f>
        <v>868.91999999999985</v>
      </c>
      <c r="O58" s="375"/>
      <c r="P58" s="435"/>
      <c r="Q58" s="375">
        <f>0.4*C87*4</f>
        <v>579.28</v>
      </c>
      <c r="R58" s="375"/>
      <c r="S58" s="357"/>
      <c r="T58" s="357"/>
      <c r="U58" s="357"/>
      <c r="V58" s="357"/>
      <c r="W58" s="357"/>
      <c r="X58" s="357"/>
      <c r="Y58" s="357"/>
      <c r="Z58" s="357"/>
      <c r="AA58" s="357"/>
      <c r="AB58" s="357"/>
      <c r="AC58" s="460"/>
      <c r="AD58" s="398">
        <f t="shared" si="15"/>
        <v>362.04999999999995</v>
      </c>
      <c r="AE58" s="423" t="s">
        <v>411</v>
      </c>
      <c r="AF58" s="423"/>
    </row>
    <row r="59" spans="1:88" x14ac:dyDescent="0.35">
      <c r="B59" s="394" t="s">
        <v>150</v>
      </c>
      <c r="C59" s="70"/>
      <c r="D59" s="411"/>
      <c r="E59" s="70"/>
      <c r="F59" s="70"/>
      <c r="G59" s="70"/>
      <c r="H59" s="71"/>
      <c r="I59" s="71"/>
      <c r="J59" s="71"/>
      <c r="K59" s="71"/>
      <c r="L59" s="71"/>
      <c r="M59" s="375"/>
      <c r="N59" s="375">
        <f>'ARP Quarterly'!D9</f>
        <v>24.693999999999999</v>
      </c>
      <c r="O59" s="375">
        <f>'ARP Quarterly'!E9</f>
        <v>24.693999999999999</v>
      </c>
      <c r="P59" s="435">
        <f>'ARP Quarterly'!F9</f>
        <v>46.79</v>
      </c>
      <c r="Q59" s="375">
        <f>'ARP Quarterly'!G9</f>
        <v>46.79</v>
      </c>
      <c r="R59" s="375">
        <f>'ARP Quarterly'!H9</f>
        <v>46.79</v>
      </c>
      <c r="S59" s="357">
        <f>'ARP Quarterly'!I9</f>
        <v>46.79</v>
      </c>
      <c r="T59" s="357">
        <f>'ARP Quarterly'!J9</f>
        <v>38.595999999999997</v>
      </c>
      <c r="U59" s="357">
        <f>'ARP Quarterly'!K9</f>
        <v>38.595999999999997</v>
      </c>
      <c r="V59" s="357">
        <f>'ARP Quarterly'!L9</f>
        <v>38.595999999999997</v>
      </c>
      <c r="W59" s="357">
        <f>'ARP Quarterly'!M9</f>
        <v>38.595999999999997</v>
      </c>
      <c r="X59" s="357">
        <f>'ARP Quarterly'!N9</f>
        <v>31.911000000000001</v>
      </c>
      <c r="Y59" s="357">
        <f>'ARP Quarterly'!O9</f>
        <v>31.911000000000001</v>
      </c>
      <c r="Z59" s="357">
        <f>'ARP Quarterly'!P9</f>
        <v>31.911000000000001</v>
      </c>
      <c r="AA59" s="357">
        <f>'ARP Quarterly'!Q9</f>
        <v>31.911000000000001</v>
      </c>
      <c r="AB59" s="357">
        <f>'ARP Quarterly'!R9</f>
        <v>23.099</v>
      </c>
      <c r="AC59" s="460">
        <f>'ARP Quarterly'!S9</f>
        <v>23.099</v>
      </c>
      <c r="AD59" s="398">
        <f t="shared" si="15"/>
        <v>113.68849999999999</v>
      </c>
      <c r="AE59" s="375"/>
    </row>
    <row r="60" spans="1:88" x14ac:dyDescent="0.35">
      <c r="B60" s="394" t="s">
        <v>152</v>
      </c>
      <c r="C60" s="70"/>
      <c r="D60" s="411"/>
      <c r="E60" s="70"/>
      <c r="F60" s="70"/>
      <c r="G60" s="70"/>
      <c r="H60" s="71"/>
      <c r="I60" s="71"/>
      <c r="J60" s="71"/>
      <c r="K60" s="71"/>
      <c r="L60" s="71"/>
      <c r="M60" s="375"/>
      <c r="N60" s="375">
        <f>'ARP Quarterly'!D14</f>
        <v>1.1696</v>
      </c>
      <c r="O60" s="375">
        <f>'ARP Quarterly'!E14</f>
        <v>1.5503999999999998</v>
      </c>
      <c r="P60" s="435">
        <f>'ARP Quarterly'!F14</f>
        <v>1.02</v>
      </c>
      <c r="Q60" s="375">
        <f>'ARP Quarterly'!G14</f>
        <v>1.02</v>
      </c>
      <c r="R60" s="375">
        <f>'ARP Quarterly'!H14</f>
        <v>1.02</v>
      </c>
      <c r="S60" s="357">
        <f>'ARP Quarterly'!I14</f>
        <v>1.02</v>
      </c>
      <c r="T60" s="357">
        <f>'ARP Quarterly'!J14</f>
        <v>0</v>
      </c>
      <c r="U60" s="357">
        <f>'ARP Quarterly'!K14</f>
        <v>0</v>
      </c>
      <c r="V60" s="357">
        <f>'ARP Quarterly'!L14</f>
        <v>0</v>
      </c>
      <c r="W60" s="357">
        <f>'ARP Quarterly'!M14</f>
        <v>0</v>
      </c>
      <c r="X60" s="357">
        <f>'ARP Quarterly'!N14</f>
        <v>0</v>
      </c>
      <c r="Y60" s="357">
        <f>'ARP Quarterly'!O14</f>
        <v>0</v>
      </c>
      <c r="Z60" s="357">
        <f>'ARP Quarterly'!P14</f>
        <v>0</v>
      </c>
      <c r="AA60" s="357">
        <f>'ARP Quarterly'!Q14</f>
        <v>0</v>
      </c>
      <c r="AB60" s="357">
        <f>'ARP Quarterly'!R14</f>
        <v>0</v>
      </c>
      <c r="AC60" s="460">
        <f>'ARP Quarterly'!S14</f>
        <v>0</v>
      </c>
      <c r="AD60" s="398">
        <f t="shared" si="15"/>
        <v>1.6999999999999997</v>
      </c>
      <c r="AE60" s="375"/>
    </row>
    <row r="61" spans="1:88" x14ac:dyDescent="0.35">
      <c r="B61" s="394" t="s">
        <v>412</v>
      </c>
      <c r="C61" s="70"/>
      <c r="D61" s="411"/>
      <c r="E61" s="70"/>
      <c r="F61" s="70"/>
      <c r="G61" s="70"/>
      <c r="H61" s="71"/>
      <c r="I61" s="71"/>
      <c r="J61" s="71"/>
      <c r="K61" s="71"/>
      <c r="L61" s="71"/>
      <c r="M61" s="375"/>
      <c r="N61" s="375">
        <f>'ARP Quarterly'!D10</f>
        <v>59.256</v>
      </c>
      <c r="O61" s="375">
        <f>'ARP Quarterly'!E10</f>
        <v>59.256</v>
      </c>
      <c r="P61" s="435">
        <f>'ARP Quarterly'!F10</f>
        <v>35.671000000000006</v>
      </c>
      <c r="Q61" s="375">
        <f>'ARP Quarterly'!G10</f>
        <v>35.671000000000006</v>
      </c>
      <c r="R61" s="375">
        <f>'ARP Quarterly'!H10</f>
        <v>35.671000000000006</v>
      </c>
      <c r="S61" s="357">
        <f>'ARP Quarterly'!I10</f>
        <v>35.671000000000006</v>
      </c>
      <c r="T61" s="357">
        <f>'ARP Quarterly'!J10</f>
        <v>24.216000000000001</v>
      </c>
      <c r="U61" s="357">
        <f>'ARP Quarterly'!K10</f>
        <v>24.216000000000001</v>
      </c>
      <c r="V61" s="357">
        <f>'ARP Quarterly'!L10</f>
        <v>24.216000000000001</v>
      </c>
      <c r="W61" s="357">
        <f>'ARP Quarterly'!M10</f>
        <v>24.216000000000001</v>
      </c>
      <c r="X61" s="357">
        <f>'ARP Quarterly'!N10</f>
        <v>9.6430000000000007</v>
      </c>
      <c r="Y61" s="357">
        <f>'ARP Quarterly'!O10</f>
        <v>9.6430000000000007</v>
      </c>
      <c r="Z61" s="357">
        <f>'ARP Quarterly'!P10</f>
        <v>9.6430000000000007</v>
      </c>
      <c r="AA61" s="357">
        <f>'ARP Quarterly'!Q10</f>
        <v>9.6430000000000007</v>
      </c>
      <c r="AB61" s="357">
        <f>'ARP Quarterly'!R10</f>
        <v>4.5789999999999997</v>
      </c>
      <c r="AC61" s="460">
        <f>'ARP Quarterly'!S10</f>
        <v>4.5789999999999997</v>
      </c>
      <c r="AD61" s="398">
        <f t="shared" si="15"/>
        <v>94.336500000000001</v>
      </c>
      <c r="AE61" s="375"/>
    </row>
    <row r="62" spans="1:88" x14ac:dyDescent="0.35">
      <c r="A62" s="8"/>
      <c r="B62" s="418"/>
      <c r="C62" s="415"/>
      <c r="D62" s="413"/>
      <c r="E62" s="415"/>
      <c r="F62" s="415"/>
      <c r="G62" s="415"/>
      <c r="H62" s="420"/>
      <c r="I62" s="420"/>
      <c r="J62" s="420"/>
      <c r="K62" s="420"/>
      <c r="L62" s="420"/>
      <c r="M62" s="433"/>
      <c r="N62" s="433"/>
      <c r="O62" s="433"/>
      <c r="P62" s="451"/>
      <c r="Q62" s="433"/>
      <c r="R62" s="433"/>
      <c r="S62" s="424"/>
      <c r="T62" s="424"/>
      <c r="U62" s="424"/>
      <c r="V62" s="424"/>
      <c r="W62" s="424"/>
      <c r="X62" s="424"/>
      <c r="Y62" s="424"/>
      <c r="Z62" s="424"/>
      <c r="AA62" s="424"/>
      <c r="AB62" s="424"/>
      <c r="AC62" s="425"/>
      <c r="AD62" s="451"/>
      <c r="AE62" s="375"/>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row>
    <row r="63" spans="1:88" x14ac:dyDescent="0.35">
      <c r="B63" s="392"/>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row>
    <row r="64" spans="1:88" x14ac:dyDescent="0.35">
      <c r="B64" s="392"/>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row>
    <row r="65" spans="2:34" ht="17.649999999999999" customHeight="1" x14ac:dyDescent="0.35">
      <c r="B65" s="426" t="s">
        <v>413</v>
      </c>
      <c r="H65" s="71"/>
      <c r="I65" s="71"/>
      <c r="J65" s="71"/>
      <c r="K65" s="71"/>
      <c r="L65" s="71"/>
      <c r="M65" s="71"/>
      <c r="N65" s="71"/>
      <c r="O65" s="71"/>
      <c r="P65" s="71"/>
      <c r="Q65" s="71"/>
      <c r="R65" s="71"/>
      <c r="S65" s="71"/>
      <c r="T65" s="71"/>
      <c r="U65" s="71"/>
      <c r="V65" s="71"/>
      <c r="W65" s="71"/>
      <c r="X65" s="71"/>
      <c r="Y65" s="71"/>
      <c r="Z65" s="71"/>
      <c r="AA65" s="71"/>
      <c r="AB65" s="71"/>
      <c r="AC65" s="71"/>
      <c r="AD65" s="71"/>
      <c r="AE65" s="71"/>
    </row>
    <row r="66" spans="2:34" ht="29.65" customHeight="1" x14ac:dyDescent="0.35">
      <c r="B66" s="469" t="s">
        <v>414</v>
      </c>
      <c r="C66" s="470" t="s">
        <v>415</v>
      </c>
      <c r="D66" s="471" t="s">
        <v>416</v>
      </c>
      <c r="E66" s="444" t="s">
        <v>417</v>
      </c>
      <c r="F66" s="71"/>
      <c r="G66" s="71"/>
      <c r="H66" s="71"/>
      <c r="I66" s="71"/>
      <c r="J66" s="71"/>
      <c r="K66" s="71"/>
      <c r="L66" s="71"/>
      <c r="M66" s="71"/>
      <c r="N66" s="71"/>
      <c r="O66" s="71"/>
      <c r="P66" s="71"/>
      <c r="Q66" s="71"/>
      <c r="R66" s="71"/>
      <c r="S66" s="71"/>
      <c r="T66" s="71"/>
      <c r="U66" s="71"/>
      <c r="V66" s="71"/>
      <c r="W66" s="71"/>
    </row>
    <row r="67" spans="2:34" ht="18.75" customHeight="1" x14ac:dyDescent="0.35">
      <c r="B67" s="476" t="s">
        <v>418</v>
      </c>
      <c r="C67" s="421">
        <f>SUM(C68:C73)</f>
        <v>898.11599999999999</v>
      </c>
      <c r="D67" s="71">
        <f>SUM(D68:D72)</f>
        <v>202.36666666666667</v>
      </c>
      <c r="E67" s="152">
        <f>SUM(E68:E72)</f>
        <v>650.35233333333326</v>
      </c>
      <c r="F67" s="71"/>
      <c r="G67" s="71"/>
      <c r="H67" s="71"/>
      <c r="I67" s="71"/>
      <c r="J67" s="71"/>
      <c r="K67" s="71"/>
      <c r="L67" s="71"/>
      <c r="M67" s="71"/>
      <c r="N67" s="71"/>
      <c r="O67" s="71"/>
      <c r="P67" s="71"/>
      <c r="Q67" s="71"/>
      <c r="R67" s="71"/>
      <c r="S67" s="71"/>
      <c r="T67" s="71"/>
      <c r="U67" s="71"/>
      <c r="V67" s="71"/>
      <c r="W67" s="71"/>
    </row>
    <row r="68" spans="2:34" x14ac:dyDescent="0.35">
      <c r="B68" s="475" t="s">
        <v>149</v>
      </c>
      <c r="C68" s="421">
        <f>C77</f>
        <v>150</v>
      </c>
      <c r="D68" s="71">
        <f>SUM(H12:M12)/4</f>
        <v>149.47499999999999</v>
      </c>
      <c r="E68" s="398">
        <f>C68-D68</f>
        <v>0.52500000000000568</v>
      </c>
      <c r="F68" s="71"/>
      <c r="G68" s="71"/>
      <c r="H68" s="71"/>
      <c r="I68" s="406"/>
      <c r="J68" s="406"/>
      <c r="K68" s="406"/>
      <c r="L68" s="406"/>
      <c r="M68" s="406"/>
      <c r="N68" s="406"/>
      <c r="O68" s="406"/>
      <c r="P68" s="406"/>
      <c r="Q68" s="71"/>
      <c r="R68" s="71"/>
      <c r="S68" s="71"/>
      <c r="T68" s="71"/>
      <c r="U68" s="71"/>
      <c r="V68" s="71"/>
      <c r="W68" s="71"/>
    </row>
    <row r="69" spans="2:34" x14ac:dyDescent="0.35">
      <c r="B69" s="475" t="s">
        <v>150</v>
      </c>
      <c r="C69" s="481">
        <f>C78+C82+C88</f>
        <v>273.16899999999998</v>
      </c>
      <c r="D69" s="71">
        <f>SUM(H13:M13)/4</f>
        <v>22.075000000000003</v>
      </c>
      <c r="E69" s="398">
        <f>C69-D69</f>
        <v>251.09399999999999</v>
      </c>
      <c r="F69" s="71"/>
      <c r="G69" s="71"/>
      <c r="H69" s="71"/>
      <c r="I69" s="406"/>
      <c r="J69" s="406"/>
      <c r="K69" s="406"/>
      <c r="L69" s="406"/>
      <c r="M69" s="406"/>
      <c r="N69" s="406"/>
      <c r="O69" s="406"/>
      <c r="P69" s="406"/>
      <c r="Q69" s="71"/>
      <c r="R69" s="71"/>
      <c r="S69" s="71"/>
      <c r="T69" s="71"/>
      <c r="U69" s="71"/>
      <c r="V69" s="71"/>
      <c r="W69" s="71"/>
    </row>
    <row r="70" spans="2:34" x14ac:dyDescent="0.35">
      <c r="B70" s="475" t="s">
        <v>152</v>
      </c>
      <c r="C70" s="310">
        <f>C79+C89+C83</f>
        <v>38.5</v>
      </c>
      <c r="D70" s="71">
        <f>SUM(H14:M14)/4</f>
        <v>28.400000000000002</v>
      </c>
      <c r="E70" s="398">
        <f>C70-D70</f>
        <v>10.099999999999998</v>
      </c>
      <c r="F70" s="71"/>
      <c r="G70" s="71"/>
      <c r="H70" s="71"/>
      <c r="I70" s="406"/>
      <c r="J70" s="406"/>
      <c r="K70" s="406"/>
      <c r="L70" s="406"/>
      <c r="M70" s="406"/>
      <c r="N70" s="406"/>
      <c r="O70" s="406"/>
      <c r="P70" s="406"/>
      <c r="Q70" s="1305"/>
      <c r="R70" s="1305"/>
      <c r="S70" s="1305"/>
      <c r="T70" s="1305"/>
      <c r="U70" s="1305"/>
      <c r="V70" s="1305"/>
      <c r="W70" s="1305"/>
      <c r="X70" s="1305"/>
      <c r="Y70" s="1305"/>
      <c r="Z70" s="1305"/>
      <c r="AA70" s="1305"/>
      <c r="AB70" s="1305"/>
      <c r="AC70" s="1305"/>
      <c r="AD70" s="1305"/>
      <c r="AE70" s="1305"/>
      <c r="AF70" s="1305"/>
      <c r="AG70" s="1305"/>
      <c r="AH70" s="1305"/>
    </row>
    <row r="71" spans="2:34" ht="17.25" customHeight="1" x14ac:dyDescent="0.35">
      <c r="B71" s="475" t="s">
        <v>419</v>
      </c>
      <c r="C71" s="310">
        <f>C81</f>
        <v>29</v>
      </c>
      <c r="D71" s="71">
        <f>SUM(H15:M15)/4</f>
        <v>2.4166666666666665</v>
      </c>
      <c r="E71" s="398">
        <f>C71-D71</f>
        <v>26.583333333333332</v>
      </c>
      <c r="F71" s="71"/>
      <c r="G71" s="71"/>
      <c r="H71" s="71"/>
      <c r="I71" s="406"/>
      <c r="J71" s="406"/>
      <c r="K71" s="406"/>
      <c r="L71" s="406"/>
      <c r="M71" s="406"/>
      <c r="N71" s="406"/>
      <c r="O71" s="406"/>
      <c r="P71" s="406"/>
      <c r="Q71" s="1241"/>
      <c r="R71" s="1241"/>
      <c r="S71" s="1241"/>
      <c r="T71" s="1241"/>
      <c r="U71" s="1241"/>
      <c r="V71" s="1241"/>
      <c r="W71" s="1241"/>
      <c r="X71" s="1241"/>
      <c r="Y71" s="1241"/>
      <c r="Z71" s="144"/>
      <c r="AA71" s="144"/>
      <c r="AB71" s="144"/>
      <c r="AC71" s="144"/>
      <c r="AD71" s="1241"/>
      <c r="AE71" s="1241"/>
      <c r="AF71" s="1241"/>
      <c r="AG71" s="1241"/>
      <c r="AH71" s="144"/>
    </row>
    <row r="72" spans="2:34" ht="15.75" customHeight="1" x14ac:dyDescent="0.35">
      <c r="B72" s="475" t="s">
        <v>396</v>
      </c>
      <c r="C72" s="310">
        <f>C87</f>
        <v>362.04999999999995</v>
      </c>
      <c r="D72" s="71">
        <v>0</v>
      </c>
      <c r="E72" s="398">
        <f>C72-D72</f>
        <v>362.04999999999995</v>
      </c>
      <c r="F72" s="71"/>
      <c r="G72" s="71"/>
      <c r="H72" s="71"/>
      <c r="I72" s="406"/>
      <c r="J72" s="406"/>
      <c r="K72" s="406"/>
      <c r="L72" s="406"/>
      <c r="M72" s="406"/>
      <c r="N72" s="406"/>
      <c r="O72" s="406"/>
      <c r="P72" s="406"/>
      <c r="Q72" s="144"/>
      <c r="R72" s="144"/>
      <c r="S72" s="144"/>
      <c r="T72" s="144"/>
      <c r="U72" s="144"/>
      <c r="V72" s="144"/>
      <c r="W72" s="144"/>
      <c r="X72" s="144"/>
      <c r="Y72" s="144"/>
      <c r="Z72" s="144"/>
      <c r="AA72" s="144"/>
      <c r="AB72" s="144"/>
      <c r="AC72" s="144"/>
      <c r="AD72" s="144"/>
      <c r="AE72" s="144"/>
      <c r="AF72" s="144"/>
      <c r="AG72" s="144"/>
      <c r="AH72" s="144"/>
    </row>
    <row r="73" spans="2:34" ht="15" customHeight="1" x14ac:dyDescent="0.35">
      <c r="B73" s="474" t="s">
        <v>420</v>
      </c>
      <c r="C73" s="421">
        <f>C90+C91+C84+C85</f>
        <v>45.396999999999998</v>
      </c>
      <c r="D73" s="71"/>
      <c r="E73" s="398"/>
      <c r="F73" s="71"/>
      <c r="G73" s="71"/>
      <c r="H73" s="71"/>
      <c r="I73" s="406"/>
      <c r="J73" s="406"/>
      <c r="K73" s="406"/>
      <c r="L73" s="406"/>
      <c r="M73" s="406"/>
      <c r="N73" s="406"/>
      <c r="O73" s="406"/>
      <c r="P73" s="406"/>
      <c r="Q73" s="71"/>
      <c r="R73" s="71"/>
      <c r="S73" s="71"/>
      <c r="T73" s="71"/>
      <c r="U73" s="71"/>
      <c r="V73" s="71"/>
      <c r="W73" s="71"/>
    </row>
    <row r="74" spans="2:34" ht="5.25" customHeight="1" x14ac:dyDescent="0.35">
      <c r="B74" s="474"/>
      <c r="C74" s="421"/>
      <c r="D74" s="71"/>
      <c r="E74" s="398"/>
      <c r="F74" s="71"/>
      <c r="G74" s="71"/>
      <c r="H74" s="71"/>
      <c r="I74" s="406"/>
      <c r="J74" s="406"/>
      <c r="K74" s="406"/>
      <c r="L74" s="406"/>
      <c r="M74" s="406"/>
      <c r="N74" s="406"/>
      <c r="O74" s="406"/>
      <c r="P74" s="406"/>
      <c r="Q74" s="71"/>
      <c r="R74" s="71"/>
      <c r="S74" s="71"/>
      <c r="T74" s="71"/>
      <c r="U74" s="71"/>
      <c r="V74" s="71"/>
      <c r="W74" s="71"/>
    </row>
    <row r="75" spans="2:34" ht="18.75" customHeight="1" x14ac:dyDescent="0.35">
      <c r="B75" s="476" t="s">
        <v>421</v>
      </c>
      <c r="C75" s="310">
        <f>C76+C80+C86</f>
        <v>898.11599999999999</v>
      </c>
      <c r="D75" s="71"/>
      <c r="E75" s="398"/>
      <c r="F75" s="71"/>
      <c r="G75" s="71"/>
      <c r="H75" s="71"/>
      <c r="I75" s="406"/>
      <c r="J75" s="406"/>
      <c r="K75" s="406"/>
      <c r="L75" s="406"/>
      <c r="M75" s="406"/>
      <c r="N75" s="406"/>
      <c r="O75" s="406"/>
      <c r="P75" s="406"/>
      <c r="Q75" s="71"/>
      <c r="R75" s="71"/>
      <c r="S75" s="71"/>
      <c r="T75" s="71"/>
      <c r="U75" s="71"/>
      <c r="V75" s="71"/>
      <c r="W75" s="71"/>
    </row>
    <row r="76" spans="2:34" ht="16.149999999999999" customHeight="1" x14ac:dyDescent="0.35">
      <c r="B76" s="459" t="s">
        <v>402</v>
      </c>
      <c r="C76" s="310">
        <f>SUM(C77:C79)</f>
        <v>199</v>
      </c>
      <c r="D76" s="71"/>
      <c r="E76" s="398"/>
      <c r="F76" s="71"/>
      <c r="G76" s="71"/>
      <c r="H76" s="71"/>
      <c r="I76" s="406"/>
      <c r="J76" s="406"/>
      <c r="K76" s="406"/>
      <c r="L76" s="406"/>
      <c r="M76" s="406"/>
      <c r="N76" s="406"/>
      <c r="O76" s="406"/>
      <c r="P76" s="406"/>
      <c r="Q76" s="71"/>
      <c r="R76" s="71"/>
      <c r="S76" s="71"/>
      <c r="T76" s="71"/>
      <c r="U76" s="71"/>
      <c r="V76" s="71"/>
      <c r="W76" s="71"/>
    </row>
    <row r="77" spans="2:34" ht="20.65" customHeight="1" x14ac:dyDescent="0.35">
      <c r="B77" s="394" t="s">
        <v>149</v>
      </c>
      <c r="C77" s="310">
        <v>150</v>
      </c>
      <c r="D77" s="71"/>
      <c r="E77" s="398"/>
      <c r="F77" s="71"/>
      <c r="G77" s="71"/>
      <c r="H77" s="71"/>
      <c r="I77" s="406"/>
      <c r="J77" s="406"/>
      <c r="K77" s="406"/>
      <c r="L77" s="406"/>
      <c r="M77" s="406"/>
      <c r="N77" s="406"/>
      <c r="O77" s="406"/>
      <c r="P77" s="406"/>
      <c r="Q77" s="71"/>
      <c r="R77" s="71"/>
      <c r="S77" s="71"/>
      <c r="T77" s="71"/>
      <c r="U77" s="71"/>
      <c r="V77" s="71"/>
      <c r="W77" s="71"/>
    </row>
    <row r="78" spans="2:34" ht="16.5" customHeight="1" x14ac:dyDescent="0.35">
      <c r="B78" s="394" t="s">
        <v>150</v>
      </c>
      <c r="C78" s="481">
        <v>22</v>
      </c>
      <c r="D78" s="151"/>
      <c r="E78" s="398"/>
      <c r="F78" s="71"/>
      <c r="G78" s="71"/>
      <c r="H78" s="71"/>
      <c r="I78" s="406"/>
      <c r="J78" s="406"/>
      <c r="K78" s="406"/>
      <c r="L78" s="406"/>
      <c r="M78" s="406"/>
      <c r="N78" s="406"/>
      <c r="O78" s="406"/>
      <c r="P78" s="406"/>
      <c r="Q78" s="71"/>
      <c r="R78" s="71"/>
      <c r="S78" s="71"/>
      <c r="T78" s="71"/>
      <c r="U78" s="71"/>
      <c r="V78" s="71"/>
      <c r="W78" s="71"/>
    </row>
    <row r="79" spans="2:34" x14ac:dyDescent="0.35">
      <c r="B79" s="394" t="s">
        <v>152</v>
      </c>
      <c r="C79" s="310">
        <v>27</v>
      </c>
      <c r="D79" s="71"/>
      <c r="E79" s="398"/>
      <c r="F79" s="70"/>
      <c r="G79" s="71"/>
      <c r="H79" s="71"/>
      <c r="I79" s="406"/>
      <c r="J79" s="406"/>
      <c r="K79" s="406"/>
      <c r="L79" s="406"/>
      <c r="M79" s="406"/>
      <c r="N79" s="406"/>
      <c r="P79" s="406"/>
      <c r="Q79" s="71"/>
      <c r="R79" s="71"/>
      <c r="S79" s="71"/>
      <c r="T79" s="71"/>
      <c r="U79" s="71"/>
      <c r="V79" s="71"/>
      <c r="W79" s="71"/>
    </row>
    <row r="80" spans="2:34" ht="15" customHeight="1" x14ac:dyDescent="0.35">
      <c r="B80" s="459" t="s">
        <v>404</v>
      </c>
      <c r="C80" s="310">
        <f>SUM(C81:C85)</f>
        <v>150</v>
      </c>
      <c r="D80" s="71"/>
      <c r="E80" s="398"/>
      <c r="F80" s="71"/>
      <c r="G80" s="71"/>
      <c r="H80" s="71"/>
      <c r="I80" s="71"/>
      <c r="J80" s="71"/>
      <c r="K80" s="71"/>
      <c r="L80" s="71"/>
      <c r="M80" s="71"/>
      <c r="N80" s="71"/>
      <c r="P80" s="71"/>
      <c r="Q80" s="71"/>
      <c r="R80" s="71"/>
      <c r="S80" s="71"/>
      <c r="T80" s="71"/>
      <c r="U80" s="71"/>
      <c r="V80" s="71"/>
      <c r="W80" s="71"/>
    </row>
    <row r="81" spans="1:31" ht="17.25" customHeight="1" x14ac:dyDescent="0.35">
      <c r="B81" s="394" t="s">
        <v>391</v>
      </c>
      <c r="C81" s="310">
        <f>'Response and Relief Act Score'!F7</f>
        <v>29</v>
      </c>
      <c r="D81" s="71"/>
      <c r="E81" s="398"/>
      <c r="F81" s="71"/>
      <c r="G81" s="71"/>
      <c r="H81" s="71"/>
      <c r="I81" s="71"/>
    </row>
    <row r="82" spans="1:31" x14ac:dyDescent="0.35">
      <c r="B82" s="394" t="s">
        <v>150</v>
      </c>
      <c r="C82" s="310">
        <f>'Response and Relief Act Score'!F5</f>
        <v>82</v>
      </c>
      <c r="D82" s="71"/>
      <c r="E82" s="398"/>
      <c r="F82" s="71"/>
      <c r="G82" s="71"/>
      <c r="H82" s="71"/>
      <c r="I82" s="71"/>
      <c r="J82" s="71"/>
      <c r="K82" s="71"/>
      <c r="L82" s="71"/>
      <c r="M82" s="71"/>
      <c r="N82" s="71"/>
      <c r="P82" s="71"/>
      <c r="Q82" s="71"/>
      <c r="R82" s="71"/>
      <c r="S82" s="71"/>
      <c r="T82" s="71"/>
      <c r="U82" s="71"/>
      <c r="V82" s="71"/>
      <c r="W82" s="71"/>
    </row>
    <row r="83" spans="1:31" x14ac:dyDescent="0.35">
      <c r="B83" s="394" t="s">
        <v>152</v>
      </c>
      <c r="C83" s="310">
        <f>'Response and Relief Act Score'!F6</f>
        <v>3</v>
      </c>
      <c r="D83" s="71"/>
      <c r="E83" s="398"/>
      <c r="F83" s="71"/>
      <c r="G83" s="71"/>
      <c r="H83" s="71"/>
      <c r="I83" s="71"/>
      <c r="J83" s="71"/>
      <c r="K83" s="71"/>
      <c r="L83" s="71"/>
      <c r="M83" s="71"/>
      <c r="N83" s="71"/>
      <c r="P83" s="71"/>
      <c r="Q83" s="71"/>
      <c r="R83" s="71"/>
      <c r="S83" s="71"/>
      <c r="T83" s="71"/>
      <c r="U83" s="71"/>
      <c r="V83" s="71"/>
      <c r="W83" s="71"/>
    </row>
    <row r="84" spans="1:31" ht="29.25" customHeight="1" x14ac:dyDescent="0.35">
      <c r="B84" s="394" t="s">
        <v>407</v>
      </c>
      <c r="C84" s="310">
        <f>'Response and Relief Act Score'!F9</f>
        <v>34</v>
      </c>
      <c r="D84" s="71"/>
      <c r="E84" s="398"/>
      <c r="F84" s="71"/>
      <c r="G84" s="71"/>
      <c r="H84" s="71"/>
      <c r="I84" s="427"/>
      <c r="J84" s="71"/>
      <c r="K84" s="71"/>
      <c r="L84" s="71"/>
      <c r="M84" s="71"/>
      <c r="N84" s="71"/>
      <c r="O84" s="406"/>
      <c r="P84" s="71"/>
      <c r="Q84" s="71"/>
      <c r="R84" s="71"/>
      <c r="S84" s="71"/>
      <c r="T84" s="71"/>
      <c r="U84" s="71"/>
      <c r="V84" s="71"/>
      <c r="W84" s="71"/>
    </row>
    <row r="85" spans="1:31" ht="12.75" customHeight="1" x14ac:dyDescent="0.35">
      <c r="B85" s="394" t="s">
        <v>408</v>
      </c>
      <c r="C85" s="310">
        <f>'Response and Relief Act Score'!F8</f>
        <v>2</v>
      </c>
      <c r="D85" s="71"/>
      <c r="E85" s="398"/>
      <c r="F85" s="71"/>
      <c r="G85" s="71"/>
      <c r="H85" s="71"/>
      <c r="I85" s="71"/>
      <c r="J85" s="71"/>
      <c r="K85" s="71"/>
      <c r="L85" s="71"/>
      <c r="M85" s="71"/>
      <c r="N85" s="71"/>
      <c r="O85" s="71"/>
      <c r="P85" s="71"/>
      <c r="Q85" s="71"/>
      <c r="R85" s="71"/>
      <c r="S85" s="71"/>
      <c r="T85" s="71"/>
      <c r="U85" s="71"/>
      <c r="V85" s="71"/>
      <c r="W85" s="71"/>
    </row>
    <row r="86" spans="1:31" x14ac:dyDescent="0.35">
      <c r="A86" s="417"/>
      <c r="B86" s="414" t="s">
        <v>409</v>
      </c>
      <c r="C86" s="421">
        <f>SUM(C87:C91)</f>
        <v>549.11599999999999</v>
      </c>
      <c r="D86" s="71"/>
      <c r="E86" s="398"/>
      <c r="F86" s="71"/>
      <c r="G86" s="71"/>
      <c r="H86" s="71"/>
      <c r="I86" s="71"/>
      <c r="J86" s="71"/>
      <c r="K86" s="71"/>
      <c r="L86" s="71"/>
      <c r="M86" s="71"/>
      <c r="N86" s="71"/>
      <c r="P86" s="71"/>
      <c r="Q86" s="71"/>
      <c r="R86" s="71"/>
      <c r="S86" s="71"/>
      <c r="T86" s="71"/>
      <c r="U86" s="71"/>
      <c r="V86" s="71"/>
      <c r="W86" s="71"/>
    </row>
    <row r="87" spans="1:31" ht="16.149999999999999" customHeight="1" x14ac:dyDescent="0.35">
      <c r="A87" s="417"/>
      <c r="B87" s="416" t="s">
        <v>396</v>
      </c>
      <c r="C87" s="421">
        <f>'ARP Score'!AJ16</f>
        <v>362.04999999999995</v>
      </c>
      <c r="D87" s="71"/>
      <c r="E87" s="398"/>
      <c r="F87" s="71"/>
      <c r="G87" s="71"/>
      <c r="H87" s="71"/>
      <c r="I87" s="71"/>
      <c r="J87" s="71"/>
      <c r="K87" s="71"/>
      <c r="L87" s="71"/>
      <c r="M87" s="71"/>
      <c r="N87" s="71"/>
      <c r="O87" s="71"/>
      <c r="P87" s="71"/>
      <c r="Q87" s="71"/>
      <c r="R87" s="71"/>
      <c r="S87" s="71"/>
      <c r="T87" s="71"/>
      <c r="U87" s="71"/>
      <c r="V87" s="71"/>
      <c r="W87" s="71"/>
    </row>
    <row r="88" spans="1:31" ht="15" customHeight="1" x14ac:dyDescent="0.35">
      <c r="A88" s="1304"/>
      <c r="B88" s="416" t="s">
        <v>150</v>
      </c>
      <c r="C88" s="421">
        <f>'ARP Score'!AL16</f>
        <v>169.16899999999998</v>
      </c>
      <c r="D88" s="71"/>
      <c r="E88" s="398"/>
      <c r="F88" s="71"/>
      <c r="G88" s="71"/>
      <c r="H88" s="71"/>
      <c r="I88" s="71"/>
      <c r="J88" s="71"/>
      <c r="K88" s="71"/>
      <c r="L88" s="71"/>
      <c r="M88" s="71"/>
      <c r="N88" s="71"/>
      <c r="O88" s="71"/>
      <c r="P88" s="71"/>
      <c r="Q88" s="419"/>
      <c r="R88" s="71"/>
      <c r="S88" s="71"/>
      <c r="T88" s="71"/>
      <c r="U88" s="71"/>
      <c r="V88" s="71"/>
      <c r="W88" s="71"/>
    </row>
    <row r="89" spans="1:31" x14ac:dyDescent="0.35">
      <c r="A89" s="1304"/>
      <c r="B89" s="416" t="s">
        <v>152</v>
      </c>
      <c r="C89" s="421">
        <f>'ARP Score'!AK16</f>
        <v>8.5</v>
      </c>
      <c r="D89" s="71"/>
      <c r="E89" s="398"/>
      <c r="F89" s="71"/>
      <c r="G89" s="71"/>
      <c r="H89" s="71"/>
      <c r="I89" s="71"/>
      <c r="J89" s="71"/>
      <c r="K89" s="71"/>
      <c r="L89" s="71"/>
      <c r="M89" s="71"/>
      <c r="N89" s="71"/>
      <c r="O89" s="71"/>
      <c r="P89" s="71"/>
      <c r="Q89" s="71"/>
      <c r="R89" s="71"/>
      <c r="S89" s="71"/>
      <c r="T89" s="71"/>
      <c r="U89" s="71"/>
      <c r="V89" s="71"/>
      <c r="W89" s="71"/>
    </row>
    <row r="90" spans="1:31" ht="17.25" customHeight="1" x14ac:dyDescent="0.35">
      <c r="A90" s="417"/>
      <c r="B90" s="416" t="s">
        <v>412</v>
      </c>
      <c r="C90" s="421">
        <f>'ARP Score'!AM16</f>
        <v>0.79700000000000004</v>
      </c>
      <c r="D90" s="71"/>
      <c r="E90" s="398"/>
      <c r="F90" s="71"/>
      <c r="G90" s="71"/>
      <c r="H90" s="71"/>
      <c r="I90" s="71"/>
      <c r="J90" s="71"/>
      <c r="K90" s="71"/>
      <c r="L90" s="71"/>
      <c r="M90" s="71"/>
      <c r="N90" s="71"/>
      <c r="O90" s="71"/>
      <c r="P90" s="71"/>
      <c r="Q90" s="71"/>
      <c r="R90" s="71"/>
      <c r="S90" s="71"/>
      <c r="T90" s="71"/>
      <c r="U90" s="71"/>
      <c r="V90" s="71"/>
      <c r="W90" s="71"/>
    </row>
    <row r="91" spans="1:31" ht="17.25" customHeight="1" x14ac:dyDescent="0.35">
      <c r="A91" s="417"/>
      <c r="B91" s="418" t="s">
        <v>422</v>
      </c>
      <c r="C91" s="422">
        <f>'ARP Score'!AN16</f>
        <v>8.6</v>
      </c>
      <c r="D91" s="420"/>
      <c r="E91" s="399"/>
      <c r="F91" s="71"/>
      <c r="G91" s="71"/>
      <c r="H91" s="71"/>
      <c r="I91" s="71"/>
      <c r="J91" s="71"/>
      <c r="K91" s="71"/>
      <c r="L91" s="71"/>
      <c r="M91" s="71"/>
      <c r="N91" s="71"/>
      <c r="O91" s="71"/>
      <c r="P91" s="71"/>
      <c r="Q91" s="71"/>
      <c r="R91" s="71"/>
      <c r="S91" s="71"/>
      <c r="T91" s="71"/>
      <c r="U91" s="71"/>
      <c r="V91" s="71"/>
      <c r="W91" s="71"/>
    </row>
    <row r="92" spans="1:31" ht="17.25" customHeight="1" x14ac:dyDescent="0.35">
      <c r="B92" s="416"/>
      <c r="C92" s="69"/>
      <c r="D92" s="69"/>
      <c r="E92" s="69"/>
      <c r="F92" s="69"/>
      <c r="G92" s="69"/>
      <c r="H92" s="71"/>
      <c r="I92" s="71"/>
      <c r="J92" s="71"/>
      <c r="K92" s="71"/>
      <c r="L92" s="71"/>
      <c r="M92" s="71"/>
      <c r="N92" s="71"/>
      <c r="O92" s="71"/>
      <c r="P92" s="71"/>
      <c r="Q92" s="71"/>
      <c r="R92" s="71"/>
      <c r="S92" s="71"/>
      <c r="T92" s="71"/>
      <c r="U92" s="71"/>
      <c r="V92" s="71"/>
      <c r="W92" s="71"/>
      <c r="X92" s="71"/>
      <c r="Y92" s="71"/>
      <c r="Z92" s="71"/>
      <c r="AA92" s="71"/>
      <c r="AB92" s="71"/>
      <c r="AC92" s="71"/>
      <c r="AD92" s="71"/>
      <c r="AE92" s="71"/>
    </row>
    <row r="93" spans="1:31" ht="17.25" customHeight="1" x14ac:dyDescent="0.35">
      <c r="B93" s="395" t="s">
        <v>423</v>
      </c>
      <c r="C93" s="69"/>
      <c r="D93" s="69"/>
      <c r="E93" s="69"/>
      <c r="F93" s="69"/>
      <c r="G93" s="69"/>
      <c r="H93" s="71"/>
      <c r="I93" s="71"/>
      <c r="J93" s="71"/>
      <c r="K93" s="71"/>
      <c r="L93" s="71"/>
      <c r="M93" s="71"/>
      <c r="N93" s="71"/>
      <c r="O93" s="71"/>
      <c r="P93" s="71"/>
      <c r="Q93" s="71"/>
      <c r="R93" s="71"/>
      <c r="S93" s="71"/>
      <c r="T93" s="71"/>
      <c r="U93" s="71"/>
      <c r="V93" s="71"/>
      <c r="W93" s="71"/>
      <c r="X93" s="71"/>
      <c r="Y93" s="71"/>
      <c r="Z93" s="71"/>
      <c r="AA93" s="71"/>
      <c r="AB93" s="71"/>
      <c r="AC93" s="71"/>
      <c r="AD93" s="71"/>
      <c r="AE93" s="71"/>
    </row>
    <row r="94" spans="1:31" ht="14.65" customHeight="1" x14ac:dyDescent="0.35">
      <c r="B94" s="1276" t="s">
        <v>424</v>
      </c>
      <c r="C94" s="1256"/>
      <c r="D94" s="1253" t="s">
        <v>325</v>
      </c>
      <c r="E94" s="1254"/>
      <c r="F94" s="1254"/>
      <c r="G94" s="1254"/>
      <c r="H94" s="1254"/>
      <c r="I94" s="1254"/>
      <c r="J94" s="1254"/>
      <c r="K94" s="1254"/>
      <c r="L94" s="1254"/>
      <c r="M94" s="1254"/>
      <c r="N94" s="1254"/>
      <c r="O94" s="1254"/>
      <c r="P94" s="1254"/>
      <c r="Q94" s="1254"/>
      <c r="R94" s="1254"/>
      <c r="S94" s="1286" t="s">
        <v>326</v>
      </c>
      <c r="T94" s="1286"/>
      <c r="U94" s="1286"/>
      <c r="V94" s="1286"/>
      <c r="W94" s="1286"/>
      <c r="X94" s="1286"/>
      <c r="Y94" s="1286"/>
      <c r="Z94" s="1286"/>
      <c r="AA94" s="1286"/>
      <c r="AB94" s="1286"/>
      <c r="AC94" s="1287"/>
      <c r="AD94" s="142"/>
      <c r="AE94" s="142"/>
    </row>
    <row r="95" spans="1:31" x14ac:dyDescent="0.35">
      <c r="B95" s="1277"/>
      <c r="C95" s="1278"/>
      <c r="D95" s="147">
        <v>2018</v>
      </c>
      <c r="E95" s="1244">
        <v>2019</v>
      </c>
      <c r="F95" s="1245"/>
      <c r="G95" s="1245"/>
      <c r="H95" s="1252"/>
      <c r="I95" s="1244">
        <v>2020</v>
      </c>
      <c r="J95" s="1245"/>
      <c r="K95" s="1245"/>
      <c r="L95" s="1245"/>
      <c r="M95" s="1244">
        <v>2021</v>
      </c>
      <c r="N95" s="1245"/>
      <c r="O95" s="1245"/>
      <c r="P95" s="1245"/>
      <c r="Q95" s="1282">
        <v>2022</v>
      </c>
      <c r="R95" s="1283"/>
      <c r="S95" s="317"/>
      <c r="T95" s="318"/>
      <c r="U95" s="1279">
        <v>2023</v>
      </c>
      <c r="V95" s="1280"/>
      <c r="W95" s="1280"/>
      <c r="X95" s="1280"/>
      <c r="Y95" s="1279">
        <v>2024</v>
      </c>
      <c r="Z95" s="1280"/>
      <c r="AA95" s="1280"/>
      <c r="AB95" s="1281"/>
      <c r="AC95" s="285">
        <v>2025</v>
      </c>
      <c r="AD95" s="144"/>
      <c r="AE95" s="144"/>
    </row>
    <row r="96" spans="1:31" x14ac:dyDescent="0.35">
      <c r="B96" s="1289"/>
      <c r="C96" s="1290"/>
      <c r="D96" s="154" t="s">
        <v>327</v>
      </c>
      <c r="E96" s="154" t="s">
        <v>328</v>
      </c>
      <c r="F96" s="153" t="s">
        <v>329</v>
      </c>
      <c r="G96" s="153" t="s">
        <v>238</v>
      </c>
      <c r="H96" s="224" t="s">
        <v>327</v>
      </c>
      <c r="I96" s="153" t="s">
        <v>328</v>
      </c>
      <c r="J96" s="153" t="s">
        <v>329</v>
      </c>
      <c r="K96" s="153" t="s">
        <v>238</v>
      </c>
      <c r="L96" s="153" t="s">
        <v>327</v>
      </c>
      <c r="M96" s="154" t="s">
        <v>328</v>
      </c>
      <c r="N96" s="153" t="s">
        <v>329</v>
      </c>
      <c r="O96" s="153" t="s">
        <v>238</v>
      </c>
      <c r="P96" s="153" t="s">
        <v>327</v>
      </c>
      <c r="Q96" s="175" t="s">
        <v>328</v>
      </c>
      <c r="R96" s="157" t="s">
        <v>329</v>
      </c>
      <c r="S96" s="303" t="s">
        <v>238</v>
      </c>
      <c r="T96" s="303" t="s">
        <v>327</v>
      </c>
      <c r="U96" s="428" t="s">
        <v>328</v>
      </c>
      <c r="V96" s="429" t="s">
        <v>329</v>
      </c>
      <c r="W96" s="429" t="s">
        <v>238</v>
      </c>
      <c r="X96" s="429" t="s">
        <v>327</v>
      </c>
      <c r="Y96" s="428" t="s">
        <v>328</v>
      </c>
      <c r="Z96" s="295" t="s">
        <v>329</v>
      </c>
      <c r="AA96" s="429" t="s">
        <v>238</v>
      </c>
      <c r="AB96" s="443" t="s">
        <v>327</v>
      </c>
      <c r="AC96" s="458" t="s">
        <v>328</v>
      </c>
      <c r="AD96" s="144"/>
      <c r="AE96" s="144"/>
    </row>
    <row r="97" spans="2:31" ht="29.25" customHeight="1" x14ac:dyDescent="0.35">
      <c r="B97" s="445" t="s">
        <v>425</v>
      </c>
      <c r="C97" s="465"/>
      <c r="D97" s="480"/>
      <c r="E97" s="465"/>
      <c r="F97" s="465"/>
      <c r="G97" s="465"/>
      <c r="H97" s="434">
        <f t="shared" ref="H97:O97" si="22">SUM(H99:H107)</f>
        <v>205.80500000000001</v>
      </c>
      <c r="I97" s="434">
        <f t="shared" si="22"/>
        <v>210.29200000000003</v>
      </c>
      <c r="J97" s="434">
        <f t="shared" si="22"/>
        <v>325.28399999999999</v>
      </c>
      <c r="K97" s="434">
        <f t="shared" si="22"/>
        <v>297.32000000000005</v>
      </c>
      <c r="L97" s="434">
        <f t="shared" si="22"/>
        <v>289.54199999999997</v>
      </c>
      <c r="M97" s="434">
        <f t="shared" si="22"/>
        <v>315.67900000000003</v>
      </c>
      <c r="N97" s="434">
        <f t="shared" si="22"/>
        <v>361.52700000000004</v>
      </c>
      <c r="O97" s="434">
        <f t="shared" si="22"/>
        <v>374.99100000000004</v>
      </c>
      <c r="P97" s="434">
        <f>SUM(P99:P108)</f>
        <v>401.58485200000007</v>
      </c>
      <c r="Q97" s="434">
        <f>SUM(Q99:Q108)</f>
        <v>438.45827479999997</v>
      </c>
      <c r="R97" s="488">
        <f>SUM(R99:R108)</f>
        <v>505.04903199999995</v>
      </c>
      <c r="S97" s="400">
        <f>SUM(S99:S108)</f>
        <v>496.11472090666126</v>
      </c>
      <c r="T97" s="400">
        <f t="shared" ref="T97:AC97" si="23">SUM(T99:T108)</f>
        <v>487.34354029510399</v>
      </c>
      <c r="U97" s="400">
        <f t="shared" si="23"/>
        <v>472.27459537887216</v>
      </c>
      <c r="V97" s="400">
        <f t="shared" si="23"/>
        <v>476.85527066666657</v>
      </c>
      <c r="W97" s="400">
        <f t="shared" si="23"/>
        <v>475.96568318012066</v>
      </c>
      <c r="X97" s="400">
        <f t="shared" si="23"/>
        <v>476.61276470690814</v>
      </c>
      <c r="Y97" s="400">
        <f t="shared" si="23"/>
        <v>465.49206482602699</v>
      </c>
      <c r="Z97" s="400">
        <f t="shared" si="23"/>
        <v>445.9221207333332</v>
      </c>
      <c r="AA97" s="400">
        <f t="shared" si="23"/>
        <v>450.67715826732552</v>
      </c>
      <c r="AB97" s="400">
        <f t="shared" si="23"/>
        <v>455.72600163518439</v>
      </c>
      <c r="AC97" s="401">
        <f t="shared" si="23"/>
        <v>439.19582793906807</v>
      </c>
      <c r="AD97" s="372"/>
      <c r="AE97" s="372"/>
    </row>
    <row r="98" spans="2:31" ht="19.149999999999999" customHeight="1" x14ac:dyDescent="0.35">
      <c r="B98" s="476" t="s">
        <v>426</v>
      </c>
      <c r="C98" s="371"/>
      <c r="D98" s="464"/>
      <c r="E98" s="371"/>
      <c r="F98" s="371"/>
      <c r="G98" s="371"/>
      <c r="H98" s="372"/>
      <c r="I98" s="372"/>
      <c r="J98" s="372"/>
      <c r="K98" s="372"/>
      <c r="L98" s="372"/>
      <c r="M98" s="372"/>
      <c r="N98" s="372"/>
      <c r="O98" s="372"/>
      <c r="P98" s="372"/>
      <c r="Q98" s="372"/>
      <c r="R98" s="484"/>
      <c r="S98" s="373"/>
      <c r="T98" s="373"/>
      <c r="U98" s="373"/>
      <c r="V98" s="373"/>
      <c r="W98" s="373"/>
      <c r="X98" s="373"/>
      <c r="Y98" s="373"/>
      <c r="Z98" s="373"/>
      <c r="AA98" s="373"/>
      <c r="AB98" s="373"/>
      <c r="AC98" s="439"/>
      <c r="AD98" s="372"/>
      <c r="AE98" s="372"/>
    </row>
    <row r="99" spans="2:31" x14ac:dyDescent="0.35">
      <c r="B99" s="472" t="s">
        <v>152</v>
      </c>
      <c r="C99" s="70"/>
      <c r="D99" s="411"/>
      <c r="E99" s="70"/>
      <c r="F99" s="70"/>
      <c r="G99" s="70"/>
      <c r="H99" s="375"/>
      <c r="I99" s="375"/>
      <c r="J99" s="375">
        <f t="shared" ref="J99:AC99" si="24">J14</f>
        <v>64.400000000000006</v>
      </c>
      <c r="K99" s="375">
        <f t="shared" si="24"/>
        <v>23.4</v>
      </c>
      <c r="L99" s="375">
        <f t="shared" si="24"/>
        <v>13.8</v>
      </c>
      <c r="M99" s="375">
        <f t="shared" si="24"/>
        <v>12</v>
      </c>
      <c r="N99" s="375">
        <f t="shared" si="24"/>
        <v>7.5</v>
      </c>
      <c r="O99" s="375">
        <f t="shared" si="24"/>
        <v>10.5</v>
      </c>
      <c r="P99" s="375">
        <f t="shared" si="24"/>
        <v>18</v>
      </c>
      <c r="Q99" s="375">
        <f t="shared" si="24"/>
        <v>15</v>
      </c>
      <c r="R99" s="435">
        <f t="shared" si="24"/>
        <v>11.2</v>
      </c>
      <c r="S99" s="376">
        <f t="shared" si="24"/>
        <v>5.4035087719298245</v>
      </c>
      <c r="T99" s="376">
        <f t="shared" si="24"/>
        <v>0</v>
      </c>
      <c r="U99" s="376">
        <f t="shared" si="24"/>
        <v>0</v>
      </c>
      <c r="V99" s="376">
        <f t="shared" si="24"/>
        <v>0</v>
      </c>
      <c r="W99" s="376">
        <f t="shared" si="24"/>
        <v>0</v>
      </c>
      <c r="X99" s="376">
        <f t="shared" si="24"/>
        <v>0</v>
      </c>
      <c r="Y99" s="376">
        <f t="shared" si="24"/>
        <v>0</v>
      </c>
      <c r="Z99" s="376">
        <f t="shared" si="24"/>
        <v>0</v>
      </c>
      <c r="AA99" s="376">
        <f t="shared" si="24"/>
        <v>0</v>
      </c>
      <c r="AB99" s="376">
        <f t="shared" si="24"/>
        <v>0</v>
      </c>
      <c r="AC99" s="442">
        <f t="shared" si="24"/>
        <v>0</v>
      </c>
      <c r="AD99" s="375"/>
      <c r="AE99" s="375"/>
    </row>
    <row r="100" spans="2:31" x14ac:dyDescent="0.35">
      <c r="B100" s="472" t="s">
        <v>391</v>
      </c>
      <c r="C100" s="70"/>
      <c r="D100" s="411"/>
      <c r="E100" s="70"/>
      <c r="F100" s="70"/>
      <c r="G100" s="70"/>
      <c r="H100" s="375"/>
      <c r="I100" s="375"/>
      <c r="J100" s="375"/>
      <c r="K100" s="375"/>
      <c r="L100" s="375"/>
      <c r="M100" s="375">
        <f>M52</f>
        <v>9.6666666666666661</v>
      </c>
      <c r="N100" s="375">
        <f t="shared" ref="N100:AC100" si="25">N52</f>
        <v>9.6666666666666661</v>
      </c>
      <c r="O100" s="375">
        <f t="shared" si="25"/>
        <v>9.6666666666666661</v>
      </c>
      <c r="P100" s="375">
        <f t="shared" si="25"/>
        <v>9.6666666666666661</v>
      </c>
      <c r="Q100" s="375">
        <f>Q52</f>
        <v>9.6666666666666661</v>
      </c>
      <c r="R100" s="435">
        <f>R52</f>
        <v>9.6666666666666661</v>
      </c>
      <c r="S100" s="376">
        <f t="shared" si="25"/>
        <v>9.6666666666666661</v>
      </c>
      <c r="T100" s="376">
        <f t="shared" si="25"/>
        <v>9.6666666666666661</v>
      </c>
      <c r="U100" s="376">
        <f t="shared" si="25"/>
        <v>9.6666666666666661</v>
      </c>
      <c r="V100" s="376">
        <f t="shared" si="25"/>
        <v>9.6666666666666661</v>
      </c>
      <c r="W100" s="376">
        <f t="shared" si="25"/>
        <v>9.6666666666666661</v>
      </c>
      <c r="X100" s="376">
        <f t="shared" si="25"/>
        <v>9.6666666666666661</v>
      </c>
      <c r="Y100" s="376">
        <f t="shared" si="25"/>
        <v>0</v>
      </c>
      <c r="Z100" s="376">
        <f t="shared" si="25"/>
        <v>0</v>
      </c>
      <c r="AA100" s="376">
        <f t="shared" si="25"/>
        <v>0</v>
      </c>
      <c r="AB100" s="376">
        <f t="shared" si="25"/>
        <v>0</v>
      </c>
      <c r="AC100" s="442">
        <f t="shared" si="25"/>
        <v>0</v>
      </c>
      <c r="AD100" s="375"/>
      <c r="AE100" s="375"/>
    </row>
    <row r="101" spans="2:31" x14ac:dyDescent="0.35">
      <c r="B101" s="472" t="s">
        <v>427</v>
      </c>
      <c r="C101" s="70"/>
      <c r="D101" s="411"/>
      <c r="E101" s="70"/>
      <c r="F101" s="70"/>
      <c r="G101" s="70"/>
      <c r="H101" s="375"/>
      <c r="I101" s="375"/>
      <c r="J101" s="375"/>
      <c r="K101" s="375"/>
      <c r="L101" s="375"/>
      <c r="M101" s="375">
        <f t="shared" ref="M101:AC101" si="26">M16</f>
        <v>12</v>
      </c>
      <c r="N101" s="375">
        <f t="shared" si="26"/>
        <v>12</v>
      </c>
      <c r="O101" s="375">
        <f t="shared" si="26"/>
        <v>12</v>
      </c>
      <c r="P101" s="375">
        <f t="shared" si="26"/>
        <v>12</v>
      </c>
      <c r="Q101" s="375">
        <f t="shared" si="26"/>
        <v>12</v>
      </c>
      <c r="R101" s="435">
        <f t="shared" si="26"/>
        <v>12</v>
      </c>
      <c r="S101" s="376">
        <f t="shared" si="26"/>
        <v>12</v>
      </c>
      <c r="T101" s="376">
        <f t="shared" si="26"/>
        <v>12</v>
      </c>
      <c r="U101" s="376">
        <f t="shared" si="26"/>
        <v>12</v>
      </c>
      <c r="V101" s="376">
        <f t="shared" si="26"/>
        <v>12</v>
      </c>
      <c r="W101" s="376">
        <f t="shared" si="26"/>
        <v>12</v>
      </c>
      <c r="X101" s="376">
        <f t="shared" si="26"/>
        <v>12</v>
      </c>
      <c r="Y101" s="376">
        <f t="shared" si="26"/>
        <v>0</v>
      </c>
      <c r="Z101" s="376">
        <f t="shared" si="26"/>
        <v>0</v>
      </c>
      <c r="AA101" s="376">
        <f t="shared" si="26"/>
        <v>0</v>
      </c>
      <c r="AB101" s="376">
        <f t="shared" si="26"/>
        <v>0</v>
      </c>
      <c r="AC101" s="442">
        <f t="shared" si="26"/>
        <v>0</v>
      </c>
      <c r="AD101" s="375"/>
      <c r="AE101" s="375"/>
    </row>
    <row r="102" spans="2:31" x14ac:dyDescent="0.35">
      <c r="B102" s="472" t="s">
        <v>428</v>
      </c>
      <c r="C102" s="70"/>
      <c r="D102" s="411"/>
      <c r="E102" s="70"/>
      <c r="F102" s="70"/>
      <c r="G102" s="70"/>
      <c r="H102" s="51">
        <f t="shared" ref="H102:AC102" si="27">H20</f>
        <v>205.80500000000001</v>
      </c>
      <c r="I102" s="51">
        <f>I20</f>
        <v>210.29200000000003</v>
      </c>
      <c r="J102" s="51">
        <f t="shared" si="27"/>
        <v>197.48400000000004</v>
      </c>
      <c r="K102" s="51">
        <f t="shared" si="27"/>
        <v>213.12000000000006</v>
      </c>
      <c r="L102" s="51">
        <f t="shared" si="27"/>
        <v>215.54199999999997</v>
      </c>
      <c r="M102" s="51">
        <f t="shared" si="27"/>
        <v>213.11233333333337</v>
      </c>
      <c r="N102" s="51">
        <f t="shared" si="27"/>
        <v>224.76033333333339</v>
      </c>
      <c r="O102" s="51">
        <f>O20</f>
        <v>222.12433333333337</v>
      </c>
      <c r="P102" s="51">
        <f>P20</f>
        <v>250.09733333333338</v>
      </c>
      <c r="Q102" s="51">
        <f>Q20</f>
        <v>253.39533333333327</v>
      </c>
      <c r="R102" s="485">
        <f t="shared" si="27"/>
        <v>266.9323333333333</v>
      </c>
      <c r="S102" s="378">
        <f t="shared" si="27"/>
        <v>269.56252613473151</v>
      </c>
      <c r="T102" s="378">
        <f t="shared" si="27"/>
        <v>272.21863529510404</v>
      </c>
      <c r="U102" s="378">
        <f t="shared" si="27"/>
        <v>274.90091617887219</v>
      </c>
      <c r="V102" s="378">
        <f t="shared" si="27"/>
        <v>277.6096266666666</v>
      </c>
      <c r="W102" s="378">
        <f t="shared" si="27"/>
        <v>280.34502718012072</v>
      </c>
      <c r="X102" s="378">
        <f t="shared" si="27"/>
        <v>283.10738070690815</v>
      </c>
      <c r="Y102" s="378">
        <f t="shared" si="27"/>
        <v>285.89695282602702</v>
      </c>
      <c r="Z102" s="378">
        <f t="shared" si="27"/>
        <v>288.71401173333322</v>
      </c>
      <c r="AA102" s="378">
        <f t="shared" si="27"/>
        <v>291.55882826732551</v>
      </c>
      <c r="AB102" s="378">
        <f t="shared" si="27"/>
        <v>294.43167593518444</v>
      </c>
      <c r="AC102" s="440">
        <f t="shared" si="27"/>
        <v>297.33283093906806</v>
      </c>
      <c r="AD102" s="51"/>
      <c r="AE102" s="51"/>
    </row>
    <row r="103" spans="2:31" x14ac:dyDescent="0.35">
      <c r="B103" s="454" t="s">
        <v>1294</v>
      </c>
      <c r="C103" s="70"/>
      <c r="D103" s="411"/>
      <c r="E103" s="70"/>
      <c r="F103" s="70"/>
      <c r="G103" s="70"/>
      <c r="H103" s="51"/>
      <c r="I103" s="51"/>
      <c r="J103" s="51"/>
      <c r="K103" s="51"/>
      <c r="L103" s="51"/>
      <c r="M103" s="51"/>
      <c r="N103" s="51"/>
      <c r="O103" s="51"/>
      <c r="P103" s="51"/>
      <c r="Q103" s="51"/>
      <c r="R103" s="485"/>
      <c r="S103" s="380">
        <f>'IRA and CHIPS'!E184</f>
        <v>0</v>
      </c>
      <c r="T103" s="380">
        <f>'IRA and CHIPS'!F184</f>
        <v>6.8000000000000005E-2</v>
      </c>
      <c r="U103" s="380">
        <f>'IRA and CHIPS'!G184</f>
        <v>6.8000000000000005E-2</v>
      </c>
      <c r="V103" s="380">
        <f>'IRA and CHIPS'!H184</f>
        <v>6.8000000000000005E-2</v>
      </c>
      <c r="W103" s="380">
        <f>'IRA and CHIPS'!I184</f>
        <v>6.8000000000000005E-2</v>
      </c>
      <c r="X103" s="380">
        <f>'IRA and CHIPS'!J184</f>
        <v>1.363</v>
      </c>
      <c r="Y103" s="380">
        <f>'IRA and CHIPS'!K184</f>
        <v>1.363</v>
      </c>
      <c r="Z103" s="380">
        <f>'IRA and CHIPS'!L184</f>
        <v>1.363</v>
      </c>
      <c r="AA103" s="380">
        <f>'IRA and CHIPS'!M184</f>
        <v>1.363</v>
      </c>
      <c r="AB103" s="380">
        <f>'IRA and CHIPS'!N184</f>
        <v>2.4329999999999998</v>
      </c>
      <c r="AC103" s="380">
        <f>'IRA and CHIPS'!O184</f>
        <v>2.4329999999999998</v>
      </c>
      <c r="AD103" s="51"/>
      <c r="AE103" s="51"/>
    </row>
    <row r="104" spans="2:31" ht="14.65" customHeight="1" x14ac:dyDescent="0.35">
      <c r="B104" s="441" t="s">
        <v>429</v>
      </c>
      <c r="C104" s="70"/>
      <c r="D104" s="411"/>
      <c r="E104" s="70"/>
      <c r="F104" s="70"/>
      <c r="G104" s="70"/>
      <c r="H104" s="375"/>
      <c r="I104" s="375"/>
      <c r="J104" s="375"/>
      <c r="K104" s="375"/>
      <c r="L104" s="375"/>
      <c r="M104" s="375"/>
      <c r="N104" s="375"/>
      <c r="O104" s="375"/>
      <c r="P104" s="375"/>
      <c r="Q104" s="375"/>
      <c r="R104" s="435"/>
      <c r="S104" s="376"/>
      <c r="T104" s="376"/>
      <c r="U104" s="376"/>
      <c r="V104" s="376"/>
      <c r="W104" s="376"/>
      <c r="X104" s="376"/>
      <c r="Y104" s="376"/>
      <c r="Z104" s="376"/>
      <c r="AA104" s="376"/>
      <c r="AB104" s="376"/>
      <c r="AC104" s="442"/>
      <c r="AD104" s="375"/>
      <c r="AE104" s="375"/>
    </row>
    <row r="105" spans="2:31" ht="14.65" customHeight="1" x14ac:dyDescent="0.35">
      <c r="B105" s="472" t="s">
        <v>150</v>
      </c>
      <c r="C105" s="70"/>
      <c r="D105" s="411"/>
      <c r="E105" s="70"/>
      <c r="F105" s="70"/>
      <c r="G105" s="70"/>
      <c r="H105" s="375"/>
      <c r="I105" s="375"/>
      <c r="J105" s="1199">
        <f>J13</f>
        <v>28.4</v>
      </c>
      <c r="K105" s="1199">
        <f t="shared" ref="K105:R105" si="28">K13</f>
        <v>15.8</v>
      </c>
      <c r="L105" s="1199">
        <f t="shared" si="28"/>
        <v>15.2</v>
      </c>
      <c r="M105" s="1199">
        <f t="shared" si="28"/>
        <v>28.9</v>
      </c>
      <c r="N105" s="1199">
        <f t="shared" si="28"/>
        <v>67.599999999999994</v>
      </c>
      <c r="O105" s="1199">
        <f t="shared" si="28"/>
        <v>80.7</v>
      </c>
      <c r="P105" s="1199">
        <f t="shared" si="28"/>
        <v>87.2</v>
      </c>
      <c r="Q105" s="1199">
        <f t="shared" si="28"/>
        <v>72.400000000000006</v>
      </c>
      <c r="R105" s="1200">
        <f t="shared" si="28"/>
        <v>85.9</v>
      </c>
      <c r="S105" s="376">
        <f>S49+S53+'ARP Quarterly'!I28</f>
        <v>70.186151333333299</v>
      </c>
      <c r="T105" s="376">
        <f>T49+T53+'ARP Quarterly'!J28</f>
        <v>62.851310333333302</v>
      </c>
      <c r="U105" s="376">
        <f>U49+U53+'ARP Quarterly'!K28</f>
        <v>55.516469333333305</v>
      </c>
      <c r="V105" s="376">
        <f>V49+V53+'ARP Quarterly'!L28</f>
        <v>58.594257333333303</v>
      </c>
      <c r="W105" s="376">
        <f>W49+W53+'ARP Quarterly'!M28</f>
        <v>61.672045333333294</v>
      </c>
      <c r="X105" s="376">
        <f>X49+X53+'ARP Quarterly'!N28</f>
        <v>63.261773333333295</v>
      </c>
      <c r="Y105" s="376">
        <f>Y49+Y53+'ARP Quarterly'!O28</f>
        <v>61.518167999999996</v>
      </c>
      <c r="Z105" s="376">
        <f>Z49+Z53+'ARP Quarterly'!P28</f>
        <v>44.428388999999996</v>
      </c>
      <c r="AA105" s="376">
        <f>AA49+AA53+'ARP Quarterly'!Q28</f>
        <v>46.338610000000003</v>
      </c>
      <c r="AB105" s="376">
        <f>AB49+AB53+'ARP Quarterly'!R28</f>
        <v>47.279744500000007</v>
      </c>
      <c r="AC105" s="442">
        <f>AC49+AC53+'ARP Quarterly'!S28</f>
        <v>46.283419000000009</v>
      </c>
      <c r="AD105" s="375"/>
      <c r="AE105" s="375"/>
    </row>
    <row r="106" spans="2:31" x14ac:dyDescent="0.35">
      <c r="B106" s="472" t="s">
        <v>149</v>
      </c>
      <c r="C106" s="51"/>
      <c r="D106" s="410"/>
      <c r="E106" s="51"/>
      <c r="F106" s="51"/>
      <c r="G106" s="51"/>
      <c r="H106" s="375"/>
      <c r="I106" s="375"/>
      <c r="J106" s="375">
        <v>35</v>
      </c>
      <c r="K106" s="375">
        <v>45</v>
      </c>
      <c r="L106" s="375">
        <v>45</v>
      </c>
      <c r="M106" s="375">
        <v>40</v>
      </c>
      <c r="N106" s="375">
        <v>40</v>
      </c>
      <c r="O106" s="375">
        <v>40</v>
      </c>
      <c r="P106" s="375">
        <v>40</v>
      </c>
      <c r="Q106" s="375">
        <v>50</v>
      </c>
      <c r="R106" s="435">
        <v>50</v>
      </c>
      <c r="S106" s="376">
        <v>50</v>
      </c>
      <c r="T106" s="376">
        <v>50</v>
      </c>
      <c r="U106" s="376">
        <v>40</v>
      </c>
      <c r="V106" s="376">
        <v>30</v>
      </c>
      <c r="W106" s="376">
        <v>20</v>
      </c>
      <c r="X106" s="376">
        <v>15</v>
      </c>
      <c r="Y106" s="376">
        <v>10</v>
      </c>
      <c r="Z106" s="376"/>
      <c r="AA106" s="376"/>
      <c r="AB106" s="376"/>
      <c r="AC106" s="442"/>
      <c r="AD106" s="223">
        <f>SUM(O106:AC106)</f>
        <v>395</v>
      </c>
    </row>
    <row r="107" spans="2:31" ht="28.5" customHeight="1" x14ac:dyDescent="0.35">
      <c r="B107" s="391" t="s">
        <v>430</v>
      </c>
      <c r="C107" s="415"/>
      <c r="D107" s="413"/>
      <c r="E107" s="415"/>
      <c r="F107" s="415"/>
      <c r="G107" s="415"/>
      <c r="H107" s="433"/>
      <c r="I107" s="433"/>
      <c r="J107" s="433"/>
      <c r="K107" s="433"/>
      <c r="L107" s="433"/>
      <c r="M107" s="433"/>
      <c r="N107" s="433">
        <f>'ARP Quarterly'!D47</f>
        <v>0</v>
      </c>
      <c r="O107" s="433">
        <f>'ARP Quarterly'!E47</f>
        <v>0</v>
      </c>
      <c r="P107" s="433">
        <f>'ARP Quarterly'!F47</f>
        <v>34.620851999999999</v>
      </c>
      <c r="Q107" s="433">
        <f>'ARP Quarterly'!G47</f>
        <v>50.996274799999995</v>
      </c>
      <c r="R107" s="451">
        <f>'ARP Quarterly'!H47</f>
        <v>69.350031999999999</v>
      </c>
      <c r="S107" s="456">
        <f>'ARP Quarterly'!I47</f>
        <v>79.295867999999999</v>
      </c>
      <c r="T107" s="456">
        <f>'ARP Quarterly'!J47</f>
        <v>80.538927999999999</v>
      </c>
      <c r="U107" s="456">
        <f>'ARP Quarterly'!K47</f>
        <v>80.122543199999996</v>
      </c>
      <c r="V107" s="456">
        <f>'ARP Quarterly'!L47</f>
        <v>88.916719999999998</v>
      </c>
      <c r="W107" s="456">
        <f>'ARP Quarterly'!M47</f>
        <v>92.213943999999998</v>
      </c>
      <c r="X107" s="456">
        <f>'ARP Quarterly'!N47</f>
        <v>92.213943999999998</v>
      </c>
      <c r="Y107" s="456">
        <f>'ARP Quarterly'!O47</f>
        <v>94.213943999999998</v>
      </c>
      <c r="Z107" s="456">
        <f>'ARP Quarterly'!P47</f>
        <v>98.916719999999998</v>
      </c>
      <c r="AA107" s="456">
        <f>'ARP Quarterly'!Q47</f>
        <v>98.916719999999998</v>
      </c>
      <c r="AB107" s="456">
        <f>'ARP Quarterly'!R47</f>
        <v>99.081581199999988</v>
      </c>
      <c r="AC107" s="457">
        <f>'ARP Quarterly'!S47</f>
        <v>93.146578000000005</v>
      </c>
      <c r="AD107" s="436"/>
    </row>
    <row r="108" spans="2:31" ht="55.15" customHeight="1" x14ac:dyDescent="0.35">
      <c r="B108" s="402" t="s">
        <v>902</v>
      </c>
      <c r="C108" s="403"/>
      <c r="D108" s="403"/>
      <c r="E108" s="403"/>
      <c r="F108" s="403"/>
      <c r="G108" s="403"/>
      <c r="H108" s="403"/>
      <c r="I108" s="403"/>
      <c r="J108" s="403"/>
      <c r="K108" s="403"/>
      <c r="L108" s="403"/>
      <c r="M108" s="403"/>
      <c r="N108" s="403"/>
      <c r="O108" s="403"/>
      <c r="P108" s="403">
        <v>-50</v>
      </c>
      <c r="Q108" s="403">
        <v>-25</v>
      </c>
      <c r="R108" s="403"/>
      <c r="S108" s="403"/>
      <c r="T108" s="403"/>
      <c r="U108" s="403"/>
      <c r="V108" s="403"/>
      <c r="W108" s="403"/>
      <c r="X108" s="403"/>
      <c r="Y108" s="403">
        <v>12.5</v>
      </c>
      <c r="Z108" s="403">
        <v>12.5</v>
      </c>
      <c r="AA108" s="403">
        <v>12.5</v>
      </c>
      <c r="AB108" s="403">
        <v>12.5</v>
      </c>
      <c r="AC108" s="404"/>
    </row>
    <row r="109" spans="2:31" ht="12.75" customHeight="1" x14ac:dyDescent="0.35"/>
    <row r="110" spans="2:31" ht="12.75" customHeight="1" x14ac:dyDescent="0.35">
      <c r="B110" s="363" t="s">
        <v>425</v>
      </c>
      <c r="C110" s="364"/>
      <c r="D110" s="365"/>
      <c r="E110" s="364"/>
      <c r="F110" s="364"/>
      <c r="G110" s="364"/>
      <c r="H110" s="366">
        <v>208.59399999999999</v>
      </c>
      <c r="I110" s="366">
        <v>212.48200000000003</v>
      </c>
      <c r="J110" s="366">
        <v>334.61</v>
      </c>
      <c r="K110" s="366">
        <v>301.78300000000002</v>
      </c>
      <c r="L110" s="366">
        <v>280.16300000000001</v>
      </c>
      <c r="M110" s="366">
        <v>310.15499999999997</v>
      </c>
      <c r="N110" s="366">
        <v>346.31500000000005</v>
      </c>
      <c r="O110" s="366">
        <v>359.12299999999988</v>
      </c>
      <c r="P110" s="366">
        <v>393.11685200000005</v>
      </c>
      <c r="Q110" s="366">
        <v>428.87827479999993</v>
      </c>
      <c r="R110" s="367">
        <v>495.46903199999991</v>
      </c>
      <c r="S110" s="368">
        <v>466.60108955001516</v>
      </c>
      <c r="T110" s="368">
        <v>461.04707392966139</v>
      </c>
      <c r="U110" s="368">
        <v>455.81755330501926</v>
      </c>
      <c r="V110" s="368">
        <v>460.23607066666654</v>
      </c>
      <c r="W110" s="368">
        <v>459.18272744600199</v>
      </c>
      <c r="X110" s="368">
        <v>459.6644396868478</v>
      </c>
      <c r="Y110" s="368">
        <v>448.37674106921997</v>
      </c>
      <c r="Z110" s="368">
        <v>428.63815273333313</v>
      </c>
      <c r="AA110" s="368">
        <v>433.22288430384208</v>
      </c>
      <c r="AB110" s="368">
        <v>438.09974361432171</v>
      </c>
      <c r="AC110" s="369">
        <v>421.39589123198868</v>
      </c>
    </row>
    <row r="111" spans="2:31" ht="12.75" customHeight="1" x14ac:dyDescent="0.35">
      <c r="B111" s="370" t="s">
        <v>426</v>
      </c>
      <c r="C111" s="371"/>
      <c r="D111" s="464"/>
      <c r="E111" s="371"/>
      <c r="F111" s="371"/>
      <c r="G111" s="371"/>
      <c r="H111" s="372"/>
      <c r="I111" s="372"/>
      <c r="J111" s="372"/>
      <c r="K111" s="372"/>
      <c r="L111" s="372"/>
      <c r="M111" s="372"/>
      <c r="N111" s="372"/>
      <c r="O111" s="372"/>
      <c r="P111" s="372"/>
      <c r="Q111" s="372"/>
      <c r="R111" s="484"/>
      <c r="S111" s="373"/>
      <c r="T111" s="373"/>
      <c r="U111" s="373"/>
      <c r="V111" s="373"/>
      <c r="W111" s="373"/>
      <c r="X111" s="373"/>
      <c r="Y111" s="373"/>
      <c r="Z111" s="373"/>
      <c r="AA111" s="373"/>
      <c r="AB111" s="373"/>
      <c r="AC111" s="374"/>
    </row>
    <row r="112" spans="2:31" ht="12.75" customHeight="1" x14ac:dyDescent="0.35">
      <c r="B112" s="345" t="s">
        <v>152</v>
      </c>
      <c r="C112" s="70"/>
      <c r="D112" s="411"/>
      <c r="E112" s="70"/>
      <c r="F112" s="70"/>
      <c r="G112" s="70"/>
      <c r="H112" s="375"/>
      <c r="I112" s="375"/>
      <c r="J112" s="375">
        <v>64.400000000000006</v>
      </c>
      <c r="K112" s="375">
        <v>23.4</v>
      </c>
      <c r="L112" s="375">
        <v>13.8</v>
      </c>
      <c r="M112" s="375">
        <v>17.100000000000001</v>
      </c>
      <c r="N112" s="375">
        <v>10.6</v>
      </c>
      <c r="O112" s="375">
        <v>15</v>
      </c>
      <c r="P112" s="375">
        <v>25.8</v>
      </c>
      <c r="Q112" s="375">
        <v>21.5</v>
      </c>
      <c r="R112" s="435">
        <v>17.600000000000001</v>
      </c>
      <c r="S112" s="376">
        <v>12.027334851936219</v>
      </c>
      <c r="T112" s="376">
        <v>0</v>
      </c>
      <c r="U112" s="376">
        <v>0</v>
      </c>
      <c r="V112" s="376">
        <v>0</v>
      </c>
      <c r="W112" s="376">
        <v>0</v>
      </c>
      <c r="X112" s="376">
        <v>0</v>
      </c>
      <c r="Y112" s="376">
        <v>0</v>
      </c>
      <c r="Z112" s="376">
        <v>0</v>
      </c>
      <c r="AA112" s="376">
        <v>0</v>
      </c>
      <c r="AB112" s="376">
        <v>0</v>
      </c>
      <c r="AC112" s="377">
        <v>0</v>
      </c>
    </row>
    <row r="113" spans="2:29" ht="12.75" customHeight="1" x14ac:dyDescent="0.35">
      <c r="B113" s="345" t="s">
        <v>391</v>
      </c>
      <c r="C113" s="70"/>
      <c r="D113" s="411"/>
      <c r="E113" s="70"/>
      <c r="F113" s="70"/>
      <c r="G113" s="70"/>
      <c r="H113" s="375"/>
      <c r="I113" s="375"/>
      <c r="J113" s="375"/>
      <c r="K113" s="375"/>
      <c r="L113" s="375"/>
      <c r="M113" s="375">
        <v>9.6666666666666661</v>
      </c>
      <c r="N113" s="375">
        <v>9.6666666666666661</v>
      </c>
      <c r="O113" s="375">
        <v>9.6666666666666661</v>
      </c>
      <c r="P113" s="375">
        <v>9.6666666666666661</v>
      </c>
      <c r="Q113" s="375">
        <v>9.6666666666666661</v>
      </c>
      <c r="R113" s="435">
        <v>9.6666666666666661</v>
      </c>
      <c r="S113" s="376">
        <v>9.6666666666666661</v>
      </c>
      <c r="T113" s="376">
        <v>9.6666666666666661</v>
      </c>
      <c r="U113" s="376">
        <v>9.6666666666666661</v>
      </c>
      <c r="V113" s="376">
        <v>9.6666666666666661</v>
      </c>
      <c r="W113" s="376">
        <v>9.6666666666666661</v>
      </c>
      <c r="X113" s="376">
        <v>9.6666666666666661</v>
      </c>
      <c r="Y113" s="376">
        <v>0</v>
      </c>
      <c r="Z113" s="376">
        <v>0</v>
      </c>
      <c r="AA113" s="376">
        <v>0</v>
      </c>
      <c r="AB113" s="376">
        <v>0</v>
      </c>
      <c r="AC113" s="377">
        <v>0</v>
      </c>
    </row>
    <row r="114" spans="2:29" ht="12.75" customHeight="1" x14ac:dyDescent="0.35">
      <c r="B114" s="345" t="s">
        <v>427</v>
      </c>
      <c r="C114" s="70"/>
      <c r="D114" s="411"/>
      <c r="E114" s="70"/>
      <c r="F114" s="70"/>
      <c r="G114" s="70"/>
      <c r="H114" s="375"/>
      <c r="I114" s="375"/>
      <c r="J114" s="375"/>
      <c r="K114" s="375"/>
      <c r="L114" s="375"/>
      <c r="M114" s="375">
        <v>12</v>
      </c>
      <c r="N114" s="375">
        <v>12</v>
      </c>
      <c r="O114" s="375">
        <v>12</v>
      </c>
      <c r="P114" s="375">
        <v>12</v>
      </c>
      <c r="Q114" s="375">
        <v>12</v>
      </c>
      <c r="R114" s="435">
        <v>12</v>
      </c>
      <c r="S114" s="376">
        <v>12</v>
      </c>
      <c r="T114" s="376">
        <v>12</v>
      </c>
      <c r="U114" s="376">
        <v>12</v>
      </c>
      <c r="V114" s="376">
        <v>12</v>
      </c>
      <c r="W114" s="376">
        <v>12</v>
      </c>
      <c r="X114" s="376">
        <v>12</v>
      </c>
      <c r="Y114" s="376">
        <v>0</v>
      </c>
      <c r="Z114" s="376">
        <v>0</v>
      </c>
      <c r="AA114" s="376">
        <v>0</v>
      </c>
      <c r="AB114" s="376">
        <v>0</v>
      </c>
      <c r="AC114" s="377">
        <v>0</v>
      </c>
    </row>
    <row r="115" spans="2:29" ht="12.75" customHeight="1" x14ac:dyDescent="0.35">
      <c r="B115" s="345" t="s">
        <v>428</v>
      </c>
      <c r="C115" s="70"/>
      <c r="D115" s="411"/>
      <c r="E115" s="70"/>
      <c r="F115" s="70"/>
      <c r="G115" s="70"/>
      <c r="H115" s="51">
        <v>208.59399999999999</v>
      </c>
      <c r="I115" s="51">
        <v>212.48200000000003</v>
      </c>
      <c r="J115" s="51">
        <v>206.81000000000006</v>
      </c>
      <c r="K115" s="51">
        <v>217.58300000000003</v>
      </c>
      <c r="L115" s="51">
        <v>206.16300000000001</v>
      </c>
      <c r="M115" s="51">
        <v>202.48833333333332</v>
      </c>
      <c r="N115" s="51">
        <v>206.44833333333338</v>
      </c>
      <c r="O115" s="51">
        <v>201.7563333333332</v>
      </c>
      <c r="P115" s="51">
        <v>233.82933333333341</v>
      </c>
      <c r="Q115" s="51">
        <v>237.31533333333323</v>
      </c>
      <c r="R115" s="485">
        <v>250.95233333333329</v>
      </c>
      <c r="S115" s="378">
        <v>253.42506869807895</v>
      </c>
      <c r="T115" s="378">
        <v>255.92216892966147</v>
      </c>
      <c r="U115" s="378">
        <v>258.44387410501929</v>
      </c>
      <c r="V115" s="378">
        <v>260.99042666666656</v>
      </c>
      <c r="W115" s="378">
        <v>263.56207144600205</v>
      </c>
      <c r="X115" s="378">
        <v>266.15905568684786</v>
      </c>
      <c r="Y115" s="378">
        <v>268.78162906922</v>
      </c>
      <c r="Z115" s="378">
        <v>271.43004373333315</v>
      </c>
      <c r="AA115" s="378">
        <v>274.10455430384206</v>
      </c>
      <c r="AB115" s="378">
        <v>276.80541791432171</v>
      </c>
      <c r="AC115" s="379">
        <v>279.53289423198873</v>
      </c>
    </row>
    <row r="116" spans="2:29" ht="12.75" customHeight="1" x14ac:dyDescent="0.35">
      <c r="B116" s="356" t="s">
        <v>1294</v>
      </c>
      <c r="C116" s="70"/>
      <c r="D116" s="411"/>
      <c r="E116" s="70"/>
      <c r="F116" s="70"/>
      <c r="G116" s="70"/>
      <c r="H116" s="51"/>
      <c r="I116" s="51"/>
      <c r="J116" s="51"/>
      <c r="K116" s="51"/>
      <c r="L116" s="51"/>
      <c r="M116" s="51"/>
      <c r="N116" s="51"/>
      <c r="O116" s="51"/>
      <c r="P116" s="51"/>
      <c r="Q116" s="51"/>
      <c r="R116" s="485"/>
      <c r="S116" s="380">
        <v>0</v>
      </c>
      <c r="T116" s="380">
        <v>6.8000000000000005E-2</v>
      </c>
      <c r="U116" s="380">
        <v>6.8000000000000005E-2</v>
      </c>
      <c r="V116" s="380">
        <v>6.8000000000000005E-2</v>
      </c>
      <c r="W116" s="380">
        <v>6.8000000000000005E-2</v>
      </c>
      <c r="X116" s="380">
        <v>1.363</v>
      </c>
      <c r="Y116" s="380">
        <v>1.363</v>
      </c>
      <c r="Z116" s="380">
        <v>1.363</v>
      </c>
      <c r="AA116" s="380">
        <v>1.363</v>
      </c>
      <c r="AB116" s="380">
        <v>2.4329999999999998</v>
      </c>
      <c r="AC116" s="381">
        <v>2.4329999999999998</v>
      </c>
    </row>
    <row r="117" spans="2:29" ht="12.75" customHeight="1" x14ac:dyDescent="0.35">
      <c r="B117" s="382" t="s">
        <v>429</v>
      </c>
      <c r="C117" s="70"/>
      <c r="D117" s="411"/>
      <c r="E117" s="70"/>
      <c r="F117" s="70"/>
      <c r="G117" s="70"/>
      <c r="H117" s="375"/>
      <c r="I117" s="375"/>
      <c r="J117" s="375"/>
      <c r="K117" s="375"/>
      <c r="L117" s="375"/>
      <c r="M117" s="375"/>
      <c r="N117" s="375"/>
      <c r="O117" s="375"/>
      <c r="P117" s="375"/>
      <c r="Q117" s="375"/>
      <c r="R117" s="435"/>
      <c r="S117" s="376"/>
      <c r="T117" s="376"/>
      <c r="U117" s="376"/>
      <c r="V117" s="376"/>
      <c r="W117" s="376"/>
      <c r="X117" s="376"/>
      <c r="Y117" s="376"/>
      <c r="Z117" s="376"/>
      <c r="AA117" s="376"/>
      <c r="AB117" s="376"/>
      <c r="AC117" s="377"/>
    </row>
    <row r="118" spans="2:29" ht="12.75" customHeight="1" x14ac:dyDescent="0.35">
      <c r="B118" s="345" t="s">
        <v>150</v>
      </c>
      <c r="C118" s="70"/>
      <c r="D118" s="411"/>
      <c r="E118" s="70"/>
      <c r="F118" s="70"/>
      <c r="G118" s="70"/>
      <c r="H118" s="375"/>
      <c r="I118" s="375"/>
      <c r="J118" s="375">
        <v>28.4</v>
      </c>
      <c r="K118" s="375">
        <v>15.8</v>
      </c>
      <c r="L118" s="375">
        <v>15.2</v>
      </c>
      <c r="M118" s="375">
        <v>28.9</v>
      </c>
      <c r="N118" s="375">
        <v>67.599999999999994</v>
      </c>
      <c r="O118" s="375">
        <v>80.7</v>
      </c>
      <c r="P118" s="375">
        <v>87.2</v>
      </c>
      <c r="Q118" s="375">
        <v>72.400000000000006</v>
      </c>
      <c r="R118" s="435">
        <v>85.9</v>
      </c>
      <c r="S118" s="376">
        <v>50.186151333333306</v>
      </c>
      <c r="T118" s="376">
        <v>52.851310333333302</v>
      </c>
      <c r="U118" s="376">
        <v>55.516469333333305</v>
      </c>
      <c r="V118" s="376">
        <v>58.594257333333303</v>
      </c>
      <c r="W118" s="376">
        <v>61.672045333333294</v>
      </c>
      <c r="X118" s="376">
        <v>63.261773333333295</v>
      </c>
      <c r="Y118" s="376">
        <v>61.518167999999996</v>
      </c>
      <c r="Z118" s="376">
        <v>44.428388999999996</v>
      </c>
      <c r="AA118" s="376">
        <v>46.338610000000003</v>
      </c>
      <c r="AB118" s="376">
        <v>47.279744500000007</v>
      </c>
      <c r="AC118" s="377">
        <v>46.283419000000009</v>
      </c>
    </row>
    <row r="119" spans="2:29" ht="12.75" customHeight="1" x14ac:dyDescent="0.35">
      <c r="B119" s="345" t="s">
        <v>149</v>
      </c>
      <c r="C119" s="51"/>
      <c r="D119" s="410"/>
      <c r="E119" s="51"/>
      <c r="F119" s="51"/>
      <c r="G119" s="51"/>
      <c r="H119" s="375"/>
      <c r="I119" s="375"/>
      <c r="J119" s="375">
        <v>35</v>
      </c>
      <c r="K119" s="375">
        <v>45</v>
      </c>
      <c r="L119" s="375">
        <v>45</v>
      </c>
      <c r="M119" s="375">
        <v>40</v>
      </c>
      <c r="N119" s="375">
        <v>40</v>
      </c>
      <c r="O119" s="375">
        <v>40</v>
      </c>
      <c r="P119" s="375">
        <v>40</v>
      </c>
      <c r="Q119" s="375">
        <v>50</v>
      </c>
      <c r="R119" s="435">
        <v>50</v>
      </c>
      <c r="S119" s="376">
        <v>50</v>
      </c>
      <c r="T119" s="376">
        <v>50</v>
      </c>
      <c r="U119" s="376">
        <v>40</v>
      </c>
      <c r="V119" s="376">
        <v>30</v>
      </c>
      <c r="W119" s="376">
        <v>20</v>
      </c>
      <c r="X119" s="376">
        <v>15</v>
      </c>
      <c r="Y119" s="376">
        <v>10</v>
      </c>
      <c r="Z119" s="376"/>
      <c r="AA119" s="376"/>
      <c r="AB119" s="376"/>
      <c r="AC119" s="377"/>
    </row>
    <row r="120" spans="2:29" ht="12.75" customHeight="1" x14ac:dyDescent="0.35">
      <c r="B120" s="383" t="s">
        <v>430</v>
      </c>
      <c r="C120" s="415"/>
      <c r="D120" s="413"/>
      <c r="E120" s="415"/>
      <c r="F120" s="415"/>
      <c r="G120" s="415"/>
      <c r="H120" s="433"/>
      <c r="I120" s="433"/>
      <c r="J120" s="433"/>
      <c r="K120" s="433"/>
      <c r="L120" s="433"/>
      <c r="M120" s="433"/>
      <c r="N120" s="433">
        <v>0</v>
      </c>
      <c r="O120" s="433">
        <v>0</v>
      </c>
      <c r="P120" s="433">
        <v>34.620851999999999</v>
      </c>
      <c r="Q120" s="433">
        <v>50.996274799999995</v>
      </c>
      <c r="R120" s="451">
        <v>69.350031999999999</v>
      </c>
      <c r="S120" s="456">
        <v>79.295867999999999</v>
      </c>
      <c r="T120" s="456">
        <v>80.538927999999999</v>
      </c>
      <c r="U120" s="456">
        <v>80.122543199999996</v>
      </c>
      <c r="V120" s="456">
        <v>88.916719999999998</v>
      </c>
      <c r="W120" s="456">
        <v>92.213943999999998</v>
      </c>
      <c r="X120" s="456">
        <v>92.213943999999998</v>
      </c>
      <c r="Y120" s="456">
        <v>94.213943999999998</v>
      </c>
      <c r="Z120" s="456">
        <v>98.916719999999998</v>
      </c>
      <c r="AA120" s="456">
        <v>98.916719999999998</v>
      </c>
      <c r="AB120" s="456">
        <v>99.081581199999988</v>
      </c>
      <c r="AC120" s="384">
        <v>93.146578000000005</v>
      </c>
    </row>
    <row r="121" spans="2:29" ht="12.75" customHeight="1" x14ac:dyDescent="0.35">
      <c r="B121" s="385" t="s">
        <v>902</v>
      </c>
      <c r="C121" s="386"/>
      <c r="D121" s="386"/>
      <c r="E121" s="386"/>
      <c r="F121" s="386"/>
      <c r="G121" s="386"/>
      <c r="H121" s="386"/>
      <c r="I121" s="386"/>
      <c r="J121" s="386"/>
      <c r="K121" s="386"/>
      <c r="L121" s="386"/>
      <c r="M121" s="386"/>
      <c r="N121" s="386"/>
      <c r="O121" s="386"/>
      <c r="P121" s="386">
        <v>-50</v>
      </c>
      <c r="Q121" s="386">
        <v>-25</v>
      </c>
      <c r="R121" s="386"/>
      <c r="S121" s="386"/>
      <c r="T121" s="386"/>
      <c r="U121" s="386"/>
      <c r="V121" s="386"/>
      <c r="W121" s="386"/>
      <c r="X121" s="386"/>
      <c r="Y121" s="386">
        <v>12.5</v>
      </c>
      <c r="Z121" s="386">
        <v>12.5</v>
      </c>
      <c r="AA121" s="386">
        <v>12.5</v>
      </c>
      <c r="AB121" s="386">
        <v>12.5</v>
      </c>
      <c r="AC121" s="387"/>
    </row>
    <row r="122" spans="2:29" ht="12.75" customHeight="1" x14ac:dyDescent="0.35"/>
    <row r="123" spans="2:29" ht="12.75" customHeight="1" x14ac:dyDescent="0.35">
      <c r="H123" s="388">
        <f>H110-H97</f>
        <v>2.7889999999999873</v>
      </c>
      <c r="I123" s="388">
        <f t="shared" ref="I123:AC123" si="29">I110-I97</f>
        <v>2.1899999999999977</v>
      </c>
      <c r="J123" s="388">
        <f t="shared" si="29"/>
        <v>9.3260000000000218</v>
      </c>
      <c r="K123" s="388">
        <f t="shared" si="29"/>
        <v>4.4629999999999654</v>
      </c>
      <c r="L123" s="388">
        <f t="shared" si="29"/>
        <v>-9.3789999999999623</v>
      </c>
      <c r="M123" s="388">
        <f t="shared" si="29"/>
        <v>-5.5240000000000578</v>
      </c>
      <c r="N123" s="388">
        <f t="shared" si="29"/>
        <v>-15.211999999999989</v>
      </c>
      <c r="O123" s="388">
        <f t="shared" si="29"/>
        <v>-15.868000000000166</v>
      </c>
      <c r="P123" s="388">
        <f t="shared" si="29"/>
        <v>-8.4680000000000177</v>
      </c>
      <c r="Q123" s="388">
        <f t="shared" si="29"/>
        <v>-9.5800000000000409</v>
      </c>
      <c r="R123" s="388">
        <f t="shared" si="29"/>
        <v>-9.5800000000000409</v>
      </c>
      <c r="S123" s="388">
        <f t="shared" si="29"/>
        <v>-29.513631356646101</v>
      </c>
      <c r="T123" s="388">
        <f t="shared" si="29"/>
        <v>-26.296466365442598</v>
      </c>
      <c r="U123" s="388">
        <f t="shared" si="29"/>
        <v>-16.457042073852904</v>
      </c>
      <c r="V123" s="388">
        <f t="shared" si="29"/>
        <v>-16.619200000000035</v>
      </c>
      <c r="W123" s="388">
        <f t="shared" si="29"/>
        <v>-16.782955734118673</v>
      </c>
      <c r="X123" s="388">
        <f t="shared" si="29"/>
        <v>-16.948325020060338</v>
      </c>
      <c r="Y123" s="388">
        <f t="shared" si="29"/>
        <v>-17.115323756807015</v>
      </c>
      <c r="Z123" s="388">
        <f t="shared" si="29"/>
        <v>-17.283968000000073</v>
      </c>
      <c r="AA123" s="388">
        <f t="shared" si="29"/>
        <v>-17.454273963483445</v>
      </c>
      <c r="AB123" s="388">
        <f t="shared" si="29"/>
        <v>-17.626258020862679</v>
      </c>
      <c r="AC123" s="388">
        <f t="shared" si="29"/>
        <v>-17.799936707079382</v>
      </c>
    </row>
    <row r="124" spans="2:29" ht="12.75" customHeight="1" x14ac:dyDescent="0.35"/>
    <row r="125" spans="2:29" ht="12.75" customHeight="1" x14ac:dyDescent="0.35"/>
    <row r="126" spans="2:29" ht="12.75" customHeight="1" x14ac:dyDescent="0.35"/>
    <row r="127" spans="2:29" ht="12.75" customHeight="1" x14ac:dyDescent="0.35"/>
    <row r="128" spans="2:29" ht="12.75" customHeight="1" x14ac:dyDescent="0.35"/>
    <row r="129" spans="2:31" ht="12.75" customHeight="1" x14ac:dyDescent="0.35"/>
    <row r="130" spans="2:31" ht="12.75" customHeight="1" x14ac:dyDescent="0.35"/>
    <row r="131" spans="2:31" ht="12.75" customHeight="1" x14ac:dyDescent="0.35"/>
    <row r="132" spans="2:31" ht="12.75" customHeight="1" x14ac:dyDescent="0.35"/>
    <row r="133" spans="2:31" ht="12.75" customHeight="1" x14ac:dyDescent="0.35"/>
    <row r="135" spans="2:31" x14ac:dyDescent="0.35">
      <c r="B135" s="1243" t="s">
        <v>134</v>
      </c>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46"/>
      <c r="AA135" s="146"/>
      <c r="AB135" s="146"/>
      <c r="AC135" s="146"/>
      <c r="AD135" s="142"/>
      <c r="AE135" s="142"/>
    </row>
    <row r="136" spans="2:31" ht="19.149999999999999" customHeight="1" x14ac:dyDescent="0.35">
      <c r="B136" s="1275" t="s">
        <v>431</v>
      </c>
      <c r="C136" s="1275"/>
      <c r="D136" s="1275"/>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5"/>
      <c r="AB136" s="1275"/>
      <c r="AC136" s="1275"/>
      <c r="AD136" s="274"/>
      <c r="AE136" s="274"/>
    </row>
    <row r="137" spans="2:31" ht="11.65" customHeight="1" x14ac:dyDescent="0.35">
      <c r="B137" s="145"/>
      <c r="C137" s="145"/>
      <c r="D137" s="145"/>
      <c r="E137" s="145"/>
      <c r="F137" s="145"/>
      <c r="G137" s="145"/>
      <c r="H137" s="145"/>
      <c r="I137" s="145"/>
      <c r="J137" s="145"/>
      <c r="K137" s="145"/>
      <c r="L137" s="145"/>
      <c r="M137" s="145"/>
      <c r="V137" s="144"/>
      <c r="W137" s="144"/>
      <c r="X137" s="144"/>
      <c r="Y137" s="144"/>
      <c r="Z137" s="144"/>
      <c r="AA137" s="144"/>
      <c r="AB137" s="144"/>
      <c r="AC137" s="144"/>
      <c r="AD137" s="144"/>
      <c r="AE137" s="144"/>
    </row>
    <row r="138" spans="2:31" ht="14.65" customHeight="1" x14ac:dyDescent="0.35">
      <c r="B138" s="1276" t="s">
        <v>324</v>
      </c>
      <c r="C138" s="1256"/>
      <c r="D138" s="1253" t="s">
        <v>325</v>
      </c>
      <c r="E138" s="1254"/>
      <c r="F138" s="1254"/>
      <c r="G138" s="1254"/>
      <c r="H138" s="1254"/>
      <c r="I138" s="1254"/>
      <c r="J138" s="1254"/>
      <c r="K138" s="1254"/>
      <c r="L138" s="1254"/>
      <c r="M138" s="1254"/>
      <c r="N138" s="1254"/>
      <c r="O138" s="1254"/>
      <c r="P138" s="1254"/>
      <c r="Q138" s="1254"/>
      <c r="R138" s="1254"/>
      <c r="S138" s="1286" t="s">
        <v>326</v>
      </c>
      <c r="T138" s="1286"/>
      <c r="U138" s="1286"/>
      <c r="V138" s="1286"/>
      <c r="W138" s="1286"/>
      <c r="X138" s="1286"/>
      <c r="Y138" s="1286"/>
      <c r="Z138" s="1286"/>
      <c r="AA138" s="1286"/>
      <c r="AB138" s="1286"/>
      <c r="AC138" s="1287"/>
      <c r="AD138" s="142"/>
      <c r="AE138" s="142"/>
    </row>
    <row r="139" spans="2:31" x14ac:dyDescent="0.35">
      <c r="B139" s="1277"/>
      <c r="C139" s="1278"/>
      <c r="D139" s="147">
        <v>2018</v>
      </c>
      <c r="E139" s="1244">
        <v>2019</v>
      </c>
      <c r="F139" s="1245"/>
      <c r="G139" s="1245"/>
      <c r="H139" s="1252"/>
      <c r="I139" s="1244">
        <v>2020</v>
      </c>
      <c r="J139" s="1245"/>
      <c r="K139" s="1245"/>
      <c r="L139" s="1245"/>
      <c r="M139" s="1244">
        <v>2021</v>
      </c>
      <c r="N139" s="1245"/>
      <c r="O139" s="1245"/>
      <c r="P139" s="1252"/>
      <c r="Q139" s="1282">
        <v>2022</v>
      </c>
      <c r="R139" s="1283"/>
      <c r="S139" s="317"/>
      <c r="T139" s="318"/>
      <c r="U139" s="1279">
        <v>2023</v>
      </c>
      <c r="V139" s="1280"/>
      <c r="W139" s="1280"/>
      <c r="X139" s="1280"/>
      <c r="Y139" s="1279">
        <v>2024</v>
      </c>
      <c r="Z139" s="1280"/>
      <c r="AA139" s="1280"/>
      <c r="AB139" s="1281"/>
      <c r="AC139" s="285">
        <v>2025</v>
      </c>
      <c r="AD139" s="144"/>
      <c r="AE139" s="144"/>
    </row>
    <row r="140" spans="2:31" x14ac:dyDescent="0.35">
      <c r="B140" s="1277"/>
      <c r="C140" s="1278"/>
      <c r="D140" s="154" t="s">
        <v>327</v>
      </c>
      <c r="E140" s="154" t="s">
        <v>328</v>
      </c>
      <c r="F140" s="153" t="s">
        <v>329</v>
      </c>
      <c r="G140" s="153" t="s">
        <v>238</v>
      </c>
      <c r="H140" s="224" t="s">
        <v>327</v>
      </c>
      <c r="I140" s="153" t="s">
        <v>328</v>
      </c>
      <c r="J140" s="153" t="s">
        <v>329</v>
      </c>
      <c r="K140" s="153" t="s">
        <v>238</v>
      </c>
      <c r="L140" s="153" t="s">
        <v>327</v>
      </c>
      <c r="M140" s="154" t="s">
        <v>328</v>
      </c>
      <c r="N140" s="153" t="s">
        <v>329</v>
      </c>
      <c r="O140" s="153" t="s">
        <v>238</v>
      </c>
      <c r="P140" s="224" t="s">
        <v>327</v>
      </c>
      <c r="Q140" s="154" t="s">
        <v>328</v>
      </c>
      <c r="R140" s="224" t="s">
        <v>329</v>
      </c>
      <c r="S140" s="429" t="s">
        <v>238</v>
      </c>
      <c r="T140" s="429" t="s">
        <v>327</v>
      </c>
      <c r="U140" s="428" t="s">
        <v>328</v>
      </c>
      <c r="V140" s="429" t="s">
        <v>329</v>
      </c>
      <c r="W140" s="429" t="s">
        <v>238</v>
      </c>
      <c r="X140" s="429" t="s">
        <v>327</v>
      </c>
      <c r="Y140" s="428" t="s">
        <v>328</v>
      </c>
      <c r="Z140" s="295" t="s">
        <v>329</v>
      </c>
      <c r="AA140" s="429" t="s">
        <v>238</v>
      </c>
      <c r="AB140" s="443" t="s">
        <v>327</v>
      </c>
      <c r="AC140" s="458" t="s">
        <v>328</v>
      </c>
      <c r="AD140" s="144"/>
      <c r="AE140" s="144"/>
    </row>
    <row r="141" spans="2:31" ht="14.5" customHeight="1" x14ac:dyDescent="0.35">
      <c r="B141" s="489" t="s">
        <v>432</v>
      </c>
      <c r="C141" s="490" t="s">
        <v>433</v>
      </c>
      <c r="D141" s="490"/>
      <c r="E141" s="490"/>
      <c r="F141" s="490"/>
      <c r="G141" s="490"/>
      <c r="H141" s="279">
        <f>'Haver Pivoted'!GS41</f>
        <v>72.367000000000004</v>
      </c>
      <c r="I141" s="279">
        <f>'Haver Pivoted'!GT41</f>
        <v>75.578999999999994</v>
      </c>
      <c r="J141" s="279">
        <f>'Haver Pivoted'!GU41</f>
        <v>76.015000000000001</v>
      </c>
      <c r="K141" s="279">
        <f>'Haver Pivoted'!GV41</f>
        <v>78.872</v>
      </c>
      <c r="L141" s="279">
        <f>'Haver Pivoted'!GW41</f>
        <v>75.819000000000003</v>
      </c>
      <c r="M141" s="279">
        <f>'Haver Pivoted'!GX41</f>
        <v>73.662000000000006</v>
      </c>
      <c r="N141" s="279">
        <f>'Haver Pivoted'!GY41</f>
        <v>75.066000000000003</v>
      </c>
      <c r="O141" s="279">
        <f>'Haver Pivoted'!GZ41</f>
        <v>69.344999999999999</v>
      </c>
      <c r="P141" s="279">
        <f>'Haver Pivoted'!HA41</f>
        <v>72.477000000000004</v>
      </c>
      <c r="Q141" s="279">
        <f>'Haver Pivoted'!HB41</f>
        <v>72.528999999999996</v>
      </c>
      <c r="R141" s="491">
        <f t="shared" ref="R141" si="30">AVERAGE($H$141:$N$141)</f>
        <v>75.340000000000018</v>
      </c>
      <c r="S141" s="491">
        <f>AVERAGE($H$141:$N$141)+S142</f>
        <v>75.340000000000018</v>
      </c>
      <c r="T141" s="491">
        <f t="shared" ref="T141:AC141" si="31">AVERAGE($H$141:$N$141)+T142</f>
        <v>76.15900000000002</v>
      </c>
      <c r="U141" s="491">
        <f t="shared" si="31"/>
        <v>76.15900000000002</v>
      </c>
      <c r="V141" s="491">
        <f t="shared" si="31"/>
        <v>76.15900000000002</v>
      </c>
      <c r="W141" s="491">
        <f t="shared" si="31"/>
        <v>76.15900000000002</v>
      </c>
      <c r="X141" s="491">
        <f t="shared" si="31"/>
        <v>77.818000000000012</v>
      </c>
      <c r="Y141" s="491">
        <f t="shared" si="31"/>
        <v>77.818000000000012</v>
      </c>
      <c r="Z141" s="491">
        <f t="shared" si="31"/>
        <v>77.818000000000012</v>
      </c>
      <c r="AA141" s="491">
        <f t="shared" si="31"/>
        <v>77.818000000000012</v>
      </c>
      <c r="AB141" s="491">
        <f t="shared" si="31"/>
        <v>79.41200000000002</v>
      </c>
      <c r="AC141" s="491">
        <f t="shared" si="31"/>
        <v>79.41200000000002</v>
      </c>
      <c r="AD141" s="279"/>
      <c r="AE141" s="279"/>
    </row>
    <row r="142" spans="2:31" x14ac:dyDescent="0.35">
      <c r="B142" s="492" t="s">
        <v>1293</v>
      </c>
      <c r="C142" s="37"/>
      <c r="D142" s="37"/>
      <c r="E142" s="37"/>
      <c r="F142" s="37"/>
      <c r="G142" s="37"/>
      <c r="H142" s="37"/>
      <c r="I142" s="37"/>
      <c r="J142" s="37"/>
      <c r="K142" s="37"/>
      <c r="L142" s="37"/>
      <c r="M142" s="37"/>
      <c r="N142" s="37"/>
      <c r="O142" s="37"/>
      <c r="P142" s="37"/>
      <c r="Q142" s="37"/>
      <c r="R142" s="493"/>
      <c r="S142" s="389">
        <f>'IRA and CHIPS'!E185</f>
        <v>0</v>
      </c>
      <c r="T142" s="389">
        <f>'IRA and CHIPS'!F185</f>
        <v>0.81899999999999995</v>
      </c>
      <c r="U142" s="389">
        <f>'IRA and CHIPS'!G185</f>
        <v>0.81899999999999995</v>
      </c>
      <c r="V142" s="389">
        <f>'IRA and CHIPS'!H185</f>
        <v>0.81899999999999995</v>
      </c>
      <c r="W142" s="389">
        <f>'IRA and CHIPS'!I185</f>
        <v>0.81899999999999995</v>
      </c>
      <c r="X142" s="389">
        <f>'IRA and CHIPS'!J185</f>
        <v>2.4780000000000002</v>
      </c>
      <c r="Y142" s="389">
        <f>'IRA and CHIPS'!K185</f>
        <v>2.4780000000000002</v>
      </c>
      <c r="Z142" s="389">
        <f>'IRA and CHIPS'!L185</f>
        <v>2.4780000000000002</v>
      </c>
      <c r="AA142" s="389">
        <f>'IRA and CHIPS'!M185</f>
        <v>2.4780000000000002</v>
      </c>
      <c r="AB142" s="389">
        <f>'IRA and CHIPS'!N185</f>
        <v>4.0720000000000001</v>
      </c>
      <c r="AC142" s="389">
        <f>'IRA and CHIPS'!O185</f>
        <v>4.0720000000000001</v>
      </c>
    </row>
    <row r="143" spans="2:31" ht="18.75" customHeight="1" x14ac:dyDescent="0.35"/>
    <row r="144" spans="2:31" ht="21.75" customHeight="1" x14ac:dyDescent="0.35"/>
  </sheetData>
  <mergeCells count="42">
    <mergeCell ref="S6:AC6"/>
    <mergeCell ref="Q95:R95"/>
    <mergeCell ref="D94:R94"/>
    <mergeCell ref="S94:AC94"/>
    <mergeCell ref="Q139:R139"/>
    <mergeCell ref="D138:R138"/>
    <mergeCell ref="S138:AC138"/>
    <mergeCell ref="B136:AC136"/>
    <mergeCell ref="Y95:AB95"/>
    <mergeCell ref="B94:C96"/>
    <mergeCell ref="I95:L95"/>
    <mergeCell ref="U95:X95"/>
    <mergeCell ref="B135:Y135"/>
    <mergeCell ref="E95:H95"/>
    <mergeCell ref="M95:P95"/>
    <mergeCell ref="B138:C140"/>
    <mergeCell ref="I139:L139"/>
    <mergeCell ref="U139:X139"/>
    <mergeCell ref="E139:H139"/>
    <mergeCell ref="Y139:AB139"/>
    <mergeCell ref="M139:P139"/>
    <mergeCell ref="A88:A89"/>
    <mergeCell ref="Q70:AH70"/>
    <mergeCell ref="Q71:S71"/>
    <mergeCell ref="T71:Y71"/>
    <mergeCell ref="AD71:AG71"/>
    <mergeCell ref="AE47:AF47"/>
    <mergeCell ref="AE51:AF52"/>
    <mergeCell ref="AE57:AF57"/>
    <mergeCell ref="B1:Y1"/>
    <mergeCell ref="B6:C8"/>
    <mergeCell ref="I7:L7"/>
    <mergeCell ref="AD6:AD8"/>
    <mergeCell ref="AE6:AE8"/>
    <mergeCell ref="U7:X7"/>
    <mergeCell ref="E7:H7"/>
    <mergeCell ref="B46:AC46"/>
    <mergeCell ref="Y7:AB7"/>
    <mergeCell ref="Q7:R7"/>
    <mergeCell ref="B2:AC4"/>
    <mergeCell ref="M7:P7"/>
    <mergeCell ref="D6:R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97"/>
  <sheetViews>
    <sheetView topLeftCell="L33" zoomScale="85" zoomScaleNormal="85" workbookViewId="0">
      <selection activeCell="R42" sqref="R42:AC46"/>
    </sheetView>
  </sheetViews>
  <sheetFormatPr defaultColWidth="11.453125" defaultRowHeight="14.5" x14ac:dyDescent="0.35"/>
  <cols>
    <col min="2" max="2" width="56.7265625" customWidth="1"/>
    <col min="3" max="3" width="18" customWidth="1"/>
    <col min="4" max="7" width="10" customWidth="1"/>
    <col min="8" max="8" width="14.1796875" customWidth="1"/>
    <col min="9" max="9" width="10.1796875" customWidth="1"/>
    <col min="10" max="10" width="11.7265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7265625" customWidth="1"/>
    <col min="39" max="39" width="31.7265625" customWidth="1"/>
    <col min="41" max="41" width="10.1796875" customWidth="1"/>
  </cols>
  <sheetData>
    <row r="1" spans="2:39" ht="20.25" customHeight="1" x14ac:dyDescent="0.35">
      <c r="B1" s="1243" t="s">
        <v>434</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9" ht="14.25" customHeight="1" x14ac:dyDescent="0.35">
      <c r="B2" s="1242" t="s">
        <v>435</v>
      </c>
      <c r="C2" s="1242"/>
      <c r="D2" s="1242"/>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2:39" ht="9" customHeight="1" x14ac:dyDescent="0.35">
      <c r="B3" s="1242"/>
      <c r="C3" s="1242"/>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2:39" ht="27" customHeight="1" x14ac:dyDescent="0.35">
      <c r="B4" s="1242"/>
      <c r="C4" s="1242"/>
      <c r="D4" s="1242"/>
      <c r="E4" s="1242"/>
      <c r="F4" s="1242"/>
      <c r="G4" s="1242"/>
      <c r="H4" s="1242"/>
      <c r="I4" s="1242"/>
      <c r="J4" s="1242"/>
      <c r="K4" s="1242"/>
      <c r="L4" s="1242"/>
      <c r="M4" s="1242"/>
      <c r="N4" s="1242"/>
      <c r="O4" s="1242"/>
      <c r="P4" s="1242"/>
      <c r="Q4" s="1242"/>
      <c r="R4" s="1242"/>
      <c r="S4" s="1242"/>
      <c r="T4" s="1242"/>
      <c r="U4" s="1242"/>
      <c r="V4" s="1242"/>
      <c r="W4" s="1242"/>
      <c r="X4" s="1242"/>
      <c r="Y4" s="1242"/>
      <c r="Z4" s="1242"/>
      <c r="AA4" s="1242"/>
      <c r="AB4" s="1242"/>
      <c r="AC4" s="1242"/>
      <c r="AE4" s="550"/>
      <c r="AF4" s="550"/>
      <c r="AG4" s="550"/>
      <c r="AH4" s="550"/>
      <c r="AI4" s="550"/>
      <c r="AJ4" s="550"/>
      <c r="AK4" s="550"/>
      <c r="AL4" s="550"/>
      <c r="AM4" s="550"/>
    </row>
    <row r="5" spans="2:39" x14ac:dyDescent="0.35">
      <c r="B5" s="178"/>
      <c r="AC5" s="301"/>
      <c r="AD5" s="301"/>
      <c r="AE5" s="301"/>
      <c r="AF5" s="301"/>
    </row>
    <row r="6" spans="2:39" ht="14.65" customHeight="1" x14ac:dyDescent="0.35">
      <c r="B6" s="1276" t="s">
        <v>324</v>
      </c>
      <c r="C6" s="1256"/>
      <c r="D6" s="1253" t="s">
        <v>325</v>
      </c>
      <c r="E6" s="1254"/>
      <c r="F6" s="1254"/>
      <c r="G6" s="1254"/>
      <c r="H6" s="1254"/>
      <c r="I6" s="1254"/>
      <c r="J6" s="1254"/>
      <c r="K6" s="1254"/>
      <c r="L6" s="1254"/>
      <c r="M6" s="1254"/>
      <c r="N6" s="1254"/>
      <c r="O6" s="1254"/>
      <c r="P6" s="1254"/>
      <c r="Q6" s="1254"/>
      <c r="R6" s="1284"/>
      <c r="S6" s="1285" t="s">
        <v>326</v>
      </c>
      <c r="T6" s="1286"/>
      <c r="U6" s="1286"/>
      <c r="V6" s="1286"/>
      <c r="W6" s="1286"/>
      <c r="X6" s="1286"/>
      <c r="Y6" s="1286"/>
      <c r="Z6" s="1286"/>
      <c r="AA6" s="1286"/>
      <c r="AB6" s="1286"/>
      <c r="AC6" s="1287"/>
    </row>
    <row r="7" spans="2:39" ht="14.65" customHeight="1" x14ac:dyDescent="0.35">
      <c r="B7" s="1277"/>
      <c r="C7" s="1278"/>
      <c r="D7" s="147">
        <v>2018</v>
      </c>
      <c r="E7" s="1244">
        <v>2019</v>
      </c>
      <c r="F7" s="1245"/>
      <c r="G7" s="1245"/>
      <c r="H7" s="1252"/>
      <c r="I7" s="1244">
        <v>2020</v>
      </c>
      <c r="J7" s="1245"/>
      <c r="K7" s="1245"/>
      <c r="L7" s="1245"/>
      <c r="M7" s="1244">
        <v>2021</v>
      </c>
      <c r="N7" s="1245"/>
      <c r="O7" s="1245"/>
      <c r="P7" s="1252"/>
      <c r="Q7" s="1282">
        <v>2022</v>
      </c>
      <c r="R7" s="1283"/>
      <c r="S7" s="317"/>
      <c r="T7" s="318"/>
      <c r="U7" s="1279">
        <v>2023</v>
      </c>
      <c r="V7" s="1280"/>
      <c r="W7" s="1280"/>
      <c r="X7" s="1280"/>
      <c r="Y7" s="1279">
        <v>2024</v>
      </c>
      <c r="Z7" s="1280"/>
      <c r="AA7" s="1280"/>
      <c r="AB7" s="1281"/>
      <c r="AC7" s="285">
        <v>2025</v>
      </c>
    </row>
    <row r="8" spans="2:39" x14ac:dyDescent="0.35">
      <c r="B8" s="1289"/>
      <c r="C8" s="1290"/>
      <c r="D8" s="154" t="s">
        <v>327</v>
      </c>
      <c r="E8" s="154" t="s">
        <v>328</v>
      </c>
      <c r="F8" s="153" t="s">
        <v>329</v>
      </c>
      <c r="G8" s="153" t="s">
        <v>238</v>
      </c>
      <c r="H8" s="224" t="s">
        <v>327</v>
      </c>
      <c r="I8" s="153" t="s">
        <v>328</v>
      </c>
      <c r="J8" s="153" t="s">
        <v>329</v>
      </c>
      <c r="K8" s="153" t="s">
        <v>238</v>
      </c>
      <c r="L8" s="153" t="s">
        <v>327</v>
      </c>
      <c r="M8" s="154" t="s">
        <v>328</v>
      </c>
      <c r="N8" s="153" t="s">
        <v>329</v>
      </c>
      <c r="O8" s="153" t="s">
        <v>238</v>
      </c>
      <c r="P8" s="224" t="s">
        <v>327</v>
      </c>
      <c r="Q8" s="154" t="s">
        <v>328</v>
      </c>
      <c r="R8" s="224" t="s">
        <v>329</v>
      </c>
      <c r="S8" s="429" t="s">
        <v>238</v>
      </c>
      <c r="T8" s="443" t="s">
        <v>327</v>
      </c>
      <c r="U8" s="428" t="s">
        <v>328</v>
      </c>
      <c r="V8" s="429" t="s">
        <v>329</v>
      </c>
      <c r="W8" s="429" t="s">
        <v>238</v>
      </c>
      <c r="X8" s="429" t="s">
        <v>327</v>
      </c>
      <c r="Y8" s="428" t="s">
        <v>328</v>
      </c>
      <c r="Z8" s="295" t="s">
        <v>329</v>
      </c>
      <c r="AA8" s="429" t="s">
        <v>238</v>
      </c>
      <c r="AB8" s="443" t="s">
        <v>327</v>
      </c>
      <c r="AC8" s="458" t="s">
        <v>328</v>
      </c>
    </row>
    <row r="9" spans="2:39" ht="18" customHeight="1" x14ac:dyDescent="0.35">
      <c r="B9" s="576" t="s">
        <v>972</v>
      </c>
      <c r="C9" s="182"/>
      <c r="D9" s="164"/>
      <c r="E9" s="159"/>
      <c r="F9" s="159"/>
      <c r="G9" s="159"/>
      <c r="H9" s="159"/>
      <c r="I9" s="159"/>
      <c r="J9" s="159"/>
      <c r="K9" s="159"/>
      <c r="L9" s="159"/>
      <c r="M9" s="159"/>
      <c r="N9" s="159"/>
      <c r="O9" s="159"/>
      <c r="P9" s="159"/>
      <c r="Q9" s="497">
        <v>1575</v>
      </c>
      <c r="R9" s="577">
        <v>1591.4</v>
      </c>
      <c r="S9" s="552">
        <f>1607.9</f>
        <v>1607.9</v>
      </c>
      <c r="T9" s="552">
        <v>1622.9</v>
      </c>
      <c r="U9" s="552">
        <v>1639</v>
      </c>
      <c r="V9" s="552">
        <v>1653.9</v>
      </c>
      <c r="W9" s="552">
        <v>1667.4</v>
      </c>
      <c r="X9" s="552">
        <v>1679.6</v>
      </c>
      <c r="Y9" s="552">
        <v>1693.3</v>
      </c>
      <c r="Z9" s="552">
        <v>1706.4</v>
      </c>
      <c r="AA9" s="552">
        <v>1719.6</v>
      </c>
      <c r="AB9" s="552">
        <v>1732.8</v>
      </c>
      <c r="AC9" s="552">
        <v>1743.7</v>
      </c>
    </row>
    <row r="10" spans="2:39" ht="18" customHeight="1" x14ac:dyDescent="0.35">
      <c r="B10" s="582" t="s">
        <v>1294</v>
      </c>
      <c r="C10" s="182"/>
      <c r="D10" s="164"/>
      <c r="E10" s="159"/>
      <c r="F10" s="159"/>
      <c r="G10" s="159"/>
      <c r="H10" s="159"/>
      <c r="I10" s="159"/>
      <c r="J10" s="159"/>
      <c r="K10" s="159"/>
      <c r="L10" s="159"/>
      <c r="M10" s="159"/>
      <c r="N10" s="159"/>
      <c r="O10" s="159"/>
      <c r="P10" s="159"/>
      <c r="Q10" s="497"/>
      <c r="R10" s="577"/>
      <c r="S10" s="503">
        <f>'IRA and CHIPS'!E186</f>
        <v>0</v>
      </c>
      <c r="T10" s="503">
        <f>'IRA and CHIPS'!F186</f>
        <v>4.5430000000000001</v>
      </c>
      <c r="U10" s="503">
        <f>'IRA and CHIPS'!G186</f>
        <v>4.5430000000000001</v>
      </c>
      <c r="V10" s="503">
        <f>'IRA and CHIPS'!H186</f>
        <v>4.5430000000000001</v>
      </c>
      <c r="W10" s="503">
        <f>'IRA and CHIPS'!I186</f>
        <v>4.5430000000000001</v>
      </c>
      <c r="X10" s="503">
        <f>'IRA and CHIPS'!J186</f>
        <v>5.6079999999999997</v>
      </c>
      <c r="Y10" s="503">
        <f>'IRA and CHIPS'!K186</f>
        <v>5.6079999999999997</v>
      </c>
      <c r="Z10" s="503">
        <f>'IRA and CHIPS'!L186</f>
        <v>5.6079999999999997</v>
      </c>
      <c r="AA10" s="503">
        <f>'IRA and CHIPS'!M186</f>
        <v>5.6079999999999997</v>
      </c>
      <c r="AB10" s="503">
        <f>'IRA and CHIPS'!N186</f>
        <v>8.16</v>
      </c>
      <c r="AC10" s="503">
        <f>'IRA and CHIPS'!O186</f>
        <v>8.16</v>
      </c>
    </row>
    <row r="11" spans="2:39" ht="17.25" customHeight="1" x14ac:dyDescent="0.35">
      <c r="B11" s="575" t="s">
        <v>973</v>
      </c>
      <c r="C11" s="290"/>
      <c r="D11" s="299"/>
      <c r="E11" s="290"/>
      <c r="F11" s="290"/>
      <c r="G11" s="290"/>
      <c r="H11" s="149"/>
      <c r="I11" s="149"/>
      <c r="J11" s="149"/>
      <c r="K11" s="149"/>
      <c r="L11" s="149"/>
      <c r="M11" s="149"/>
      <c r="N11" s="149"/>
      <c r="O11" s="149"/>
      <c r="P11" s="149"/>
      <c r="Q11" s="496">
        <v>2.298</v>
      </c>
      <c r="R11" s="578">
        <v>4.2320000000000002</v>
      </c>
      <c r="S11" s="506">
        <v>4.1929999999999996</v>
      </c>
      <c r="T11" s="506">
        <v>3.786</v>
      </c>
      <c r="U11" s="506">
        <v>4.0339999999999998</v>
      </c>
      <c r="V11" s="506">
        <v>3.6819999999999999</v>
      </c>
      <c r="W11" s="506">
        <v>3.3159999999999998</v>
      </c>
      <c r="X11" s="506">
        <v>2.9569999999999999</v>
      </c>
      <c r="Y11" s="506">
        <v>3.2949999999999999</v>
      </c>
      <c r="Z11" s="506">
        <v>3.1269999999999998</v>
      </c>
      <c r="AA11" s="506">
        <v>3.125</v>
      </c>
      <c r="AB11" s="506">
        <v>3.113</v>
      </c>
      <c r="AC11" s="506">
        <v>2.5430000000000001</v>
      </c>
    </row>
    <row r="12" spans="2:39" ht="17.25" customHeight="1" x14ac:dyDescent="0.35">
      <c r="B12" s="575"/>
      <c r="C12" s="290"/>
      <c r="D12" s="299"/>
      <c r="E12" s="290"/>
      <c r="F12" s="290"/>
      <c r="G12" s="290"/>
      <c r="H12" s="149"/>
      <c r="I12" s="149"/>
      <c r="J12" s="149"/>
      <c r="K12" s="149"/>
      <c r="L12" s="149"/>
      <c r="M12" s="149"/>
      <c r="N12" s="149"/>
      <c r="O12" s="149"/>
      <c r="P12" s="149"/>
      <c r="Q12" s="496"/>
      <c r="R12" s="496">
        <f>'Haver Pivoted'!HC23</f>
        <v>1622.7</v>
      </c>
      <c r="S12" s="508">
        <f t="shared" ref="S12:AC12" si="0">(S9/R9)*R12</f>
        <v>1639.5245255749653</v>
      </c>
      <c r="T12" s="508">
        <f t="shared" si="0"/>
        <v>1654.8195488249339</v>
      </c>
      <c r="U12" s="508">
        <f t="shared" si="0"/>
        <v>1671.2362071132336</v>
      </c>
      <c r="V12" s="508">
        <f t="shared" si="0"/>
        <v>1686.4292635415356</v>
      </c>
      <c r="W12" s="508">
        <f t="shared" si="0"/>
        <v>1700.1947844665074</v>
      </c>
      <c r="X12" s="508">
        <f t="shared" si="0"/>
        <v>1712.6347367098149</v>
      </c>
      <c r="Y12" s="508">
        <f t="shared" si="0"/>
        <v>1726.6041912781197</v>
      </c>
      <c r="Z12" s="508">
        <f t="shared" si="0"/>
        <v>1739.9618449164257</v>
      </c>
      <c r="AA12" s="508">
        <f t="shared" si="0"/>
        <v>1753.4214653763977</v>
      </c>
      <c r="AB12" s="508">
        <f t="shared" si="0"/>
        <v>1766.8810858363702</v>
      </c>
      <c r="AC12" s="508">
        <f t="shared" si="0"/>
        <v>1777.9954693980142</v>
      </c>
    </row>
    <row r="13" spans="2:39" ht="28.9" customHeight="1" x14ac:dyDescent="0.35">
      <c r="B13" s="300" t="s">
        <v>436</v>
      </c>
      <c r="C13" s="290" t="s">
        <v>1003</v>
      </c>
      <c r="D13" s="300"/>
      <c r="E13" s="307"/>
      <c r="F13" s="307"/>
      <c r="G13" s="307"/>
      <c r="H13" s="159">
        <f>'Haver Pivoted'!GS23</f>
        <v>1437.7</v>
      </c>
      <c r="I13" s="159">
        <f>'Haver Pivoted'!GT23</f>
        <v>1455.6</v>
      </c>
      <c r="J13" s="159">
        <f>'Haver Pivoted'!GU23</f>
        <v>1560</v>
      </c>
      <c r="K13" s="159">
        <f>'Haver Pivoted'!GV23</f>
        <v>1525.3</v>
      </c>
      <c r="L13" s="159">
        <f>'Haver Pivoted'!GW23</f>
        <v>1541.3</v>
      </c>
      <c r="M13" s="159">
        <f>'Haver Pivoted'!GX23</f>
        <v>1620.3</v>
      </c>
      <c r="N13" s="159">
        <f>'Haver Pivoted'!GY23</f>
        <v>1608</v>
      </c>
      <c r="O13" s="159">
        <f>'Haver Pivoted'!GZ23</f>
        <v>1595.5</v>
      </c>
      <c r="P13" s="159">
        <f>'Haver Pivoted'!HA23</f>
        <v>1612.8</v>
      </c>
      <c r="Q13" s="159">
        <f>'Haver Pivoted'!HB23</f>
        <v>1613.1</v>
      </c>
      <c r="R13" s="159">
        <f>'Haver Pivoted'!HC23</f>
        <v>1622.7</v>
      </c>
      <c r="S13" s="281">
        <f>S12+S10</f>
        <v>1639.5245255749653</v>
      </c>
      <c r="T13" s="281">
        <f t="shared" ref="T13:AC13" si="1">T12+T10</f>
        <v>1659.3625488249338</v>
      </c>
      <c r="U13" s="281">
        <f t="shared" si="1"/>
        <v>1675.7792071132335</v>
      </c>
      <c r="V13" s="281">
        <f t="shared" si="1"/>
        <v>1690.9722635415355</v>
      </c>
      <c r="W13" s="281">
        <f t="shared" si="1"/>
        <v>1704.7377844665073</v>
      </c>
      <c r="X13" s="281">
        <f t="shared" si="1"/>
        <v>1718.2427367098148</v>
      </c>
      <c r="Y13" s="281">
        <f t="shared" si="1"/>
        <v>1732.2121912781197</v>
      </c>
      <c r="Z13" s="281">
        <f t="shared" si="1"/>
        <v>1745.5698449164256</v>
      </c>
      <c r="AA13" s="281">
        <f t="shared" si="1"/>
        <v>1759.0294653763976</v>
      </c>
      <c r="AB13" s="281">
        <f t="shared" si="1"/>
        <v>1775.0410858363703</v>
      </c>
      <c r="AC13" s="281">
        <f t="shared" si="1"/>
        <v>1786.1554693980142</v>
      </c>
      <c r="AD13" s="284" t="s">
        <v>437</v>
      </c>
    </row>
    <row r="14" spans="2:39" x14ac:dyDescent="0.35">
      <c r="B14" s="540" t="s">
        <v>438</v>
      </c>
      <c r="C14" s="541"/>
      <c r="D14" s="540"/>
      <c r="E14" s="541"/>
      <c r="F14" s="541"/>
      <c r="G14" s="541"/>
      <c r="H14" s="549">
        <f t="shared" ref="H14:AC14" si="2">H13+H83</f>
        <v>1715.8720000000001</v>
      </c>
      <c r="I14" s="549">
        <f t="shared" si="2"/>
        <v>1741.471</v>
      </c>
      <c r="J14" s="549">
        <f t="shared" si="2"/>
        <v>1961.299</v>
      </c>
      <c r="K14" s="549">
        <f t="shared" si="2"/>
        <v>1901.492</v>
      </c>
      <c r="L14" s="549">
        <f t="shared" si="2"/>
        <v>1906.6610000000001</v>
      </c>
      <c r="M14" s="549">
        <f t="shared" si="2"/>
        <v>2009.6410000000001</v>
      </c>
      <c r="N14" s="549">
        <f t="shared" si="2"/>
        <v>2044.5930000000001</v>
      </c>
      <c r="O14" s="549">
        <f t="shared" si="2"/>
        <v>2039.836</v>
      </c>
      <c r="P14" s="549">
        <f t="shared" si="2"/>
        <v>2086.861852</v>
      </c>
      <c r="Q14" s="549">
        <f t="shared" si="2"/>
        <v>2124.0872747999997</v>
      </c>
      <c r="R14" s="452">
        <f t="shared" si="2"/>
        <v>2203.0890319999999</v>
      </c>
      <c r="S14" s="298">
        <f t="shared" si="2"/>
        <v>2210.9792464816264</v>
      </c>
      <c r="T14" s="298">
        <f t="shared" si="2"/>
        <v>2222.8650891200377</v>
      </c>
      <c r="U14" s="298">
        <f t="shared" si="2"/>
        <v>2224.2128024921058</v>
      </c>
      <c r="V14" s="298">
        <f t="shared" si="2"/>
        <v>2243.9865342082021</v>
      </c>
      <c r="W14" s="298">
        <f t="shared" si="2"/>
        <v>2256.8624676466279</v>
      </c>
      <c r="X14" s="298">
        <f t="shared" si="2"/>
        <v>2272.673501416723</v>
      </c>
      <c r="Y14" s="298">
        <f t="shared" si="2"/>
        <v>2275.5222561041464</v>
      </c>
      <c r="Z14" s="298">
        <f t="shared" si="2"/>
        <v>2269.3099656497589</v>
      </c>
      <c r="AA14" s="298">
        <f t="shared" si="2"/>
        <v>2287.5246236437233</v>
      </c>
      <c r="AB14" s="298">
        <f t="shared" si="2"/>
        <v>2310.1790874715548</v>
      </c>
      <c r="AC14" s="482">
        <f t="shared" si="2"/>
        <v>2304.7632973370823</v>
      </c>
      <c r="AD14" s="156" t="s">
        <v>439</v>
      </c>
    </row>
    <row r="15" spans="2:39" ht="15.75" customHeight="1" x14ac:dyDescent="0.35">
      <c r="B15" s="290"/>
      <c r="C15" s="290"/>
      <c r="D15" s="290"/>
      <c r="E15" s="290"/>
      <c r="F15" s="290"/>
      <c r="G15" s="290"/>
      <c r="H15" s="159"/>
      <c r="I15" s="159"/>
      <c r="J15" s="159"/>
      <c r="K15" s="159"/>
      <c r="L15" s="159"/>
      <c r="M15" s="159"/>
      <c r="N15" s="159"/>
      <c r="O15" s="159"/>
      <c r="AD15" s="156"/>
    </row>
    <row r="16" spans="2:39" x14ac:dyDescent="0.35">
      <c r="B16" s="498" t="s">
        <v>972</v>
      </c>
      <c r="C16" s="332"/>
      <c r="D16" s="499"/>
      <c r="E16" s="494"/>
      <c r="F16" s="494"/>
      <c r="G16" s="494"/>
      <c r="H16" s="494"/>
      <c r="I16" s="494"/>
      <c r="J16" s="494"/>
      <c r="K16" s="494"/>
      <c r="L16" s="494"/>
      <c r="M16" s="494"/>
      <c r="N16" s="494"/>
      <c r="O16" s="494"/>
      <c r="P16" s="494"/>
      <c r="Q16" s="351">
        <v>1575</v>
      </c>
      <c r="R16" s="352">
        <v>1591.4</v>
      </c>
      <c r="S16" s="500">
        <v>1607.9</v>
      </c>
      <c r="T16" s="500">
        <v>1622.9</v>
      </c>
      <c r="U16" s="500">
        <v>1639</v>
      </c>
      <c r="V16" s="500">
        <v>1653.9</v>
      </c>
      <c r="W16" s="500">
        <v>1667.4</v>
      </c>
      <c r="X16" s="500">
        <v>1679.6</v>
      </c>
      <c r="Y16" s="500">
        <v>1693.3</v>
      </c>
      <c r="Z16" s="500">
        <v>1706.4</v>
      </c>
      <c r="AA16" s="500">
        <v>1719.6</v>
      </c>
      <c r="AB16" s="500">
        <v>1732.8</v>
      </c>
      <c r="AC16" s="501">
        <v>1743.7</v>
      </c>
      <c r="AD16" s="156"/>
    </row>
    <row r="17" spans="2:30" x14ac:dyDescent="0.35">
      <c r="B17" s="502" t="s">
        <v>1294</v>
      </c>
      <c r="C17" s="182"/>
      <c r="D17" s="164"/>
      <c r="E17" s="159"/>
      <c r="F17" s="159"/>
      <c r="G17" s="159"/>
      <c r="H17" s="159"/>
      <c r="I17" s="159"/>
      <c r="J17" s="159"/>
      <c r="K17" s="159"/>
      <c r="L17" s="159"/>
      <c r="M17" s="159"/>
      <c r="N17" s="159"/>
      <c r="O17" s="159"/>
      <c r="P17" s="159"/>
      <c r="Q17" s="497"/>
      <c r="R17" s="577"/>
      <c r="S17" s="503">
        <v>0</v>
      </c>
      <c r="T17" s="503">
        <v>5.9340000000000002</v>
      </c>
      <c r="U17" s="503">
        <v>5.9340000000000002</v>
      </c>
      <c r="V17" s="503">
        <v>5.9340000000000002</v>
      </c>
      <c r="W17" s="503">
        <v>5.9340000000000002</v>
      </c>
      <c r="X17" s="503">
        <v>5.7549999999999999</v>
      </c>
      <c r="Y17" s="503">
        <v>5.7549999999999999</v>
      </c>
      <c r="Z17" s="503">
        <v>5.7549999999999999</v>
      </c>
      <c r="AA17" s="503">
        <v>5.7549999999999999</v>
      </c>
      <c r="AB17" s="503">
        <v>7.3140000000000001</v>
      </c>
      <c r="AC17" s="504">
        <v>7.3140000000000001</v>
      </c>
      <c r="AD17" s="156"/>
    </row>
    <row r="18" spans="2:30" x14ac:dyDescent="0.35">
      <c r="B18" s="505" t="s">
        <v>973</v>
      </c>
      <c r="C18" s="290"/>
      <c r="D18" s="299"/>
      <c r="E18" s="290"/>
      <c r="F18" s="290"/>
      <c r="G18" s="290"/>
      <c r="H18" s="149"/>
      <c r="I18" s="149"/>
      <c r="J18" s="149"/>
      <c r="K18" s="149"/>
      <c r="L18" s="149"/>
      <c r="M18" s="149"/>
      <c r="N18" s="149"/>
      <c r="O18" s="149"/>
      <c r="P18" s="149"/>
      <c r="Q18" s="496">
        <v>2.298</v>
      </c>
      <c r="R18" s="578">
        <v>4.2320000000000002</v>
      </c>
      <c r="S18" s="506">
        <v>4.1929999999999996</v>
      </c>
      <c r="T18" s="506">
        <v>3.786</v>
      </c>
      <c r="U18" s="506">
        <v>4.0339999999999998</v>
      </c>
      <c r="V18" s="506">
        <v>3.6819999999999999</v>
      </c>
      <c r="W18" s="506">
        <v>3.3159999999999998</v>
      </c>
      <c r="X18" s="506">
        <v>2.9569999999999999</v>
      </c>
      <c r="Y18" s="506">
        <v>3.2949999999999999</v>
      </c>
      <c r="Z18" s="506">
        <v>3.1269999999999998</v>
      </c>
      <c r="AA18" s="506">
        <v>3.125</v>
      </c>
      <c r="AB18" s="506">
        <v>3.113</v>
      </c>
      <c r="AC18" s="507">
        <v>2.5430000000000001</v>
      </c>
      <c r="AD18" s="156"/>
    </row>
    <row r="19" spans="2:30" x14ac:dyDescent="0.35">
      <c r="B19" s="505"/>
      <c r="C19" s="290"/>
      <c r="D19" s="299"/>
      <c r="E19" s="290"/>
      <c r="F19" s="290"/>
      <c r="G19" s="290"/>
      <c r="H19" s="149"/>
      <c r="I19" s="149"/>
      <c r="J19" s="149"/>
      <c r="K19" s="149"/>
      <c r="L19" s="149"/>
      <c r="M19" s="149"/>
      <c r="N19" s="149"/>
      <c r="O19" s="149"/>
      <c r="P19" s="149"/>
      <c r="Q19" s="496"/>
      <c r="R19" s="496">
        <v>1578</v>
      </c>
      <c r="S19" s="508">
        <v>1594.3610657282893</v>
      </c>
      <c r="T19" s="508">
        <v>1609.2347618449162</v>
      </c>
      <c r="U19" s="508">
        <v>1625.1991956767624</v>
      </c>
      <c r="V19" s="508">
        <v>1639.9737338192783</v>
      </c>
      <c r="W19" s="508">
        <v>1653.3600603242426</v>
      </c>
      <c r="X19" s="508">
        <v>1665.4573331657657</v>
      </c>
      <c r="Y19" s="508">
        <v>1679.0419756189517</v>
      </c>
      <c r="Z19" s="508">
        <v>1692.0316702274724</v>
      </c>
      <c r="AA19" s="508">
        <v>1705.1205228101039</v>
      </c>
      <c r="AB19" s="508">
        <v>1718.2093753927356</v>
      </c>
      <c r="AC19" s="509">
        <v>1729.0175945708181</v>
      </c>
      <c r="AD19" s="156"/>
    </row>
    <row r="20" spans="2:30" x14ac:dyDescent="0.35">
      <c r="B20" s="342" t="s">
        <v>436</v>
      </c>
      <c r="C20" s="290" t="s">
        <v>1003</v>
      </c>
      <c r="D20" s="300"/>
      <c r="E20" s="307"/>
      <c r="F20" s="307"/>
      <c r="G20" s="307"/>
      <c r="H20" s="159">
        <v>1441.7</v>
      </c>
      <c r="I20" s="159">
        <v>1454.7</v>
      </c>
      <c r="J20" s="159">
        <v>1525</v>
      </c>
      <c r="K20" s="159">
        <v>1515.1</v>
      </c>
      <c r="L20" s="159">
        <v>1512.3</v>
      </c>
      <c r="M20" s="159">
        <v>1568.6</v>
      </c>
      <c r="N20" s="159">
        <v>1563.3</v>
      </c>
      <c r="O20" s="159">
        <v>1562</v>
      </c>
      <c r="P20" s="159">
        <v>1566.2</v>
      </c>
      <c r="Q20" s="159">
        <v>1566.9</v>
      </c>
      <c r="R20" s="159">
        <v>1578</v>
      </c>
      <c r="S20" s="281">
        <v>1594.3610657282893</v>
      </c>
      <c r="T20" s="281">
        <v>1615.1687618449162</v>
      </c>
      <c r="U20" s="281">
        <v>1631.1331956767624</v>
      </c>
      <c r="V20" s="281">
        <v>1645.9077338192783</v>
      </c>
      <c r="W20" s="281">
        <v>1659.2940603242425</v>
      </c>
      <c r="X20" s="281">
        <v>1671.2123331657658</v>
      </c>
      <c r="Y20" s="281">
        <v>1684.7969756189518</v>
      </c>
      <c r="Z20" s="281">
        <v>1697.7866702274725</v>
      </c>
      <c r="AA20" s="281">
        <v>1710.875522810104</v>
      </c>
      <c r="AB20" s="281">
        <v>1725.5233753927357</v>
      </c>
      <c r="AC20" s="343">
        <v>1736.3315945708182</v>
      </c>
      <c r="AD20" s="156"/>
    </row>
    <row r="21" spans="2:30" ht="15.75" customHeight="1" x14ac:dyDescent="0.35">
      <c r="B21" s="510" t="s">
        <v>438</v>
      </c>
      <c r="C21" s="511"/>
      <c r="D21" s="512"/>
      <c r="E21" s="511"/>
      <c r="F21" s="511"/>
      <c r="G21" s="511"/>
      <c r="H21" s="495">
        <v>1721.1880000000001</v>
      </c>
      <c r="I21" s="495">
        <v>1739.9560000000001</v>
      </c>
      <c r="J21" s="495">
        <v>1934.885</v>
      </c>
      <c r="K21" s="495">
        <v>1895.6499999999999</v>
      </c>
      <c r="L21" s="495">
        <v>1869.4580000000001</v>
      </c>
      <c r="M21" s="495">
        <v>1953.7849999999999</v>
      </c>
      <c r="N21" s="495">
        <v>1987.319</v>
      </c>
      <c r="O21" s="495">
        <v>1993.8899999999999</v>
      </c>
      <c r="P21" s="495">
        <v>2034.084852</v>
      </c>
      <c r="Q21" s="495">
        <v>2072.2582748</v>
      </c>
      <c r="R21" s="513">
        <v>2148.8174605714285</v>
      </c>
      <c r="S21" s="361">
        <v>2136.3105838497331</v>
      </c>
      <c r="T21" s="361">
        <v>2152.073264346006</v>
      </c>
      <c r="U21" s="361">
        <v>2162.80817755321</v>
      </c>
      <c r="V21" s="361">
        <v>2182.0012330573736</v>
      </c>
      <c r="W21" s="361">
        <v>2194.3342163416733</v>
      </c>
      <c r="X21" s="361">
        <v>2207.9312014240422</v>
      </c>
      <c r="Y21" s="361">
        <v>2210.2281452596003</v>
      </c>
      <c r="Z21" s="361">
        <v>2203.4792515322342</v>
      </c>
      <c r="AA21" s="361">
        <v>2221.1528356853746</v>
      </c>
      <c r="AB21" s="361">
        <v>2242.2465475784861</v>
      </c>
      <c r="AC21" s="362">
        <v>2236.3509143742353</v>
      </c>
      <c r="AD21" s="156"/>
    </row>
    <row r="22" spans="2:30" x14ac:dyDescent="0.35">
      <c r="B22" s="290"/>
      <c r="C22" s="290"/>
      <c r="D22" s="290"/>
      <c r="E22" s="290"/>
      <c r="F22" s="290"/>
      <c r="G22" s="290"/>
      <c r="H22" s="159"/>
      <c r="I22" s="159"/>
      <c r="J22" s="159"/>
      <c r="K22" s="159"/>
      <c r="L22" s="159"/>
      <c r="M22" s="159"/>
      <c r="N22" s="159"/>
      <c r="O22" s="159"/>
      <c r="AD22" s="156"/>
    </row>
    <row r="23" spans="2:30" x14ac:dyDescent="0.35">
      <c r="B23" s="290"/>
      <c r="C23" s="290"/>
      <c r="D23" s="290"/>
      <c r="E23" s="290"/>
      <c r="F23" s="290"/>
      <c r="G23" s="290"/>
      <c r="H23" s="159"/>
      <c r="I23" s="159"/>
      <c r="J23" s="159"/>
      <c r="K23" s="159"/>
      <c r="L23" s="159"/>
      <c r="M23" s="159"/>
      <c r="N23" s="159"/>
      <c r="O23" s="159"/>
      <c r="AD23" s="156"/>
    </row>
    <row r="24" spans="2:30" x14ac:dyDescent="0.35">
      <c r="B24" s="290"/>
      <c r="C24" s="290"/>
      <c r="D24" s="290"/>
      <c r="E24" s="290"/>
      <c r="F24" s="290"/>
      <c r="G24" s="290"/>
      <c r="H24" s="159">
        <f>H13-H20</f>
        <v>-4</v>
      </c>
      <c r="I24" s="159">
        <f t="shared" ref="I24" si="3">I13-I20</f>
        <v>0.89999999999986358</v>
      </c>
      <c r="J24" s="159">
        <f>J13-J20</f>
        <v>35</v>
      </c>
      <c r="K24" s="159">
        <f t="shared" ref="K24:X24" si="4">K13-K20</f>
        <v>10.200000000000045</v>
      </c>
      <c r="L24" s="159">
        <f t="shared" si="4"/>
        <v>29</v>
      </c>
      <c r="M24" s="159">
        <f t="shared" si="4"/>
        <v>51.700000000000045</v>
      </c>
      <c r="N24" s="159">
        <f t="shared" si="4"/>
        <v>44.700000000000045</v>
      </c>
      <c r="O24" s="159">
        <f t="shared" si="4"/>
        <v>33.5</v>
      </c>
      <c r="P24" s="159">
        <f t="shared" si="4"/>
        <v>46.599999999999909</v>
      </c>
      <c r="Q24" s="159">
        <f t="shared" si="4"/>
        <v>46.199999999999818</v>
      </c>
      <c r="R24" s="159">
        <f t="shared" si="4"/>
        <v>44.700000000000045</v>
      </c>
      <c r="S24" s="159">
        <f t="shared" si="4"/>
        <v>45.163459846676005</v>
      </c>
      <c r="T24" s="159">
        <f t="shared" si="4"/>
        <v>44.193786980017649</v>
      </c>
      <c r="U24" s="159">
        <f t="shared" si="4"/>
        <v>44.646011436471099</v>
      </c>
      <c r="V24" s="159">
        <f t="shared" si="4"/>
        <v>45.064529722257248</v>
      </c>
      <c r="W24" s="159">
        <f t="shared" si="4"/>
        <v>45.443724142264728</v>
      </c>
      <c r="X24" s="159">
        <f t="shared" si="4"/>
        <v>47.030403544049022</v>
      </c>
      <c r="AD24" s="156"/>
    </row>
    <row r="25" spans="2:30" x14ac:dyDescent="0.35">
      <c r="B25" s="290"/>
      <c r="C25" s="290"/>
      <c r="D25" s="290"/>
      <c r="E25" s="290"/>
      <c r="F25" s="290"/>
      <c r="G25" s="290"/>
      <c r="H25" s="159">
        <f>H14-H21</f>
        <v>-5.3160000000000309</v>
      </c>
      <c r="I25" s="159">
        <f t="shared" ref="I25" si="5">I14-I21</f>
        <v>1.5149999999998727</v>
      </c>
      <c r="J25" s="159">
        <f>J14-J21</f>
        <v>26.413999999999987</v>
      </c>
      <c r="K25" s="159">
        <f t="shared" ref="K25:X25" si="6">K14-K21</f>
        <v>5.8420000000000982</v>
      </c>
      <c r="L25" s="159">
        <f t="shared" si="6"/>
        <v>37.202999999999975</v>
      </c>
      <c r="M25" s="159">
        <f t="shared" si="6"/>
        <v>55.856000000000222</v>
      </c>
      <c r="N25" s="159">
        <f t="shared" si="6"/>
        <v>57.274000000000115</v>
      </c>
      <c r="O25" s="159">
        <f t="shared" si="6"/>
        <v>45.94600000000014</v>
      </c>
      <c r="P25" s="159">
        <f t="shared" si="6"/>
        <v>52.777000000000044</v>
      </c>
      <c r="Q25" s="159">
        <f t="shared" si="6"/>
        <v>51.828999999999724</v>
      </c>
      <c r="R25" s="159">
        <f t="shared" si="6"/>
        <v>54.271571428571406</v>
      </c>
      <c r="S25" s="159">
        <f t="shared" si="6"/>
        <v>74.668662631893312</v>
      </c>
      <c r="T25" s="159">
        <f t="shared" si="6"/>
        <v>70.791824774031738</v>
      </c>
      <c r="U25" s="159">
        <f t="shared" si="6"/>
        <v>61.404624938895722</v>
      </c>
      <c r="V25" s="159">
        <f t="shared" si="6"/>
        <v>61.985301150828491</v>
      </c>
      <c r="W25" s="159">
        <f t="shared" si="6"/>
        <v>62.528251304954665</v>
      </c>
      <c r="X25" s="159">
        <f t="shared" si="6"/>
        <v>64.742299992680728</v>
      </c>
      <c r="AD25" s="156"/>
    </row>
    <row r="26" spans="2:30" x14ac:dyDescent="0.35">
      <c r="B26" s="290"/>
      <c r="C26" s="290"/>
      <c r="D26" s="290"/>
      <c r="E26" s="290"/>
      <c r="F26" s="290"/>
      <c r="G26" s="290"/>
      <c r="H26" s="159"/>
      <c r="I26" s="159"/>
      <c r="J26" s="159"/>
      <c r="K26" s="159"/>
      <c r="L26" s="159"/>
      <c r="M26" s="159"/>
      <c r="N26" s="159"/>
      <c r="O26" s="159"/>
    </row>
    <row r="27" spans="2:30" x14ac:dyDescent="0.35">
      <c r="B27" s="290"/>
      <c r="C27" s="290"/>
      <c r="D27" s="290"/>
      <c r="E27" s="290"/>
      <c r="F27" s="290"/>
      <c r="G27" s="290"/>
      <c r="H27" s="159"/>
      <c r="I27" s="159"/>
      <c r="J27" s="159"/>
      <c r="K27" s="159"/>
      <c r="L27" s="159"/>
      <c r="M27" s="159"/>
      <c r="N27" s="159"/>
      <c r="O27" s="159"/>
    </row>
    <row r="28" spans="2:30" x14ac:dyDescent="0.35">
      <c r="B28" s="290"/>
      <c r="C28" s="290"/>
      <c r="D28" s="290"/>
      <c r="E28" s="290"/>
      <c r="F28" s="290"/>
      <c r="G28" s="290"/>
      <c r="H28" s="159"/>
      <c r="I28" s="159"/>
      <c r="J28" s="159"/>
      <c r="K28" s="159"/>
      <c r="L28" s="159"/>
      <c r="M28" s="159"/>
      <c r="N28" s="159"/>
      <c r="O28" s="159"/>
    </row>
    <row r="29" spans="2:30" x14ac:dyDescent="0.35">
      <c r="B29" s="290"/>
      <c r="C29" s="290"/>
      <c r="D29" s="290"/>
      <c r="E29" s="290"/>
      <c r="F29" s="290"/>
      <c r="G29" s="290"/>
      <c r="H29" s="159"/>
      <c r="I29" s="159"/>
      <c r="J29" s="159"/>
      <c r="K29" s="159"/>
      <c r="L29" s="159"/>
      <c r="M29" s="159"/>
      <c r="N29" s="159"/>
      <c r="O29" s="159"/>
    </row>
    <row r="30" spans="2:30" x14ac:dyDescent="0.35">
      <c r="B30" s="290"/>
      <c r="C30" s="290"/>
      <c r="D30" s="290"/>
      <c r="E30" s="290"/>
      <c r="F30" s="290"/>
      <c r="G30" s="290"/>
      <c r="H30" s="159"/>
      <c r="I30" s="159"/>
      <c r="J30" s="159"/>
      <c r="K30" s="159"/>
      <c r="L30" s="159"/>
      <c r="M30" s="159"/>
      <c r="N30" s="159"/>
      <c r="O30" s="159"/>
    </row>
    <row r="31" spans="2:30" x14ac:dyDescent="0.35">
      <c r="B31" s="290"/>
      <c r="C31" s="290"/>
      <c r="D31" s="290"/>
      <c r="E31" s="290"/>
      <c r="F31" s="290"/>
      <c r="G31" s="290"/>
      <c r="H31" s="159"/>
      <c r="I31" s="159"/>
      <c r="J31" s="159"/>
      <c r="K31" s="159"/>
      <c r="L31" s="159"/>
      <c r="M31" s="159"/>
      <c r="N31" s="159"/>
      <c r="O31" s="159"/>
      <c r="AD31" s="156"/>
    </row>
    <row r="32" spans="2:30" x14ac:dyDescent="0.35">
      <c r="B32" s="290"/>
      <c r="C32" s="290"/>
      <c r="D32" s="290"/>
      <c r="E32" s="290"/>
      <c r="F32" s="290"/>
      <c r="G32" s="290"/>
      <c r="H32" s="159"/>
      <c r="I32" s="159"/>
      <c r="J32" s="159"/>
      <c r="K32" s="159"/>
      <c r="L32" s="159"/>
      <c r="M32" s="159"/>
      <c r="N32" s="159"/>
      <c r="O32" s="159"/>
      <c r="AD32" s="156"/>
    </row>
    <row r="33" spans="2:31" x14ac:dyDescent="0.35">
      <c r="B33" s="290"/>
      <c r="C33" s="290"/>
      <c r="D33" s="290"/>
      <c r="E33" s="290"/>
      <c r="F33" s="290"/>
      <c r="G33" s="290"/>
      <c r="H33" s="159"/>
      <c r="I33" s="159"/>
      <c r="J33" s="159"/>
      <c r="K33" s="159"/>
      <c r="L33" s="159"/>
      <c r="M33" s="159"/>
      <c r="N33" s="159"/>
      <c r="O33" s="159"/>
      <c r="P33" s="538"/>
      <c r="Q33" s="538"/>
      <c r="R33" s="538"/>
      <c r="S33" s="538"/>
      <c r="T33" s="538"/>
      <c r="U33" s="538"/>
      <c r="V33" s="538"/>
      <c r="W33" s="538"/>
      <c r="X33" s="538"/>
      <c r="Y33" s="538"/>
      <c r="Z33" s="538"/>
      <c r="AA33" s="538"/>
      <c r="AB33" s="538"/>
      <c r="AC33" s="538"/>
    </row>
    <row r="34" spans="2:31" ht="21.75" customHeight="1" x14ac:dyDescent="0.35">
      <c r="B34" s="1243" t="s">
        <v>165</v>
      </c>
      <c r="C34" s="1243"/>
      <c r="D34" s="1243"/>
      <c r="E34" s="1243"/>
      <c r="F34" s="1243"/>
      <c r="G34" s="1243"/>
      <c r="H34" s="1243"/>
      <c r="I34" s="1243"/>
      <c r="J34" s="1243"/>
      <c r="K34" s="1243"/>
      <c r="L34" s="1243"/>
      <c r="M34" s="1243"/>
      <c r="N34" s="1243"/>
      <c r="O34" s="1243"/>
      <c r="P34" s="1243"/>
      <c r="Q34" s="1243"/>
      <c r="R34" s="1243"/>
      <c r="S34" s="1243"/>
      <c r="T34" s="1243"/>
      <c r="U34" s="1243"/>
      <c r="V34" s="1243"/>
      <c r="W34" s="1243"/>
      <c r="X34" s="1243"/>
      <c r="Y34" s="1243"/>
      <c r="Z34" s="1243"/>
      <c r="AA34" s="1243"/>
      <c r="AB34" s="1243"/>
      <c r="AC34" s="1243"/>
      <c r="AE34" s="574"/>
    </row>
    <row r="35" spans="2:31" ht="14.25" customHeight="1" x14ac:dyDescent="0.35">
      <c r="B35" s="1275" t="s">
        <v>440</v>
      </c>
      <c r="C35" s="1275"/>
      <c r="D35" s="1275"/>
      <c r="E35" s="1275"/>
      <c r="F35" s="1275"/>
      <c r="G35" s="1275"/>
      <c r="H35" s="1275"/>
      <c r="I35" s="1275"/>
      <c r="J35" s="1275"/>
      <c r="K35" s="1275"/>
      <c r="L35" s="1275"/>
      <c r="M35" s="1275"/>
      <c r="N35" s="1275"/>
      <c r="O35" s="1275"/>
      <c r="P35" s="1275"/>
      <c r="Q35" s="1275"/>
      <c r="R35" s="1275"/>
      <c r="S35" s="1275"/>
      <c r="T35" s="1275"/>
      <c r="U35" s="1275"/>
      <c r="V35" s="1275"/>
      <c r="W35" s="1275"/>
      <c r="X35" s="1275"/>
      <c r="Y35" s="1275"/>
      <c r="Z35" s="1275"/>
      <c r="AA35" s="1275"/>
      <c r="AB35" s="1275"/>
      <c r="AC35" s="1275"/>
      <c r="AE35" s="574"/>
    </row>
    <row r="36" spans="2:31" x14ac:dyDescent="0.35">
      <c r="B36" s="1275"/>
      <c r="C36" s="1275"/>
      <c r="D36" s="1275"/>
      <c r="E36" s="1275"/>
      <c r="F36" s="1275"/>
      <c r="G36" s="1275"/>
      <c r="H36" s="1275"/>
      <c r="I36" s="1275"/>
      <c r="J36" s="1275"/>
      <c r="K36" s="1275"/>
      <c r="L36" s="1275"/>
      <c r="M36" s="1275"/>
      <c r="N36" s="1275"/>
      <c r="O36" s="1275"/>
      <c r="P36" s="1275"/>
      <c r="Q36" s="1275"/>
      <c r="R36" s="1275"/>
      <c r="S36" s="1275"/>
      <c r="T36" s="1275"/>
      <c r="U36" s="1275"/>
      <c r="V36" s="1275"/>
      <c r="W36" s="1275"/>
      <c r="X36" s="1275"/>
      <c r="Y36" s="1275"/>
      <c r="Z36" s="1275"/>
      <c r="AA36" s="1275"/>
      <c r="AB36" s="1275"/>
      <c r="AC36" s="1275"/>
    </row>
    <row r="37" spans="2:31" x14ac:dyDescent="0.35">
      <c r="B37" s="1275"/>
      <c r="C37" s="1275"/>
      <c r="D37" s="1275"/>
      <c r="E37" s="1275"/>
      <c r="F37" s="1275"/>
      <c r="G37" s="1275"/>
      <c r="H37" s="1275"/>
      <c r="I37" s="1275"/>
      <c r="J37" s="1275"/>
      <c r="K37" s="1275"/>
      <c r="L37" s="1275"/>
      <c r="M37" s="1275"/>
      <c r="N37" s="1275"/>
      <c r="O37" s="1275"/>
      <c r="P37" s="1275"/>
      <c r="Q37" s="1275"/>
      <c r="R37" s="1275"/>
      <c r="S37" s="1275"/>
      <c r="T37" s="1275"/>
      <c r="U37" s="1275"/>
      <c r="V37" s="1275"/>
      <c r="W37" s="1275"/>
      <c r="X37" s="1275"/>
      <c r="Y37" s="1275"/>
      <c r="Z37" s="1275"/>
      <c r="AA37" s="1275"/>
      <c r="AB37" s="1275"/>
      <c r="AC37" s="1275"/>
    </row>
    <row r="39" spans="2:31" x14ac:dyDescent="0.35">
      <c r="B39" s="1276" t="s">
        <v>324</v>
      </c>
      <c r="C39" s="1256"/>
      <c r="D39" s="1253" t="s">
        <v>325</v>
      </c>
      <c r="E39" s="1254"/>
      <c r="F39" s="1254"/>
      <c r="G39" s="1254"/>
      <c r="H39" s="1254"/>
      <c r="I39" s="1254"/>
      <c r="J39" s="1254"/>
      <c r="K39" s="1254"/>
      <c r="L39" s="1254"/>
      <c r="M39" s="1254"/>
      <c r="N39" s="1254"/>
      <c r="O39" s="1254"/>
      <c r="P39" s="1254"/>
      <c r="Q39" s="1254"/>
      <c r="R39" s="1284"/>
      <c r="S39" s="1285" t="s">
        <v>326</v>
      </c>
      <c r="T39" s="1286"/>
      <c r="U39" s="1286"/>
      <c r="V39" s="1286"/>
      <c r="W39" s="1286"/>
      <c r="X39" s="1286"/>
      <c r="Y39" s="1286"/>
      <c r="Z39" s="1286"/>
      <c r="AA39" s="1286"/>
      <c r="AB39" s="1286"/>
      <c r="AC39" s="1287"/>
    </row>
    <row r="40" spans="2:31" x14ac:dyDescent="0.35">
      <c r="B40" s="1277"/>
      <c r="C40" s="1278"/>
      <c r="D40" s="147">
        <v>2018</v>
      </c>
      <c r="E40" s="1244">
        <v>2019</v>
      </c>
      <c r="F40" s="1245"/>
      <c r="G40" s="1245"/>
      <c r="H40" s="1252"/>
      <c r="I40" s="1244">
        <v>2020</v>
      </c>
      <c r="J40" s="1245"/>
      <c r="K40" s="1245"/>
      <c r="L40" s="1245"/>
      <c r="M40" s="1244">
        <v>2021</v>
      </c>
      <c r="N40" s="1245"/>
      <c r="O40" s="1245"/>
      <c r="P40" s="1252"/>
      <c r="Q40" s="1282">
        <v>2022</v>
      </c>
      <c r="R40" s="1283"/>
      <c r="S40" s="317"/>
      <c r="T40" s="318"/>
      <c r="U40" s="1279">
        <v>2023</v>
      </c>
      <c r="V40" s="1280"/>
      <c r="W40" s="1280"/>
      <c r="X40" s="1280"/>
      <c r="Y40" s="1279">
        <v>2024</v>
      </c>
      <c r="Z40" s="1280"/>
      <c r="AA40" s="1280"/>
      <c r="AB40" s="1281"/>
      <c r="AC40" s="285">
        <v>2025</v>
      </c>
    </row>
    <row r="41" spans="2:31" x14ac:dyDescent="0.35">
      <c r="B41" s="1289"/>
      <c r="C41" s="1290"/>
      <c r="D41" s="154" t="s">
        <v>327</v>
      </c>
      <c r="E41" s="154" t="s">
        <v>328</v>
      </c>
      <c r="F41" s="153" t="s">
        <v>329</v>
      </c>
      <c r="G41" s="153" t="s">
        <v>238</v>
      </c>
      <c r="H41" s="224" t="s">
        <v>327</v>
      </c>
      <c r="I41" s="153" t="s">
        <v>328</v>
      </c>
      <c r="J41" s="153" t="s">
        <v>329</v>
      </c>
      <c r="K41" s="153" t="s">
        <v>238</v>
      </c>
      <c r="L41" s="153" t="s">
        <v>327</v>
      </c>
      <c r="M41" s="154" t="s">
        <v>328</v>
      </c>
      <c r="N41" s="153" t="s">
        <v>329</v>
      </c>
      <c r="O41" s="153" t="s">
        <v>238</v>
      </c>
      <c r="P41" s="224" t="s">
        <v>327</v>
      </c>
      <c r="Q41" s="154" t="s">
        <v>328</v>
      </c>
      <c r="R41" s="224" t="s">
        <v>329</v>
      </c>
      <c r="S41" s="429" t="s">
        <v>238</v>
      </c>
      <c r="T41" s="443" t="s">
        <v>327</v>
      </c>
      <c r="U41" s="428" t="s">
        <v>328</v>
      </c>
      <c r="V41" s="429" t="s">
        <v>329</v>
      </c>
      <c r="W41" s="429" t="s">
        <v>238</v>
      </c>
      <c r="X41" s="429" t="s">
        <v>327</v>
      </c>
      <c r="Y41" s="428" t="s">
        <v>328</v>
      </c>
      <c r="Z41" s="295" t="s">
        <v>329</v>
      </c>
      <c r="AA41" s="429" t="s">
        <v>238</v>
      </c>
      <c r="AB41" s="443" t="s">
        <v>327</v>
      </c>
      <c r="AC41" s="458" t="s">
        <v>328</v>
      </c>
    </row>
    <row r="42" spans="2:31" x14ac:dyDescent="0.35">
      <c r="B42" s="564" t="s">
        <v>111</v>
      </c>
      <c r="C42" s="308" t="s">
        <v>441</v>
      </c>
      <c r="D42" s="289"/>
      <c r="E42" s="308"/>
      <c r="F42" s="308"/>
      <c r="G42" s="308"/>
      <c r="H42" s="193">
        <f>'Haver Pivoted'!GS24</f>
        <v>2384.1999999999998</v>
      </c>
      <c r="I42" s="193">
        <f>'Haver Pivoted'!GT24</f>
        <v>2427.4</v>
      </c>
      <c r="J42" s="193">
        <f>'Haver Pivoted'!GU24</f>
        <v>2391.8000000000002</v>
      </c>
      <c r="K42" s="193">
        <f>'Haver Pivoted'!GV24</f>
        <v>2397.6</v>
      </c>
      <c r="L42" s="193">
        <f>'Haver Pivoted'!GW24</f>
        <v>2416.5</v>
      </c>
      <c r="M42" s="193">
        <f>'Haver Pivoted'!GX24</f>
        <v>2468.4</v>
      </c>
      <c r="N42" s="193">
        <f>'Haver Pivoted'!GY24</f>
        <v>2516.4</v>
      </c>
      <c r="O42" s="193">
        <f>'Haver Pivoted'!GZ24</f>
        <v>2587.6</v>
      </c>
      <c r="P42" s="193">
        <f>'Haver Pivoted'!HA24</f>
        <v>2633.9</v>
      </c>
      <c r="Q42" s="193">
        <f>'Haver Pivoted'!HB24</f>
        <v>2698.2</v>
      </c>
      <c r="R42" s="193">
        <f>'Haver Pivoted'!HC24</f>
        <v>2790</v>
      </c>
      <c r="S42" s="555"/>
      <c r="T42" s="555"/>
      <c r="U42" s="555"/>
      <c r="V42" s="555"/>
      <c r="W42" s="555"/>
      <c r="X42" s="555"/>
      <c r="Y42" s="555"/>
      <c r="Z42" s="555"/>
      <c r="AA42" s="555"/>
      <c r="AB42" s="555"/>
      <c r="AC42" s="545"/>
    </row>
    <row r="43" spans="2:31" ht="29.25" customHeight="1" x14ac:dyDescent="0.35">
      <c r="B43" s="575" t="s">
        <v>1016</v>
      </c>
      <c r="C43" s="182"/>
      <c r="D43" s="547"/>
      <c r="E43" s="182"/>
      <c r="F43" s="182"/>
      <c r="G43" s="182"/>
      <c r="H43" s="159"/>
      <c r="I43" s="159"/>
      <c r="J43" s="159"/>
      <c r="K43" s="159"/>
      <c r="L43" s="159"/>
      <c r="M43" s="159"/>
      <c r="N43" s="159"/>
      <c r="O43" s="159"/>
      <c r="P43" s="159"/>
      <c r="Q43" s="518">
        <v>2625.2</v>
      </c>
      <c r="R43" s="579">
        <v>2687.5</v>
      </c>
      <c r="S43" s="519">
        <v>2737.7</v>
      </c>
      <c r="T43" s="519">
        <v>2776</v>
      </c>
      <c r="U43" s="519">
        <v>2809.9</v>
      </c>
      <c r="V43" s="519">
        <v>2839.2</v>
      </c>
      <c r="W43" s="519">
        <v>2865.7</v>
      </c>
      <c r="X43" s="519">
        <v>2891.3</v>
      </c>
      <c r="Y43" s="519">
        <v>2916.4</v>
      </c>
      <c r="Z43" s="519">
        <v>2941.4</v>
      </c>
      <c r="AA43" s="519">
        <v>2967.1</v>
      </c>
      <c r="AB43" s="519">
        <v>2993.7</v>
      </c>
      <c r="AC43" s="519">
        <v>3022.3</v>
      </c>
    </row>
    <row r="44" spans="2:31" ht="21" customHeight="1" x14ac:dyDescent="0.35">
      <c r="B44" s="187" t="s">
        <v>442</v>
      </c>
      <c r="C44" s="290"/>
      <c r="D44" s="299"/>
      <c r="E44" s="290"/>
      <c r="F44" s="290"/>
      <c r="G44" s="290"/>
      <c r="H44" s="149"/>
      <c r="I44" s="149"/>
      <c r="J44" s="149"/>
      <c r="K44" s="149"/>
      <c r="L44" s="149"/>
      <c r="M44" s="167">
        <f>((M45/L45)^4-1)*100</f>
        <v>8.8716871433844435</v>
      </c>
      <c r="N44" s="167">
        <f t="shared" ref="N44:Q44" si="7">((N45/M45)^4-1)*100</f>
        <v>8.0081568848658691</v>
      </c>
      <c r="O44" s="167">
        <f t="shared" si="7"/>
        <v>11.807223761379305</v>
      </c>
      <c r="P44" s="167">
        <f t="shared" si="7"/>
        <v>7.3516092986590564</v>
      </c>
      <c r="Q44" s="167">
        <f t="shared" si="7"/>
        <v>10.128423587170188</v>
      </c>
      <c r="R44" s="167">
        <f>((R45/Q45)^4-1)*100</f>
        <v>14.319485516488072</v>
      </c>
      <c r="S44" s="292">
        <f>((S43/R43)^4-1)*100+S48</f>
        <v>7.6835915771726215</v>
      </c>
      <c r="T44" s="292">
        <f t="shared" ref="T44:AB44" si="8">((T43/S43)^4-1)*100+T48</f>
        <v>5.714466706266963</v>
      </c>
      <c r="U44" s="292">
        <f t="shared" si="8"/>
        <v>4.9749339639030277</v>
      </c>
      <c r="V44" s="292">
        <f t="shared" si="8"/>
        <v>4.2366602536129561</v>
      </c>
      <c r="W44" s="292">
        <f t="shared" si="8"/>
        <v>3.7860418668673734</v>
      </c>
      <c r="X44" s="292">
        <f t="shared" si="8"/>
        <v>3.6214654878406138</v>
      </c>
      <c r="Y44" s="292">
        <f t="shared" si="8"/>
        <v>3.5179667989197583</v>
      </c>
      <c r="Z44" s="292">
        <f t="shared" si="8"/>
        <v>3.4732271251420199</v>
      </c>
      <c r="AA44" s="292">
        <f t="shared" si="8"/>
        <v>3.541006398539448</v>
      </c>
      <c r="AB44" s="292">
        <f t="shared" si="8"/>
        <v>3.6345044609545463</v>
      </c>
      <c r="AC44" s="293"/>
      <c r="AD44" s="550" t="s">
        <v>443</v>
      </c>
    </row>
    <row r="45" spans="2:31" ht="17.5" customHeight="1" x14ac:dyDescent="0.35">
      <c r="B45" s="572" t="s">
        <v>444</v>
      </c>
      <c r="C45" s="307"/>
      <c r="D45" s="300"/>
      <c r="E45" s="307"/>
      <c r="F45" s="307"/>
      <c r="G45" s="307"/>
      <c r="H45" s="280">
        <f t="shared" ref="H45:R45" si="9">H42</f>
        <v>2384.1999999999998</v>
      </c>
      <c r="I45" s="280">
        <f t="shared" si="9"/>
        <v>2427.4</v>
      </c>
      <c r="J45" s="280">
        <f t="shared" si="9"/>
        <v>2391.8000000000002</v>
      </c>
      <c r="K45" s="280">
        <f t="shared" si="9"/>
        <v>2397.6</v>
      </c>
      <c r="L45" s="280">
        <f t="shared" si="9"/>
        <v>2416.5</v>
      </c>
      <c r="M45" s="280">
        <f t="shared" si="9"/>
        <v>2468.4</v>
      </c>
      <c r="N45" s="280">
        <f t="shared" si="9"/>
        <v>2516.4</v>
      </c>
      <c r="O45" s="280">
        <f t="shared" si="9"/>
        <v>2587.6</v>
      </c>
      <c r="P45" s="280">
        <f t="shared" si="9"/>
        <v>2633.9</v>
      </c>
      <c r="Q45" s="280">
        <f t="shared" si="9"/>
        <v>2698.2</v>
      </c>
      <c r="R45" s="280">
        <f t="shared" si="9"/>
        <v>2790</v>
      </c>
      <c r="S45" s="281">
        <f>R45*((1+S44/100)^0.25)</f>
        <v>2842.1146046511626</v>
      </c>
      <c r="T45" s="281">
        <f t="shared" ref="T45:AB45" si="10">S45*((1+T44/100)^0.25)</f>
        <v>2881.8753488372095</v>
      </c>
      <c r="U45" s="281">
        <f t="shared" si="10"/>
        <v>2917.0682790697679</v>
      </c>
      <c r="V45" s="281">
        <f t="shared" si="10"/>
        <v>2947.4857674418608</v>
      </c>
      <c r="W45" s="281">
        <f t="shared" si="10"/>
        <v>2974.9964651162791</v>
      </c>
      <c r="X45" s="281">
        <f t="shared" si="10"/>
        <v>3001.5728372093031</v>
      </c>
      <c r="Y45" s="281">
        <f t="shared" si="10"/>
        <v>3027.6301395348842</v>
      </c>
      <c r="Z45" s="281">
        <f t="shared" si="10"/>
        <v>3053.5836279069772</v>
      </c>
      <c r="AA45" s="281">
        <f t="shared" si="10"/>
        <v>3080.2638139534884</v>
      </c>
      <c r="AB45" s="281">
        <f t="shared" si="10"/>
        <v>3107.8783255813955</v>
      </c>
      <c r="AC45" s="281">
        <f>(AC43/$R43)*$R45</f>
        <v>3137.5691162790699</v>
      </c>
    </row>
    <row r="46" spans="2:31" x14ac:dyDescent="0.35">
      <c r="B46" s="540" t="s">
        <v>445</v>
      </c>
      <c r="C46" s="541"/>
      <c r="D46" s="540"/>
      <c r="E46" s="541"/>
      <c r="F46" s="541"/>
      <c r="G46" s="541"/>
      <c r="H46" s="549">
        <f t="shared" ref="H46:P46" si="11">H42-H83</f>
        <v>2106.0279999999998</v>
      </c>
      <c r="I46" s="549">
        <f t="shared" si="11"/>
        <v>2141.529</v>
      </c>
      <c r="J46" s="549">
        <f t="shared" si="11"/>
        <v>1990.5010000000002</v>
      </c>
      <c r="K46" s="549">
        <f t="shared" si="11"/>
        <v>2021.4079999999999</v>
      </c>
      <c r="L46" s="549">
        <f t="shared" si="11"/>
        <v>2051.1390000000001</v>
      </c>
      <c r="M46" s="549">
        <f t="shared" si="11"/>
        <v>2079.0590000000002</v>
      </c>
      <c r="N46" s="549">
        <f t="shared" si="11"/>
        <v>2079.8069999999998</v>
      </c>
      <c r="O46" s="549">
        <f t="shared" si="11"/>
        <v>2143.2640000000001</v>
      </c>
      <c r="P46" s="549">
        <f t="shared" si="11"/>
        <v>2159.8381479999998</v>
      </c>
      <c r="Q46" s="549">
        <f t="shared" ref="Q46:AC46" si="12">Q45-Q83</f>
        <v>2187.2127252</v>
      </c>
      <c r="R46" s="452">
        <f t="shared" si="12"/>
        <v>2209.610968</v>
      </c>
      <c r="S46" s="298">
        <f t="shared" si="12"/>
        <v>2270.6598837445013</v>
      </c>
      <c r="T46" s="298">
        <f t="shared" si="12"/>
        <v>2318.3728085421053</v>
      </c>
      <c r="U46" s="298">
        <f t="shared" si="12"/>
        <v>2368.6346836908956</v>
      </c>
      <c r="V46" s="298">
        <f t="shared" si="12"/>
        <v>2394.4714967751943</v>
      </c>
      <c r="W46" s="298">
        <f t="shared" si="12"/>
        <v>2422.8717819361582</v>
      </c>
      <c r="X46" s="298">
        <f t="shared" si="12"/>
        <v>2447.142072502395</v>
      </c>
      <c r="Y46" s="298">
        <f t="shared" si="12"/>
        <v>2484.3200747088572</v>
      </c>
      <c r="Z46" s="298">
        <f t="shared" si="12"/>
        <v>2529.843507173644</v>
      </c>
      <c r="AA46" s="298">
        <f t="shared" si="12"/>
        <v>2551.7686556861627</v>
      </c>
      <c r="AB46" s="298">
        <f t="shared" si="12"/>
        <v>2572.740323946211</v>
      </c>
      <c r="AC46" s="482">
        <f t="shared" si="12"/>
        <v>2618.9612883400018</v>
      </c>
      <c r="AD46" s="156" t="s">
        <v>446</v>
      </c>
    </row>
    <row r="47" spans="2:31" x14ac:dyDescent="0.35">
      <c r="B47" s="1194"/>
      <c r="C47" s="1194"/>
      <c r="D47" s="1194"/>
      <c r="E47" s="1194"/>
      <c r="F47" s="1194"/>
      <c r="G47" s="1194"/>
      <c r="H47" s="1195"/>
      <c r="I47" s="1195"/>
      <c r="J47" s="1195"/>
      <c r="K47" s="1195"/>
      <c r="L47" s="1195"/>
      <c r="M47" s="1195"/>
      <c r="N47" s="1197">
        <f>N46/M46-1</f>
        <v>3.5977814963383814E-4</v>
      </c>
      <c r="O47" s="1197">
        <f t="shared" ref="O47:AA47" si="13">O46/N46-1</f>
        <v>3.0511004146057896E-2</v>
      </c>
      <c r="P47" s="1197">
        <f t="shared" si="13"/>
        <v>7.7331341355986183E-3</v>
      </c>
      <c r="Q47" s="1197">
        <f t="shared" si="13"/>
        <v>1.2674365079322625E-2</v>
      </c>
      <c r="R47" s="1197">
        <f t="shared" si="13"/>
        <v>1.0240541554069393E-2</v>
      </c>
      <c r="S47" s="1197">
        <f t="shared" si="13"/>
        <v>2.7628807346009365E-2</v>
      </c>
      <c r="T47" s="1197">
        <f t="shared" si="13"/>
        <v>2.1012801229800093E-2</v>
      </c>
      <c r="U47" s="1197">
        <f t="shared" si="13"/>
        <v>2.16798070455273E-2</v>
      </c>
      <c r="V47" s="1197">
        <f t="shared" si="13"/>
        <v>1.0907892746060188E-2</v>
      </c>
      <c r="W47" s="1197">
        <f t="shared" si="13"/>
        <v>1.1860773953338954E-2</v>
      </c>
      <c r="X47" s="1197">
        <f t="shared" si="13"/>
        <v>1.0017158459306508E-2</v>
      </c>
      <c r="Y47" s="1197">
        <f t="shared" si="13"/>
        <v>1.519241674777172E-2</v>
      </c>
      <c r="Z47" s="1197">
        <f t="shared" si="13"/>
        <v>1.8324302463369913E-2</v>
      </c>
      <c r="AA47" s="1197">
        <f t="shared" si="13"/>
        <v>8.6666026773385418E-3</v>
      </c>
      <c r="AB47" s="1196"/>
      <c r="AC47" s="1196"/>
      <c r="AD47" s="156"/>
    </row>
    <row r="48" spans="2:31" ht="15.75" customHeight="1" x14ac:dyDescent="0.35">
      <c r="B48" t="s">
        <v>971</v>
      </c>
      <c r="M48" s="574"/>
      <c r="N48" s="574">
        <f>N46/M46-1</f>
        <v>3.5977814963383814E-4</v>
      </c>
      <c r="O48" s="574">
        <f t="shared" ref="O48:R48" si="14">O46/N46-1</f>
        <v>3.0511004146057896E-2</v>
      </c>
      <c r="P48" s="574">
        <f t="shared" si="14"/>
        <v>7.7331341355986183E-3</v>
      </c>
      <c r="Q48" s="574">
        <f t="shared" si="14"/>
        <v>1.2674365079322625E-2</v>
      </c>
      <c r="R48" s="574">
        <f t="shared" si="14"/>
        <v>1.0240541554069393E-2</v>
      </c>
      <c r="S48" s="1193">
        <v>0</v>
      </c>
      <c r="T48" s="1193">
        <v>0</v>
      </c>
      <c r="U48" s="1193">
        <v>0</v>
      </c>
      <c r="V48" s="1193">
        <v>0</v>
      </c>
      <c r="W48" s="1193">
        <v>0</v>
      </c>
      <c r="X48" s="1193">
        <v>0</v>
      </c>
      <c r="Y48" s="1193">
        <v>0</v>
      </c>
      <c r="Z48" s="581"/>
      <c r="AA48" s="581"/>
      <c r="AB48" s="581"/>
      <c r="AC48" s="581"/>
    </row>
    <row r="49" spans="2:29" x14ac:dyDescent="0.35">
      <c r="B49" s="514" t="s">
        <v>111</v>
      </c>
      <c r="C49" s="332" t="s">
        <v>441</v>
      </c>
      <c r="D49" s="515"/>
      <c r="E49" s="332"/>
      <c r="F49" s="332"/>
      <c r="G49" s="332"/>
      <c r="H49" s="494">
        <v>2329.1999999999998</v>
      </c>
      <c r="I49" s="494">
        <v>2376.9</v>
      </c>
      <c r="J49" s="494">
        <v>2334.6</v>
      </c>
      <c r="K49" s="494">
        <v>2346.5</v>
      </c>
      <c r="L49" s="494">
        <v>2373</v>
      </c>
      <c r="M49" s="494">
        <v>2408.6999999999998</v>
      </c>
      <c r="N49" s="494">
        <v>2452.6</v>
      </c>
      <c r="O49" s="494">
        <v>2522.9</v>
      </c>
      <c r="P49" s="494">
        <v>2566.6999999999998</v>
      </c>
      <c r="Q49" s="494">
        <v>2632.6</v>
      </c>
      <c r="R49" s="494">
        <v>2726.3</v>
      </c>
      <c r="S49" s="516"/>
      <c r="T49" s="516"/>
      <c r="U49" s="516"/>
      <c r="V49" s="516"/>
      <c r="W49" s="516"/>
      <c r="X49" s="516"/>
      <c r="Y49" s="516"/>
      <c r="Z49" s="516"/>
      <c r="AA49" s="516"/>
      <c r="AB49" s="516"/>
      <c r="AC49" s="517"/>
    </row>
    <row r="50" spans="2:29" ht="29.25" customHeight="1" x14ac:dyDescent="0.35">
      <c r="B50" s="505" t="s">
        <v>1016</v>
      </c>
      <c r="C50" s="182"/>
      <c r="D50" s="547"/>
      <c r="E50" s="182"/>
      <c r="F50" s="182"/>
      <c r="G50" s="182"/>
      <c r="H50" s="159"/>
      <c r="I50" s="159"/>
      <c r="J50" s="159"/>
      <c r="K50" s="159"/>
      <c r="L50" s="159"/>
      <c r="M50" s="159"/>
      <c r="N50" s="159"/>
      <c r="O50" s="159"/>
      <c r="P50" s="159"/>
      <c r="Q50" s="518">
        <v>2625.2</v>
      </c>
      <c r="R50" s="579">
        <v>2687.5</v>
      </c>
      <c r="S50" s="519">
        <v>2737.7</v>
      </c>
      <c r="T50" s="519">
        <v>2776</v>
      </c>
      <c r="U50" s="519">
        <v>2809.9</v>
      </c>
      <c r="V50" s="519">
        <v>2839.2</v>
      </c>
      <c r="W50" s="519">
        <v>2865.7</v>
      </c>
      <c r="X50" s="519">
        <v>2891.3</v>
      </c>
      <c r="Y50" s="519">
        <v>2916.4</v>
      </c>
      <c r="Z50" s="519">
        <v>2941.4</v>
      </c>
      <c r="AA50" s="519">
        <v>2967.1</v>
      </c>
      <c r="AB50" s="519">
        <v>2993.7</v>
      </c>
      <c r="AC50" s="520">
        <v>3022.3</v>
      </c>
    </row>
    <row r="51" spans="2:29" x14ac:dyDescent="0.35">
      <c r="B51" s="521" t="s">
        <v>442</v>
      </c>
      <c r="C51" s="290"/>
      <c r="D51" s="299"/>
      <c r="E51" s="290"/>
      <c r="F51" s="290"/>
      <c r="G51" s="290"/>
      <c r="H51" s="149"/>
      <c r="I51" s="149"/>
      <c r="J51" s="149"/>
      <c r="K51" s="149"/>
      <c r="L51" s="149"/>
      <c r="M51" s="167">
        <v>6.1548638546194745</v>
      </c>
      <c r="N51" s="167">
        <v>7.4919756714391772</v>
      </c>
      <c r="O51" s="167">
        <v>11.967827400832999</v>
      </c>
      <c r="P51" s="167">
        <v>7.1273335802997995</v>
      </c>
      <c r="Q51" s="167">
        <v>10.672333088448504</v>
      </c>
      <c r="R51" s="167">
        <v>15.015154306201929</v>
      </c>
      <c r="S51" s="292">
        <v>7.6835915771726215</v>
      </c>
      <c r="T51" s="292">
        <v>5.714466706266963</v>
      </c>
      <c r="U51" s="292">
        <v>4.9749339639030277</v>
      </c>
      <c r="V51" s="292">
        <v>4.2366602536129561</v>
      </c>
      <c r="W51" s="292">
        <v>3.7860418668673734</v>
      </c>
      <c r="X51" s="292">
        <v>3.6214654878406138</v>
      </c>
      <c r="Y51" s="292">
        <v>3.5179667989197583</v>
      </c>
      <c r="Z51" s="292">
        <v>3.4732271251420199</v>
      </c>
      <c r="AA51" s="292">
        <v>3.541006398539448</v>
      </c>
      <c r="AB51" s="292">
        <v>3.6345044609545463</v>
      </c>
      <c r="AC51" s="344"/>
    </row>
    <row r="52" spans="2:29" x14ac:dyDescent="0.35">
      <c r="B52" s="522" t="s">
        <v>444</v>
      </c>
      <c r="C52" s="307"/>
      <c r="D52" s="300"/>
      <c r="E52" s="307"/>
      <c r="F52" s="307"/>
      <c r="G52" s="307"/>
      <c r="H52" s="280">
        <v>2329.1999999999998</v>
      </c>
      <c r="I52" s="280">
        <v>2376.9</v>
      </c>
      <c r="J52" s="280">
        <v>2334.6</v>
      </c>
      <c r="K52" s="280">
        <v>2346.5</v>
      </c>
      <c r="L52" s="280">
        <v>2373</v>
      </c>
      <c r="M52" s="280">
        <v>2408.6999999999998</v>
      </c>
      <c r="N52" s="280">
        <v>2452.6</v>
      </c>
      <c r="O52" s="280">
        <v>2522.9</v>
      </c>
      <c r="P52" s="280">
        <v>2566.6999999999998</v>
      </c>
      <c r="Q52" s="280">
        <v>2632.6</v>
      </c>
      <c r="R52" s="280">
        <v>2726.3</v>
      </c>
      <c r="S52" s="281">
        <v>2777.2247479069765</v>
      </c>
      <c r="T52" s="281">
        <v>2816.077693023256</v>
      </c>
      <c r="U52" s="281">
        <v>2850.467114418605</v>
      </c>
      <c r="V52" s="281">
        <v>2880.1901246511629</v>
      </c>
      <c r="W52" s="281">
        <v>2907.0727106976742</v>
      </c>
      <c r="X52" s="281">
        <v>2933.0423032558142</v>
      </c>
      <c r="Y52" s="281">
        <v>2958.5046772093024</v>
      </c>
      <c r="Z52" s="281">
        <v>2983.8656074418604</v>
      </c>
      <c r="AA52" s="281">
        <v>3009.9366437209296</v>
      </c>
      <c r="AB52" s="281">
        <v>3036.9206734883714</v>
      </c>
      <c r="AC52" s="343">
        <v>3065.9335776744192</v>
      </c>
    </row>
    <row r="53" spans="2:29" x14ac:dyDescent="0.35">
      <c r="B53" s="523" t="s">
        <v>445</v>
      </c>
      <c r="C53" s="541"/>
      <c r="D53" s="540"/>
      <c r="E53" s="541"/>
      <c r="F53" s="541"/>
      <c r="G53" s="541"/>
      <c r="H53" s="549">
        <v>2049.712</v>
      </c>
      <c r="I53" s="549">
        <v>2091.6440000000002</v>
      </c>
      <c r="J53" s="549">
        <v>1924.7149999999999</v>
      </c>
      <c r="K53" s="549">
        <v>1965.95</v>
      </c>
      <c r="L53" s="549">
        <v>2015.8420000000001</v>
      </c>
      <c r="M53" s="549">
        <v>2023.5149999999999</v>
      </c>
      <c r="N53" s="549">
        <v>2028.5809999999999</v>
      </c>
      <c r="O53" s="549">
        <v>2091.0100000000002</v>
      </c>
      <c r="P53" s="549">
        <v>2098.8151479999997</v>
      </c>
      <c r="Q53" s="549">
        <v>2127.2417252</v>
      </c>
      <c r="R53" s="452">
        <v>2155.4825394285717</v>
      </c>
      <c r="S53" s="298">
        <v>2235.2752297855327</v>
      </c>
      <c r="T53" s="298">
        <v>2279.1731905221659</v>
      </c>
      <c r="U53" s="298">
        <v>2318.7921325421571</v>
      </c>
      <c r="V53" s="298">
        <v>2344.0966254130681</v>
      </c>
      <c r="W53" s="298">
        <v>2372.0325546802437</v>
      </c>
      <c r="X53" s="298">
        <v>2396.3234349975378</v>
      </c>
      <c r="Y53" s="298">
        <v>2433.0735075686539</v>
      </c>
      <c r="Z53" s="298">
        <v>2478.1730261370985</v>
      </c>
      <c r="AA53" s="298">
        <v>2499.659330845659</v>
      </c>
      <c r="AB53" s="298">
        <v>2520.1975013026213</v>
      </c>
      <c r="AC53" s="524">
        <v>2565.9142578710021</v>
      </c>
    </row>
    <row r="54" spans="2:29" ht="15.75" customHeight="1" x14ac:dyDescent="0.35">
      <c r="B54" s="525" t="s">
        <v>971</v>
      </c>
      <c r="C54" s="526"/>
      <c r="D54" s="526"/>
      <c r="E54" s="526"/>
      <c r="F54" s="526"/>
      <c r="G54" s="526"/>
      <c r="H54" s="526"/>
      <c r="I54" s="526"/>
      <c r="J54" s="526"/>
      <c r="K54" s="526"/>
      <c r="L54" s="526"/>
      <c r="M54" s="527"/>
      <c r="N54" s="527"/>
      <c r="O54" s="527"/>
      <c r="P54" s="527"/>
      <c r="Q54" s="527"/>
      <c r="R54" s="527"/>
      <c r="S54" s="528">
        <v>0</v>
      </c>
      <c r="T54" s="528">
        <v>0</v>
      </c>
      <c r="U54" s="528">
        <v>0</v>
      </c>
      <c r="V54" s="528">
        <v>0</v>
      </c>
      <c r="W54" s="528">
        <v>0</v>
      </c>
      <c r="X54" s="528">
        <v>0</v>
      </c>
      <c r="Y54" s="528">
        <v>0</v>
      </c>
      <c r="Z54" s="528"/>
      <c r="AA54" s="528"/>
      <c r="AB54" s="528"/>
      <c r="AC54" s="529"/>
    </row>
    <row r="55" spans="2:29" x14ac:dyDescent="0.35">
      <c r="B55" s="72"/>
      <c r="C55" s="72"/>
      <c r="D55" s="72"/>
      <c r="E55" s="72"/>
      <c r="F55" s="72"/>
      <c r="G55" s="72"/>
      <c r="H55" s="532">
        <f>H45-H52</f>
        <v>55</v>
      </c>
      <c r="I55" s="532">
        <f t="shared" ref="I55" si="15">I45-I52</f>
        <v>50.5</v>
      </c>
      <c r="J55" s="532">
        <f t="shared" ref="J55:X55" si="16">J45-J52</f>
        <v>57.200000000000273</v>
      </c>
      <c r="K55" s="532">
        <f t="shared" si="16"/>
        <v>51.099999999999909</v>
      </c>
      <c r="L55" s="532">
        <f t="shared" si="16"/>
        <v>43.5</v>
      </c>
      <c r="M55" s="532">
        <f t="shared" si="16"/>
        <v>59.700000000000273</v>
      </c>
      <c r="N55" s="532">
        <f t="shared" si="16"/>
        <v>63.800000000000182</v>
      </c>
      <c r="O55" s="532">
        <f t="shared" si="16"/>
        <v>64.699999999999818</v>
      </c>
      <c r="P55" s="532">
        <f t="shared" si="16"/>
        <v>67.200000000000273</v>
      </c>
      <c r="Q55" s="532">
        <f t="shared" si="16"/>
        <v>65.599999999999909</v>
      </c>
      <c r="R55" s="532">
        <f t="shared" si="16"/>
        <v>63.699999999999818</v>
      </c>
      <c r="S55" s="532">
        <f t="shared" si="16"/>
        <v>64.889856744186091</v>
      </c>
      <c r="T55" s="532">
        <f t="shared" si="16"/>
        <v>65.797655813953497</v>
      </c>
      <c r="U55" s="532">
        <f t="shared" si="16"/>
        <v>66.60116465116289</v>
      </c>
      <c r="V55" s="532">
        <f t="shared" si="16"/>
        <v>67.295642790697912</v>
      </c>
      <c r="W55" s="532">
        <f t="shared" si="16"/>
        <v>67.923754418604858</v>
      </c>
      <c r="X55" s="532">
        <f t="shared" si="16"/>
        <v>68.530533953488884</v>
      </c>
      <c r="Y55" s="531"/>
      <c r="Z55" s="531"/>
      <c r="AA55" s="531"/>
      <c r="AB55" s="531"/>
      <c r="AC55" s="531"/>
    </row>
    <row r="56" spans="2:29" x14ac:dyDescent="0.35">
      <c r="B56" s="72"/>
      <c r="C56" s="72"/>
      <c r="D56" s="72"/>
      <c r="E56" s="72"/>
      <c r="F56" s="72"/>
      <c r="G56" s="72"/>
      <c r="H56" s="532">
        <f>H46-H53</f>
        <v>56.315999999999804</v>
      </c>
      <c r="I56" s="532">
        <f t="shared" ref="I56" si="17">I46-I53</f>
        <v>49.884999999999764</v>
      </c>
      <c r="J56" s="532">
        <f t="shared" ref="J56:X56" si="18">J46-J53</f>
        <v>65.786000000000286</v>
      </c>
      <c r="K56" s="532">
        <f t="shared" si="18"/>
        <v>55.457999999999856</v>
      </c>
      <c r="L56" s="532">
        <f t="shared" si="18"/>
        <v>35.297000000000025</v>
      </c>
      <c r="M56" s="532">
        <f t="shared" si="18"/>
        <v>55.544000000000324</v>
      </c>
      <c r="N56" s="532">
        <f t="shared" si="18"/>
        <v>51.225999999999885</v>
      </c>
      <c r="O56" s="532">
        <f t="shared" si="18"/>
        <v>52.253999999999905</v>
      </c>
      <c r="P56" s="532">
        <f t="shared" si="18"/>
        <v>61.023000000000138</v>
      </c>
      <c r="Q56" s="532">
        <f t="shared" si="18"/>
        <v>59.971000000000004</v>
      </c>
      <c r="R56" s="532">
        <f t="shared" si="18"/>
        <v>54.12842857142823</v>
      </c>
      <c r="S56" s="532">
        <f t="shared" si="18"/>
        <v>35.384653958968556</v>
      </c>
      <c r="T56" s="532">
        <f t="shared" si="18"/>
        <v>39.199618019939408</v>
      </c>
      <c r="U56" s="532">
        <f t="shared" si="18"/>
        <v>49.842551148738494</v>
      </c>
      <c r="V56" s="532">
        <f t="shared" si="18"/>
        <v>50.374871362126214</v>
      </c>
      <c r="W56" s="532">
        <f t="shared" si="18"/>
        <v>50.839227255914466</v>
      </c>
      <c r="X56" s="532">
        <f t="shared" si="18"/>
        <v>50.818637504857179</v>
      </c>
      <c r="Y56" s="531"/>
      <c r="Z56" s="531"/>
      <c r="AA56" s="531"/>
      <c r="AB56" s="531"/>
      <c r="AC56" s="531"/>
    </row>
    <row r="57" spans="2:29" x14ac:dyDescent="0.35">
      <c r="B57" s="72"/>
      <c r="C57" s="72"/>
      <c r="D57" s="72"/>
      <c r="E57" s="72"/>
      <c r="F57" s="72"/>
      <c r="G57" s="72"/>
      <c r="H57" s="72"/>
      <c r="I57" s="72"/>
      <c r="J57" s="72"/>
      <c r="K57" s="72"/>
      <c r="L57" s="72"/>
      <c r="M57" s="530"/>
      <c r="N57" s="530"/>
      <c r="O57" s="530"/>
      <c r="P57" s="530"/>
      <c r="Q57" s="530"/>
      <c r="R57" s="530"/>
      <c r="S57" s="531"/>
      <c r="T57" s="531"/>
      <c r="U57" s="531"/>
      <c r="V57" s="531"/>
      <c r="W57" s="531"/>
      <c r="X57" s="531"/>
      <c r="Y57" s="531"/>
      <c r="Z57" s="531"/>
      <c r="AA57" s="531"/>
      <c r="AB57" s="531"/>
      <c r="AC57" s="531"/>
    </row>
    <row r="58" spans="2:29" x14ac:dyDescent="0.35">
      <c r="B58" s="72"/>
      <c r="C58" s="72"/>
      <c r="D58" s="72"/>
      <c r="E58" s="72"/>
      <c r="F58" s="72"/>
      <c r="G58" s="72"/>
      <c r="H58" s="72"/>
      <c r="I58" s="72"/>
      <c r="J58" s="72"/>
      <c r="K58" s="72"/>
      <c r="L58" s="72"/>
      <c r="M58" s="530"/>
      <c r="N58" s="530"/>
      <c r="O58" s="530"/>
      <c r="P58" s="530"/>
      <c r="Q58" s="530"/>
      <c r="R58" s="530"/>
      <c r="S58" s="531"/>
      <c r="T58" s="531"/>
      <c r="U58" s="531"/>
      <c r="V58" s="531"/>
      <c r="W58" s="531"/>
      <c r="X58" s="531"/>
      <c r="Y58" s="531"/>
      <c r="Z58" s="531"/>
      <c r="AA58" s="531"/>
      <c r="AB58" s="531"/>
      <c r="AC58" s="531"/>
    </row>
    <row r="59" spans="2:29" x14ac:dyDescent="0.35">
      <c r="B59" s="72"/>
      <c r="C59" s="72"/>
      <c r="D59" s="72"/>
      <c r="E59" s="72"/>
      <c r="F59" s="72"/>
      <c r="G59" s="72"/>
      <c r="H59" s="72"/>
      <c r="I59" s="72"/>
      <c r="J59" s="72"/>
      <c r="K59" s="72"/>
      <c r="L59" s="72"/>
      <c r="M59" s="530"/>
      <c r="N59" s="530"/>
      <c r="O59" s="530"/>
      <c r="P59" s="530"/>
      <c r="Q59" s="530"/>
      <c r="R59" s="530"/>
      <c r="S59" s="531"/>
      <c r="T59" s="531"/>
      <c r="U59" s="531"/>
      <c r="V59" s="531"/>
      <c r="W59" s="531"/>
      <c r="X59" s="531"/>
      <c r="Y59" s="531"/>
      <c r="Z59" s="531"/>
      <c r="AA59" s="531"/>
      <c r="AB59" s="531"/>
      <c r="AC59" s="531"/>
    </row>
    <row r="60" spans="2:29" x14ac:dyDescent="0.35">
      <c r="B60" s="72"/>
      <c r="C60" s="72"/>
      <c r="D60" s="72"/>
      <c r="E60" s="72"/>
      <c r="F60" s="72"/>
      <c r="G60" s="72"/>
      <c r="H60" s="72"/>
      <c r="I60" s="72"/>
      <c r="J60" s="72"/>
      <c r="K60" s="72"/>
      <c r="L60" s="72"/>
      <c r="M60" s="530"/>
      <c r="N60" s="530"/>
      <c r="O60" s="530"/>
      <c r="P60" s="530"/>
      <c r="Q60" s="530"/>
      <c r="R60" s="530"/>
      <c r="S60" s="531"/>
      <c r="T60" s="531"/>
      <c r="U60" s="531"/>
      <c r="V60" s="531"/>
      <c r="W60" s="531"/>
      <c r="X60" s="531"/>
      <c r="Y60" s="531"/>
      <c r="Z60" s="531"/>
      <c r="AA60" s="531"/>
      <c r="AB60" s="531"/>
      <c r="AC60" s="531"/>
    </row>
    <row r="61" spans="2:29" x14ac:dyDescent="0.35">
      <c r="B61" s="72"/>
      <c r="C61" s="72"/>
      <c r="D61" s="72"/>
      <c r="E61" s="72"/>
      <c r="F61" s="72"/>
      <c r="G61" s="72"/>
      <c r="H61" s="72"/>
      <c r="I61" s="72"/>
      <c r="J61" s="72"/>
      <c r="K61" s="72"/>
      <c r="L61" s="72"/>
      <c r="M61" s="530"/>
      <c r="N61" s="530"/>
      <c r="O61" s="530"/>
      <c r="P61" s="530"/>
      <c r="Q61" s="530"/>
      <c r="R61" s="530"/>
      <c r="S61" s="531"/>
      <c r="T61" s="531"/>
      <c r="U61" s="531"/>
      <c r="V61" s="531"/>
      <c r="W61" s="531"/>
      <c r="X61" s="531"/>
      <c r="Y61" s="531"/>
      <c r="Z61" s="531"/>
      <c r="AA61" s="531"/>
      <c r="AB61" s="531"/>
      <c r="AC61" s="531"/>
    </row>
    <row r="62" spans="2:29" x14ac:dyDescent="0.35">
      <c r="B62" s="72"/>
      <c r="C62" s="72"/>
      <c r="D62" s="72"/>
      <c r="E62" s="72"/>
      <c r="F62" s="72"/>
      <c r="G62" s="72"/>
      <c r="H62" s="72"/>
      <c r="I62" s="72"/>
      <c r="J62" s="72"/>
      <c r="K62" s="72"/>
      <c r="L62" s="72"/>
      <c r="M62" s="530"/>
      <c r="N62" s="530"/>
      <c r="O62" s="530"/>
      <c r="P62" s="530"/>
      <c r="Q62" s="530"/>
      <c r="R62" s="530"/>
      <c r="S62" s="531"/>
      <c r="T62" s="531"/>
      <c r="U62" s="531"/>
      <c r="V62" s="531"/>
      <c r="W62" s="531"/>
      <c r="X62" s="531"/>
      <c r="Y62" s="531"/>
      <c r="Z62" s="531"/>
      <c r="AA62" s="531"/>
      <c r="AB62" s="531"/>
      <c r="AC62" s="531"/>
    </row>
    <row r="63" spans="2:29" x14ac:dyDescent="0.35">
      <c r="B63" s="72"/>
      <c r="C63" s="72"/>
      <c r="D63" s="72"/>
      <c r="E63" s="72"/>
      <c r="F63" s="72"/>
      <c r="G63" s="72"/>
      <c r="H63" s="72"/>
      <c r="I63" s="72"/>
      <c r="J63" s="72"/>
      <c r="K63" s="72"/>
      <c r="L63" s="72"/>
      <c r="M63" s="530"/>
      <c r="N63" s="530"/>
      <c r="O63" s="530"/>
      <c r="P63" s="530"/>
      <c r="Q63" s="530"/>
      <c r="R63" s="530"/>
      <c r="S63" s="531"/>
      <c r="T63" s="531"/>
      <c r="U63" s="531"/>
      <c r="V63" s="531"/>
      <c r="W63" s="531"/>
      <c r="X63" s="531"/>
      <c r="Y63" s="531"/>
      <c r="Z63" s="531"/>
      <c r="AA63" s="531"/>
      <c r="AB63" s="531"/>
      <c r="AC63" s="531"/>
    </row>
    <row r="64" spans="2:29" x14ac:dyDescent="0.35">
      <c r="B64" s="72"/>
      <c r="C64" s="72"/>
      <c r="D64" s="72"/>
      <c r="E64" s="72"/>
      <c r="F64" s="72"/>
      <c r="G64" s="72"/>
      <c r="H64" s="72"/>
      <c r="I64" s="72"/>
      <c r="J64" s="72"/>
      <c r="K64" s="72"/>
      <c r="L64" s="72"/>
      <c r="M64" s="530"/>
      <c r="N64" s="530"/>
      <c r="O64" s="530"/>
      <c r="P64" s="530"/>
      <c r="Q64" s="530"/>
      <c r="R64" s="530"/>
      <c r="S64" s="531"/>
      <c r="T64" s="531"/>
      <c r="U64" s="531"/>
      <c r="V64" s="531"/>
      <c r="W64" s="531"/>
      <c r="X64" s="531"/>
      <c r="Y64" s="531"/>
      <c r="Z64" s="531"/>
      <c r="AA64" s="531"/>
      <c r="AB64" s="531"/>
      <c r="AC64" s="531"/>
    </row>
    <row r="65" spans="2:33" x14ac:dyDescent="0.35">
      <c r="B65" s="290"/>
      <c r="C65" s="290"/>
      <c r="D65" s="290"/>
      <c r="E65" s="290"/>
      <c r="F65" s="290"/>
      <c r="G65" s="290"/>
      <c r="H65" s="159"/>
      <c r="I65" s="159"/>
      <c r="J65" s="159"/>
      <c r="K65" s="159"/>
      <c r="L65" s="159"/>
      <c r="M65" s="159"/>
      <c r="N65" s="159"/>
      <c r="O65" s="159"/>
      <c r="P65" s="159"/>
      <c r="Q65" s="539"/>
      <c r="R65" s="159"/>
      <c r="S65" s="159"/>
      <c r="T65" s="159"/>
      <c r="U65" s="159"/>
      <c r="V65" s="159"/>
      <c r="W65" s="159"/>
      <c r="X65" s="159"/>
      <c r="Y65" s="159"/>
      <c r="Z65" s="159"/>
    </row>
    <row r="66" spans="2:33" ht="85.15" customHeight="1" x14ac:dyDescent="0.35">
      <c r="B66" s="559" t="s">
        <v>958</v>
      </c>
      <c r="C66" s="569" t="s">
        <v>957</v>
      </c>
      <c r="D66" s="567">
        <v>44197</v>
      </c>
      <c r="E66" s="568">
        <v>44228</v>
      </c>
      <c r="F66" s="568">
        <v>44256</v>
      </c>
      <c r="G66" s="568">
        <v>44287</v>
      </c>
      <c r="H66" s="568">
        <v>44317</v>
      </c>
      <c r="I66" s="568">
        <v>44348</v>
      </c>
      <c r="J66" s="568">
        <v>44378</v>
      </c>
      <c r="K66" s="568">
        <v>44409</v>
      </c>
      <c r="L66" s="568">
        <v>44440</v>
      </c>
      <c r="M66" s="568">
        <v>44470</v>
      </c>
      <c r="N66" s="568">
        <v>44501</v>
      </c>
      <c r="O66" s="568">
        <v>44531</v>
      </c>
      <c r="P66" s="544">
        <v>44562</v>
      </c>
      <c r="Q66" s="543">
        <v>44593</v>
      </c>
      <c r="R66" s="544">
        <v>44621</v>
      </c>
      <c r="S66" s="544">
        <v>44652</v>
      </c>
      <c r="T66" s="544">
        <v>44682</v>
      </c>
      <c r="U66" s="544">
        <v>44713</v>
      </c>
      <c r="V66" s="159"/>
      <c r="W66" s="159"/>
      <c r="X66" s="159"/>
      <c r="Y66" s="159"/>
      <c r="Z66" s="159"/>
    </row>
    <row r="67" spans="2:33" ht="19.5" customHeight="1" x14ac:dyDescent="0.35">
      <c r="B67" s="437" t="s">
        <v>447</v>
      </c>
      <c r="C67" s="537" t="s">
        <v>448</v>
      </c>
      <c r="D67" s="36">
        <f>[1]Sheet1!B$2</f>
        <v>5154</v>
      </c>
      <c r="E67" s="36">
        <f>[1]Sheet1!C$2</f>
        <v>5157</v>
      </c>
      <c r="F67" s="36">
        <f>[1]Sheet1!D$2</f>
        <v>5170</v>
      </c>
      <c r="G67" s="36">
        <f>[1]Sheet1!E$2</f>
        <v>5173</v>
      </c>
      <c r="H67" s="36">
        <f>[1]Sheet1!F$2</f>
        <v>5231</v>
      </c>
      <c r="I67" s="36">
        <f>[1]Sheet1!G$2</f>
        <v>5251</v>
      </c>
      <c r="J67" s="36">
        <f>[1]Sheet1!H$2</f>
        <v>5241</v>
      </c>
      <c r="K67" s="36">
        <f>[1]Sheet1!I$2</f>
        <v>5226</v>
      </c>
      <c r="L67" s="36">
        <f>[1]Sheet1!J$2</f>
        <v>5224</v>
      </c>
      <c r="M67" s="36">
        <f>[1]Sheet1!K$2</f>
        <v>5224</v>
      </c>
      <c r="N67" s="36">
        <f>[1]Sheet1!L$2</f>
        <v>5220</v>
      </c>
      <c r="O67" s="36">
        <f>[1]Sheet1!M$2</f>
        <v>5237</v>
      </c>
      <c r="P67" s="36">
        <f>[1]Sheet1!N$2</f>
        <v>5212</v>
      </c>
      <c r="Q67" s="36">
        <f>[1]Sheet1!O$2</f>
        <v>5213</v>
      </c>
      <c r="R67" s="36">
        <f>[1]Sheet1!P$2</f>
        <v>5224</v>
      </c>
      <c r="S67" s="36">
        <f>[1]Sheet1!Q$2</f>
        <v>5218</v>
      </c>
      <c r="T67" s="36">
        <f>[1]Sheet1!R$2</f>
        <v>5254</v>
      </c>
      <c r="U67" s="36">
        <f>[1]Sheet1!S$2</f>
        <v>5253</v>
      </c>
      <c r="V67" s="159"/>
      <c r="W67" s="159"/>
      <c r="X67" s="159"/>
      <c r="Y67" s="159"/>
      <c r="Z67" s="159"/>
    </row>
    <row r="68" spans="2:33" ht="18" customHeight="1" x14ac:dyDescent="0.35">
      <c r="B68" s="299" t="s">
        <v>449</v>
      </c>
      <c r="C68" s="156" t="s">
        <v>450</v>
      </c>
      <c r="D68" s="36">
        <f>[1]Sheet1!B$3</f>
        <v>13748</v>
      </c>
      <c r="E68" s="36">
        <f>[1]Sheet1!C$3</f>
        <v>13760</v>
      </c>
      <c r="F68" s="36">
        <f>[1]Sheet1!D$3</f>
        <v>13801</v>
      </c>
      <c r="G68" s="36">
        <f>[1]Sheet1!E$3</f>
        <v>13842</v>
      </c>
      <c r="H68" s="36">
        <f>[1]Sheet1!F$3</f>
        <v>13856</v>
      </c>
      <c r="I68" s="36">
        <f>[1]Sheet1!G$3</f>
        <v>13889</v>
      </c>
      <c r="J68" s="36">
        <f>[1]Sheet1!H$3</f>
        <v>13948</v>
      </c>
      <c r="K68" s="36">
        <f>[1]Sheet1!I$3</f>
        <v>13984</v>
      </c>
      <c r="L68" s="36">
        <f>[1]Sheet1!J$3</f>
        <v>14002</v>
      </c>
      <c r="M68" s="36">
        <f>[1]Sheet1!K$3</f>
        <v>13990</v>
      </c>
      <c r="N68" s="36">
        <f>[1]Sheet1!L$3</f>
        <v>14010</v>
      </c>
      <c r="O68" s="36">
        <f>[1]Sheet1!M$3</f>
        <v>14028</v>
      </c>
      <c r="P68" s="36">
        <f>[1]Sheet1!N$3</f>
        <v>14055</v>
      </c>
      <c r="Q68" s="36">
        <f>[1]Sheet1!O$3</f>
        <v>14073</v>
      </c>
      <c r="R68" s="36">
        <f>[1]Sheet1!P$3</f>
        <v>14087</v>
      </c>
      <c r="S68" s="36">
        <f>[1]Sheet1!Q$3</f>
        <v>14091</v>
      </c>
      <c r="T68" s="36">
        <f>[1]Sheet1!R$3</f>
        <v>14104</v>
      </c>
      <c r="U68" s="36">
        <f>[1]Sheet1!S$3</f>
        <v>14109</v>
      </c>
      <c r="V68" s="159"/>
      <c r="W68" s="159"/>
      <c r="X68" s="159"/>
      <c r="Y68" s="159"/>
      <c r="Z68" s="159"/>
      <c r="AG68" s="156"/>
    </row>
    <row r="69" spans="2:33" ht="19.5" customHeight="1" x14ac:dyDescent="0.35">
      <c r="B69" s="540" t="s">
        <v>451</v>
      </c>
      <c r="C69" s="291" t="s">
        <v>452</v>
      </c>
      <c r="D69" s="37">
        <f>[1]Sheet1!B$4</f>
        <v>328517</v>
      </c>
      <c r="E69" s="37">
        <f>[1]Sheet1!C$4</f>
        <v>320118</v>
      </c>
      <c r="F69" s="37">
        <f>[1]Sheet1!D$4</f>
        <v>319991</v>
      </c>
      <c r="G69" s="37">
        <f>[1]Sheet1!E$4</f>
        <v>321220</v>
      </c>
      <c r="H69" s="37">
        <f>[1]Sheet1!F$4</f>
        <v>319056</v>
      </c>
      <c r="I69" s="37">
        <f>[1]Sheet1!G$4</f>
        <v>315198</v>
      </c>
      <c r="J69" s="37">
        <f>[1]Sheet1!H$4</f>
        <v>318559</v>
      </c>
      <c r="K69" s="37">
        <f>[1]Sheet1!I$4</f>
        <v>323086</v>
      </c>
      <c r="L69" s="37">
        <f>[1]Sheet1!J$4</f>
        <v>324024</v>
      </c>
      <c r="M69" s="37">
        <f>[1]Sheet1!K$4</f>
        <v>325954</v>
      </c>
      <c r="N69" s="37">
        <f>[1]Sheet1!L$4</f>
        <v>325873</v>
      </c>
      <c r="O69" s="37">
        <f>[1]Sheet1!M$4</f>
        <v>323714</v>
      </c>
      <c r="P69" s="37">
        <f>[1]Sheet1!N$4</f>
        <v>323638</v>
      </c>
      <c r="Q69" s="37">
        <f>[1]Sheet1!O$4</f>
        <v>324761</v>
      </c>
      <c r="R69" s="37">
        <f>[1]Sheet1!P$4</f>
        <v>319759</v>
      </c>
      <c r="S69" s="37">
        <f>[1]Sheet1!Q$4</f>
        <v>319650</v>
      </c>
      <c r="T69" s="37">
        <f>[1]Sheet1!R$4</f>
        <v>317251</v>
      </c>
      <c r="U69" s="37">
        <f>[1]Sheet1!S$4</f>
        <v>0</v>
      </c>
      <c r="V69" s="159"/>
      <c r="W69" s="159"/>
      <c r="X69" s="159"/>
      <c r="Y69" s="159"/>
      <c r="Z69" s="159"/>
      <c r="AG69" s="156"/>
    </row>
    <row r="70" spans="2:33" ht="15.65" customHeight="1" x14ac:dyDescent="0.35">
      <c r="B70" s="307"/>
      <c r="C70" s="290"/>
      <c r="D70" s="290"/>
      <c r="E70" s="290"/>
      <c r="F70" s="290"/>
      <c r="G70" s="290"/>
      <c r="H70" s="159"/>
      <c r="I70" s="159"/>
      <c r="J70" s="159"/>
      <c r="Q70" s="573"/>
      <c r="R70" s="159"/>
      <c r="S70" s="159"/>
      <c r="T70" s="159"/>
      <c r="U70" s="159"/>
      <c r="V70" s="159"/>
      <c r="W70" s="159"/>
      <c r="X70" s="159"/>
      <c r="Y70" s="159"/>
      <c r="Z70" s="159"/>
      <c r="AG70" s="156"/>
    </row>
    <row r="71" spans="2:33" ht="12.75" customHeight="1" x14ac:dyDescent="0.35">
      <c r="AG71" s="156"/>
    </row>
    <row r="72" spans="2:33" x14ac:dyDescent="0.35">
      <c r="B72" s="1243" t="s">
        <v>453</v>
      </c>
      <c r="C72" s="1243"/>
      <c r="D72" s="1243"/>
      <c r="E72" s="1243"/>
      <c r="F72" s="1243"/>
      <c r="G72" s="1243"/>
      <c r="H72" s="1243"/>
      <c r="I72" s="1243"/>
      <c r="J72" s="1243"/>
      <c r="K72" s="1243"/>
      <c r="L72" s="1243"/>
      <c r="M72" s="1243"/>
      <c r="N72" s="1243"/>
      <c r="O72" s="1243"/>
      <c r="P72" s="1243"/>
      <c r="Q72" s="1243"/>
      <c r="R72" s="1243"/>
      <c r="S72" s="1243"/>
      <c r="T72" s="1243"/>
      <c r="U72" s="1243"/>
      <c r="V72" s="1243"/>
      <c r="W72" s="1243"/>
      <c r="X72" s="1243"/>
      <c r="Y72" s="1243"/>
      <c r="Z72" s="1243"/>
      <c r="AA72" s="1243"/>
      <c r="AB72" s="1243"/>
      <c r="AC72" s="1243"/>
      <c r="AG72" s="156"/>
    </row>
    <row r="73" spans="2:33" ht="9" customHeight="1" x14ac:dyDescent="0.35">
      <c r="B73" s="1243"/>
      <c r="C73" s="1243"/>
      <c r="D73" s="1243"/>
      <c r="E73" s="1243"/>
      <c r="F73" s="1243"/>
      <c r="G73" s="1243"/>
      <c r="H73" s="1243"/>
      <c r="I73" s="1243"/>
      <c r="J73" s="1243"/>
      <c r="K73" s="1243"/>
      <c r="L73" s="1243"/>
      <c r="M73" s="1243"/>
      <c r="N73" s="1243"/>
      <c r="O73" s="1243"/>
      <c r="P73" s="1243"/>
      <c r="Q73" s="1243"/>
      <c r="R73" s="1243"/>
      <c r="S73" s="1243"/>
      <c r="T73" s="1243"/>
      <c r="U73" s="1243"/>
      <c r="V73" s="1243"/>
      <c r="W73" s="1243"/>
      <c r="X73" s="1243"/>
      <c r="Y73" s="1243"/>
      <c r="Z73" s="1243"/>
      <c r="AA73" s="1243"/>
      <c r="AB73" s="1243"/>
      <c r="AC73" s="1243"/>
      <c r="AG73" s="156"/>
    </row>
    <row r="74" spans="2:33" ht="14.25" customHeight="1" x14ac:dyDescent="0.35">
      <c r="B74" s="1306" t="s">
        <v>454</v>
      </c>
      <c r="C74" s="1306"/>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1306"/>
      <c r="AG74" s="156"/>
    </row>
    <row r="75" spans="2:33" x14ac:dyDescent="0.35">
      <c r="B75" s="1306"/>
      <c r="C75" s="1306"/>
      <c r="D75" s="1306"/>
      <c r="E75" s="1306"/>
      <c r="F75" s="1306"/>
      <c r="G75" s="1306"/>
      <c r="H75" s="1306"/>
      <c r="I75" s="1306"/>
      <c r="J75" s="1306"/>
      <c r="K75" s="1306"/>
      <c r="L75" s="1306"/>
      <c r="M75" s="1306"/>
      <c r="N75" s="1306"/>
      <c r="O75" s="1306"/>
      <c r="P75" s="1306"/>
      <c r="Q75" s="1306"/>
      <c r="R75" s="1306"/>
      <c r="S75" s="1306"/>
      <c r="T75" s="1306"/>
      <c r="U75" s="1306"/>
      <c r="V75" s="1306"/>
      <c r="W75" s="1306"/>
      <c r="X75" s="1306"/>
      <c r="Y75" s="1306"/>
      <c r="Z75" s="1306"/>
      <c r="AA75" s="1306"/>
      <c r="AB75" s="1306"/>
      <c r="AC75" s="1306"/>
      <c r="AG75" s="156"/>
    </row>
    <row r="76" spans="2:33" ht="8.65" customHeight="1" x14ac:dyDescent="0.35">
      <c r="B76" s="1306"/>
      <c r="C76" s="1306"/>
      <c r="D76" s="1306"/>
      <c r="E76" s="1306"/>
      <c r="F76" s="1306"/>
      <c r="G76" s="1306"/>
      <c r="H76" s="1306"/>
      <c r="I76" s="1306"/>
      <c r="J76" s="1306"/>
      <c r="K76" s="1306"/>
      <c r="L76" s="1306"/>
      <c r="M76" s="1306"/>
      <c r="N76" s="1306"/>
      <c r="O76" s="1306"/>
      <c r="P76" s="1306"/>
      <c r="Q76" s="1306"/>
      <c r="R76" s="1306"/>
      <c r="S76" s="1306"/>
      <c r="T76" s="1306"/>
      <c r="U76" s="1306"/>
      <c r="V76" s="1306"/>
      <c r="W76" s="1306"/>
      <c r="X76" s="1306"/>
      <c r="Y76" s="1306"/>
      <c r="Z76" s="1306"/>
      <c r="AA76" s="1306"/>
      <c r="AB76" s="1306"/>
      <c r="AC76" s="1306"/>
      <c r="AG76" s="156"/>
    </row>
    <row r="77" spans="2:33" ht="12.75" customHeight="1" x14ac:dyDescent="0.35">
      <c r="AG77" s="156"/>
    </row>
    <row r="78" spans="2:33" ht="30.75" customHeight="1" x14ac:dyDescent="0.35">
      <c r="B78" s="1276" t="s">
        <v>324</v>
      </c>
      <c r="C78" s="1255"/>
      <c r="D78" s="1253" t="s">
        <v>325</v>
      </c>
      <c r="E78" s="1254"/>
      <c r="F78" s="1254"/>
      <c r="G78" s="1254"/>
      <c r="H78" s="1254"/>
      <c r="I78" s="1254"/>
      <c r="J78" s="1254"/>
      <c r="K78" s="1254"/>
      <c r="L78" s="1254"/>
      <c r="M78" s="1254"/>
      <c r="N78" s="1254"/>
      <c r="O78" s="1254"/>
      <c r="P78" s="1254"/>
      <c r="Q78" s="1254"/>
      <c r="R78" s="1284"/>
      <c r="S78" s="1285" t="s">
        <v>326</v>
      </c>
      <c r="T78" s="1286"/>
      <c r="U78" s="1286"/>
      <c r="V78" s="1286"/>
      <c r="W78" s="1286"/>
      <c r="X78" s="1286"/>
      <c r="Y78" s="1286"/>
      <c r="Z78" s="1286"/>
      <c r="AA78" s="1286"/>
      <c r="AB78" s="1286"/>
      <c r="AC78" s="1287"/>
      <c r="AG78" s="156"/>
    </row>
    <row r="79" spans="2:33" x14ac:dyDescent="0.35">
      <c r="B79" s="1277"/>
      <c r="C79" s="1307"/>
      <c r="D79" s="147">
        <v>2018</v>
      </c>
      <c r="E79" s="1244">
        <v>2019</v>
      </c>
      <c r="F79" s="1245"/>
      <c r="G79" s="1245"/>
      <c r="H79" s="1252"/>
      <c r="I79" s="1244">
        <v>2020</v>
      </c>
      <c r="J79" s="1245"/>
      <c r="K79" s="1245"/>
      <c r="L79" s="1245"/>
      <c r="M79" s="1244">
        <v>2021</v>
      </c>
      <c r="N79" s="1245"/>
      <c r="O79" s="1245"/>
      <c r="P79" s="1252"/>
      <c r="Q79" s="1282">
        <v>2022</v>
      </c>
      <c r="R79" s="1283"/>
      <c r="S79" s="317"/>
      <c r="T79" s="318"/>
      <c r="U79" s="1279">
        <v>2023</v>
      </c>
      <c r="V79" s="1280"/>
      <c r="W79" s="1280"/>
      <c r="X79" s="1280"/>
      <c r="Y79" s="1279">
        <v>2024</v>
      </c>
      <c r="Z79" s="1280"/>
      <c r="AA79" s="1280"/>
      <c r="AB79" s="1281"/>
      <c r="AC79" s="285">
        <v>2025</v>
      </c>
      <c r="AG79" s="156"/>
    </row>
    <row r="80" spans="2:33" x14ac:dyDescent="0.35">
      <c r="B80" s="1289"/>
      <c r="C80" s="1308"/>
      <c r="D80" s="154" t="s">
        <v>327</v>
      </c>
      <c r="E80" s="154" t="s">
        <v>328</v>
      </c>
      <c r="F80" s="153" t="s">
        <v>329</v>
      </c>
      <c r="G80" s="153" t="s">
        <v>238</v>
      </c>
      <c r="H80" s="224" t="s">
        <v>327</v>
      </c>
      <c r="I80" s="153" t="s">
        <v>328</v>
      </c>
      <c r="J80" s="153" t="s">
        <v>329</v>
      </c>
      <c r="K80" s="153" t="s">
        <v>238</v>
      </c>
      <c r="L80" s="153" t="s">
        <v>327</v>
      </c>
      <c r="M80" s="154" t="s">
        <v>328</v>
      </c>
      <c r="N80" s="153" t="s">
        <v>329</v>
      </c>
      <c r="O80" s="153" t="s">
        <v>238</v>
      </c>
      <c r="P80" s="224" t="s">
        <v>327</v>
      </c>
      <c r="Q80" s="154" t="s">
        <v>328</v>
      </c>
      <c r="R80" s="224" t="s">
        <v>329</v>
      </c>
      <c r="S80" s="429" t="s">
        <v>238</v>
      </c>
      <c r="T80" s="443" t="s">
        <v>327</v>
      </c>
      <c r="U80" s="428" t="s">
        <v>328</v>
      </c>
      <c r="V80" s="429" t="s">
        <v>329</v>
      </c>
      <c r="W80" s="429" t="s">
        <v>238</v>
      </c>
      <c r="X80" s="429" t="s">
        <v>327</v>
      </c>
      <c r="Y80" s="428" t="s">
        <v>328</v>
      </c>
      <c r="Z80" s="295" t="s">
        <v>329</v>
      </c>
      <c r="AA80" s="429" t="s">
        <v>238</v>
      </c>
      <c r="AB80" s="443" t="s">
        <v>327</v>
      </c>
      <c r="AC80" s="458" t="s">
        <v>328</v>
      </c>
      <c r="AG80" s="156"/>
    </row>
    <row r="81" spans="2:58" x14ac:dyDescent="0.35">
      <c r="B81" s="564" t="s">
        <v>134</v>
      </c>
      <c r="C81" s="308"/>
      <c r="D81" s="289"/>
      <c r="E81" s="308"/>
      <c r="F81" s="308"/>
      <c r="G81" s="308"/>
      <c r="H81" s="542">
        <f>Grants!H141</f>
        <v>72.367000000000004</v>
      </c>
      <c r="I81" s="542">
        <f>Grants!I141</f>
        <v>75.578999999999994</v>
      </c>
      <c r="J81" s="542">
        <f>Grants!J141</f>
        <v>76.015000000000001</v>
      </c>
      <c r="K81" s="542">
        <f>Grants!K141</f>
        <v>78.872</v>
      </c>
      <c r="L81" s="542">
        <f>Grants!L141</f>
        <v>75.819000000000003</v>
      </c>
      <c r="M81" s="542">
        <f>Grants!M141</f>
        <v>73.662000000000006</v>
      </c>
      <c r="N81" s="542">
        <f>Grants!N141</f>
        <v>75.066000000000003</v>
      </c>
      <c r="O81" s="542">
        <f>Grants!O141</f>
        <v>69.344999999999999</v>
      </c>
      <c r="P81" s="542">
        <f>Grants!P141</f>
        <v>72.477000000000004</v>
      </c>
      <c r="Q81" s="542">
        <f>Grants!Q141</f>
        <v>72.528999999999996</v>
      </c>
      <c r="R81" s="580">
        <f>Grants!R141</f>
        <v>75.340000000000018</v>
      </c>
      <c r="S81" s="555">
        <f>Grants!S141</f>
        <v>75.340000000000018</v>
      </c>
      <c r="T81" s="555">
        <f>Grants!T141</f>
        <v>76.15900000000002</v>
      </c>
      <c r="U81" s="555">
        <f>Grants!U141</f>
        <v>76.15900000000002</v>
      </c>
      <c r="V81" s="555">
        <f>Grants!V141</f>
        <v>76.15900000000002</v>
      </c>
      <c r="W81" s="555">
        <f>Grants!W141</f>
        <v>76.15900000000002</v>
      </c>
      <c r="X81" s="555">
        <f>Grants!X141</f>
        <v>77.818000000000012</v>
      </c>
      <c r="Y81" s="555">
        <f>Grants!Y141</f>
        <v>77.818000000000012</v>
      </c>
      <c r="Z81" s="555">
        <f>Grants!Z141</f>
        <v>77.818000000000012</v>
      </c>
      <c r="AA81" s="555">
        <f>Grants!AA141</f>
        <v>77.818000000000012</v>
      </c>
      <c r="AB81" s="555">
        <f>Grants!AB141</f>
        <v>79.41200000000002</v>
      </c>
      <c r="AC81" s="545">
        <f>Grants!AC141</f>
        <v>79.41200000000002</v>
      </c>
    </row>
    <row r="82" spans="2:58" x14ac:dyDescent="0.35">
      <c r="B82" s="187" t="s">
        <v>192</v>
      </c>
      <c r="C82" s="182"/>
      <c r="D82" s="547"/>
      <c r="E82" s="182"/>
      <c r="F82" s="182"/>
      <c r="G82" s="182"/>
      <c r="H82" s="149">
        <f>Grants!H97</f>
        <v>205.80500000000001</v>
      </c>
      <c r="I82" s="149">
        <f>Grants!I97</f>
        <v>210.29200000000003</v>
      </c>
      <c r="J82" s="149">
        <f>Grants!J97</f>
        <v>325.28399999999999</v>
      </c>
      <c r="K82" s="149">
        <f>Grants!K97</f>
        <v>297.32000000000005</v>
      </c>
      <c r="L82" s="149">
        <f>Grants!L97</f>
        <v>289.54199999999997</v>
      </c>
      <c r="M82" s="149">
        <f>Grants!M97</f>
        <v>315.67900000000003</v>
      </c>
      <c r="N82" s="149">
        <f>Grants!N97</f>
        <v>361.52700000000004</v>
      </c>
      <c r="O82" s="149">
        <f>Grants!O97</f>
        <v>374.99100000000004</v>
      </c>
      <c r="P82" s="149">
        <f>Grants!P97</f>
        <v>401.58485200000007</v>
      </c>
      <c r="Q82" s="149">
        <f>Grants!Q97</f>
        <v>438.45827479999997</v>
      </c>
      <c r="R82" s="535">
        <f>Grants!R97</f>
        <v>505.04903199999995</v>
      </c>
      <c r="S82" s="292">
        <f>Grants!S97</f>
        <v>496.11472090666126</v>
      </c>
      <c r="T82" s="292">
        <f>Grants!T97</f>
        <v>487.34354029510399</v>
      </c>
      <c r="U82" s="292">
        <f>Grants!U97</f>
        <v>472.27459537887216</v>
      </c>
      <c r="V82" s="292">
        <f>Grants!V97</f>
        <v>476.85527066666657</v>
      </c>
      <c r="W82" s="292">
        <f>Grants!W97</f>
        <v>475.96568318012066</v>
      </c>
      <c r="X82" s="292">
        <f>Grants!X97</f>
        <v>476.61276470690814</v>
      </c>
      <c r="Y82" s="292">
        <f>Grants!Y97</f>
        <v>465.49206482602699</v>
      </c>
      <c r="Z82" s="292">
        <f>Grants!Z97</f>
        <v>445.9221207333332</v>
      </c>
      <c r="AA82" s="292">
        <f>Grants!AA97</f>
        <v>450.67715826732552</v>
      </c>
      <c r="AB82" s="292">
        <f>Grants!AB97</f>
        <v>455.72600163518439</v>
      </c>
      <c r="AC82" s="293">
        <f>Grants!AC97</f>
        <v>439.19582793906807</v>
      </c>
    </row>
    <row r="83" spans="2:58" x14ac:dyDescent="0.35">
      <c r="B83" s="566" t="s">
        <v>455</v>
      </c>
      <c r="C83" s="541"/>
      <c r="D83" s="540"/>
      <c r="E83" s="541"/>
      <c r="F83" s="541"/>
      <c r="G83" s="541"/>
      <c r="H83" s="314">
        <f>H81+H82</f>
        <v>278.17200000000003</v>
      </c>
      <c r="I83" s="314">
        <f t="shared" ref="I83:AC83" si="19">I81+I82</f>
        <v>285.87100000000004</v>
      </c>
      <c r="J83" s="314">
        <f t="shared" si="19"/>
        <v>401.29899999999998</v>
      </c>
      <c r="K83" s="314">
        <f t="shared" si="19"/>
        <v>376.19200000000006</v>
      </c>
      <c r="L83" s="314">
        <f t="shared" si="19"/>
        <v>365.36099999999999</v>
      </c>
      <c r="M83" s="314">
        <f t="shared" si="19"/>
        <v>389.34100000000001</v>
      </c>
      <c r="N83" s="314">
        <f t="shared" si="19"/>
        <v>436.59300000000007</v>
      </c>
      <c r="O83" s="314">
        <f t="shared" si="19"/>
        <v>444.33600000000001</v>
      </c>
      <c r="P83" s="314">
        <f t="shared" si="19"/>
        <v>474.06185200000004</v>
      </c>
      <c r="Q83" s="314">
        <f t="shared" si="19"/>
        <v>510.98727479999997</v>
      </c>
      <c r="R83" s="536">
        <f t="shared" si="19"/>
        <v>580.38903199999993</v>
      </c>
      <c r="S83" s="294">
        <f t="shared" si="19"/>
        <v>571.45472090666124</v>
      </c>
      <c r="T83" s="294">
        <f t="shared" si="19"/>
        <v>563.50254029510404</v>
      </c>
      <c r="U83" s="294">
        <f t="shared" si="19"/>
        <v>548.43359537887216</v>
      </c>
      <c r="V83" s="294">
        <f t="shared" si="19"/>
        <v>553.01427066666656</v>
      </c>
      <c r="W83" s="294">
        <f t="shared" si="19"/>
        <v>552.12468318012066</v>
      </c>
      <c r="X83" s="294">
        <f t="shared" si="19"/>
        <v>554.43076470690812</v>
      </c>
      <c r="Y83" s="294">
        <f t="shared" si="19"/>
        <v>543.31006482602697</v>
      </c>
      <c r="Z83" s="294">
        <f t="shared" si="19"/>
        <v>523.74012073333324</v>
      </c>
      <c r="AA83" s="294">
        <f t="shared" si="19"/>
        <v>528.49515826732556</v>
      </c>
      <c r="AB83" s="294">
        <f t="shared" si="19"/>
        <v>535.13800163518442</v>
      </c>
      <c r="AC83" s="305">
        <f t="shared" si="19"/>
        <v>518.6078279390681</v>
      </c>
    </row>
    <row r="84" spans="2:58" x14ac:dyDescent="0.35">
      <c r="AM84" s="1312" t="s">
        <v>456</v>
      </c>
      <c r="AN84" s="1313"/>
      <c r="AO84" s="1253" t="s">
        <v>325</v>
      </c>
      <c r="AP84" s="1254"/>
      <c r="AQ84" s="1254"/>
      <c r="AR84" s="1254"/>
      <c r="AS84" s="1254"/>
      <c r="AT84" s="1284"/>
      <c r="AU84" s="1309" t="s">
        <v>326</v>
      </c>
      <c r="AV84" s="1309"/>
      <c r="AW84" s="1309"/>
      <c r="AX84" s="1309"/>
      <c r="AY84" s="1309"/>
      <c r="AZ84" s="1309"/>
      <c r="BA84" s="1309"/>
      <c r="BB84" s="1309"/>
    </row>
    <row r="85" spans="2:58" x14ac:dyDescent="0.35">
      <c r="AM85" s="1314"/>
      <c r="AN85" s="1315"/>
      <c r="AO85" s="570">
        <v>2019</v>
      </c>
      <c r="AP85" s="1244">
        <v>2020</v>
      </c>
      <c r="AQ85" s="1245"/>
      <c r="AR85" s="1245"/>
      <c r="AS85" s="1252"/>
      <c r="AT85" s="570">
        <v>2021</v>
      </c>
      <c r="AU85" s="1279">
        <v>2021</v>
      </c>
      <c r="AV85" s="1280"/>
      <c r="AW85" s="1281"/>
      <c r="AX85" s="1279">
        <v>2022</v>
      </c>
      <c r="AY85" s="1280"/>
      <c r="AZ85" s="1280"/>
      <c r="BA85" s="1281"/>
      <c r="BB85" s="285">
        <v>2023</v>
      </c>
    </row>
    <row r="86" spans="2:58" x14ac:dyDescent="0.35">
      <c r="AM86" s="1314"/>
      <c r="AN86" s="1315"/>
      <c r="AO86" s="548" t="s">
        <v>327</v>
      </c>
      <c r="AP86" s="154" t="s">
        <v>328</v>
      </c>
      <c r="AQ86" s="153" t="s">
        <v>329</v>
      </c>
      <c r="AR86" s="153" t="s">
        <v>238</v>
      </c>
      <c r="AS86" s="224" t="s">
        <v>327</v>
      </c>
      <c r="AT86" s="548" t="s">
        <v>328</v>
      </c>
      <c r="AU86" s="428" t="s">
        <v>329</v>
      </c>
      <c r="AV86" s="429" t="s">
        <v>238</v>
      </c>
      <c r="AW86" s="443" t="s">
        <v>327</v>
      </c>
      <c r="AX86" s="428" t="s">
        <v>328</v>
      </c>
      <c r="AY86" s="429" t="s">
        <v>329</v>
      </c>
      <c r="AZ86" s="429" t="s">
        <v>238</v>
      </c>
      <c r="BA86" s="443" t="s">
        <v>327</v>
      </c>
      <c r="BB86" s="458" t="s">
        <v>328</v>
      </c>
    </row>
    <row r="87" spans="2:58" ht="27.65" customHeight="1" x14ac:dyDescent="0.35">
      <c r="AM87" s="564" t="s">
        <v>457</v>
      </c>
      <c r="AN87" s="558"/>
      <c r="AO87" s="565">
        <v>4.8</v>
      </c>
      <c r="AP87" s="542">
        <v>3.9</v>
      </c>
      <c r="AQ87" s="542">
        <v>3.2</v>
      </c>
      <c r="AR87" s="542">
        <v>3.8</v>
      </c>
      <c r="AS87" s="542">
        <v>3.7</v>
      </c>
      <c r="AT87" s="542">
        <v>3.7</v>
      </c>
      <c r="AU87" s="571">
        <v>3.7</v>
      </c>
      <c r="AV87" s="555">
        <v>3.7</v>
      </c>
      <c r="AW87" s="555">
        <v>3.8</v>
      </c>
      <c r="AX87" s="555">
        <v>3.8</v>
      </c>
      <c r="AY87" s="555">
        <v>3.9</v>
      </c>
      <c r="AZ87" s="555">
        <v>3.9</v>
      </c>
      <c r="BA87" s="555">
        <v>4</v>
      </c>
      <c r="BB87" s="545">
        <v>4</v>
      </c>
    </row>
    <row r="88" spans="2:58" ht="27.65" customHeight="1" x14ac:dyDescent="0.35">
      <c r="AM88" s="473" t="s">
        <v>458</v>
      </c>
      <c r="AN88" s="290"/>
      <c r="AO88" s="563">
        <v>3.3969999999999998</v>
      </c>
      <c r="AP88" s="149">
        <v>4.1660000000000004</v>
      </c>
      <c r="AQ88" s="149">
        <v>-7.6660000000000004</v>
      </c>
      <c r="AR88" s="149">
        <v>-0.84299999999999997</v>
      </c>
      <c r="AS88" s="149">
        <v>2.097</v>
      </c>
      <c r="AT88" s="149">
        <v>9.5879999999999992</v>
      </c>
      <c r="AU88" s="316">
        <v>14.488</v>
      </c>
      <c r="AV88" s="292">
        <v>9.7850000000000001</v>
      </c>
      <c r="AW88" s="292">
        <v>5.202</v>
      </c>
      <c r="AX88" s="292">
        <v>5.4939999999999998</v>
      </c>
      <c r="AY88" s="292">
        <v>5.7560000000000002</v>
      </c>
      <c r="AZ88" s="292">
        <v>4.133</v>
      </c>
      <c r="BA88" s="292">
        <v>3.5270000000000001</v>
      </c>
      <c r="BB88" s="293">
        <v>3.488</v>
      </c>
    </row>
    <row r="89" spans="2:58" x14ac:dyDescent="0.35">
      <c r="AM89" s="156" t="s">
        <v>459</v>
      </c>
      <c r="AO89" s="149">
        <f t="shared" ref="AO89:AT89" si="20">AO88</f>
        <v>3.3969999999999998</v>
      </c>
      <c r="AP89" s="149">
        <f t="shared" si="20"/>
        <v>4.1660000000000004</v>
      </c>
      <c r="AQ89" s="149">
        <f t="shared" si="20"/>
        <v>-7.6660000000000004</v>
      </c>
      <c r="AR89" s="149">
        <f t="shared" si="20"/>
        <v>-0.84299999999999997</v>
      </c>
      <c r="AS89" s="149">
        <f t="shared" si="20"/>
        <v>2.097</v>
      </c>
      <c r="AT89" s="149">
        <f t="shared" si="20"/>
        <v>9.5879999999999992</v>
      </c>
      <c r="AU89" s="562">
        <f t="shared" ref="AU89:BB89" si="21">N44</f>
        <v>8.0081568848658691</v>
      </c>
      <c r="AV89" s="562">
        <f t="shared" si="21"/>
        <v>11.807223761379305</v>
      </c>
      <c r="AW89" s="562">
        <f t="shared" si="21"/>
        <v>7.3516092986590564</v>
      </c>
      <c r="AX89" s="562">
        <f t="shared" si="21"/>
        <v>10.128423587170188</v>
      </c>
      <c r="AY89" s="562">
        <f t="shared" si="21"/>
        <v>14.319485516488072</v>
      </c>
      <c r="AZ89" s="562">
        <f t="shared" si="21"/>
        <v>7.6835915771726215</v>
      </c>
      <c r="BA89" s="562">
        <f t="shared" si="21"/>
        <v>5.714466706266963</v>
      </c>
      <c r="BB89" s="562">
        <f t="shared" si="21"/>
        <v>4.9749339639030277</v>
      </c>
    </row>
    <row r="90" spans="2:58" x14ac:dyDescent="0.35">
      <c r="AM90" s="1316" t="s">
        <v>460</v>
      </c>
      <c r="AN90" s="1317"/>
      <c r="AO90" s="563"/>
      <c r="AP90" s="149"/>
      <c r="AQ90" s="149"/>
      <c r="AR90" s="149"/>
      <c r="AS90" s="149"/>
      <c r="AT90" s="149"/>
      <c r="AU90" s="316"/>
      <c r="AV90" s="292"/>
      <c r="AW90" s="292"/>
      <c r="AX90" s="292"/>
      <c r="AY90" s="292"/>
      <c r="AZ90" s="292"/>
      <c r="BA90" s="292"/>
      <c r="BB90" s="293"/>
    </row>
    <row r="91" spans="2:58" ht="27.65" customHeight="1" x14ac:dyDescent="0.35">
      <c r="AM91" s="187" t="s">
        <v>461</v>
      </c>
      <c r="AN91" s="178"/>
      <c r="AO91" s="164">
        <v>2368</v>
      </c>
      <c r="AP91" s="159">
        <v>2391</v>
      </c>
      <c r="AQ91" s="159">
        <v>2410</v>
      </c>
      <c r="AR91" s="159">
        <v>2432</v>
      </c>
      <c r="AS91" s="159">
        <v>2455</v>
      </c>
      <c r="AT91" s="159">
        <v>2477</v>
      </c>
      <c r="AU91" s="554">
        <v>2500</v>
      </c>
      <c r="AV91" s="295">
        <v>2523</v>
      </c>
      <c r="AW91" s="295">
        <v>2546</v>
      </c>
      <c r="AX91" s="295">
        <v>2571</v>
      </c>
      <c r="AY91" s="295">
        <v>2595</v>
      </c>
      <c r="AZ91" s="295">
        <v>2621</v>
      </c>
      <c r="BA91" s="295">
        <v>2646</v>
      </c>
      <c r="BB91" s="277">
        <v>2672</v>
      </c>
    </row>
    <row r="92" spans="2:58" ht="27.65" customHeight="1" x14ac:dyDescent="0.35">
      <c r="AM92" s="187" t="s">
        <v>462</v>
      </c>
      <c r="AN92" s="178"/>
      <c r="AO92" s="312">
        <v>2357</v>
      </c>
      <c r="AP92" s="144">
        <v>2382</v>
      </c>
      <c r="AQ92" s="144">
        <v>2335</v>
      </c>
      <c r="AR92" s="144">
        <v>2330</v>
      </c>
      <c r="AS92" s="144">
        <v>2318</v>
      </c>
      <c r="AT92" s="144">
        <v>2339</v>
      </c>
      <c r="AU92" s="428">
        <v>2361</v>
      </c>
      <c r="AV92" s="429">
        <v>2379</v>
      </c>
      <c r="AW92" s="429">
        <v>2397</v>
      </c>
      <c r="AX92" s="429">
        <v>2417</v>
      </c>
      <c r="AY92" s="429">
        <v>2439</v>
      </c>
      <c r="AZ92" s="429">
        <v>2462</v>
      </c>
      <c r="BA92" s="429">
        <v>2486</v>
      </c>
      <c r="BB92" s="443">
        <v>2513</v>
      </c>
    </row>
    <row r="93" spans="2:58" ht="27.65" customHeight="1" x14ac:dyDescent="0.35">
      <c r="AM93" s="187" t="s">
        <v>463</v>
      </c>
      <c r="AN93" s="178"/>
      <c r="AO93" s="560">
        <v>2357.4</v>
      </c>
      <c r="AP93" s="497">
        <v>2381.6</v>
      </c>
      <c r="AQ93" s="497">
        <v>2334.5</v>
      </c>
      <c r="AR93" s="497">
        <v>2329.6</v>
      </c>
      <c r="AS93" s="497">
        <v>2341.6999999999998</v>
      </c>
      <c r="AT93" s="497">
        <v>2395.9</v>
      </c>
      <c r="AU93" s="551">
        <v>2478.4</v>
      </c>
      <c r="AV93" s="552">
        <v>2536.9</v>
      </c>
      <c r="AW93" s="552">
        <v>2569.3000000000002</v>
      </c>
      <c r="AX93" s="552">
        <v>2603.9</v>
      </c>
      <c r="AY93" s="552">
        <v>2640.6</v>
      </c>
      <c r="AZ93" s="552">
        <v>2667.4</v>
      </c>
      <c r="BA93" s="552">
        <v>2690.6</v>
      </c>
      <c r="BB93" s="553">
        <v>2713.8</v>
      </c>
      <c r="BC93" s="518"/>
      <c r="BD93" s="518"/>
      <c r="BE93" s="518"/>
      <c r="BF93" s="518"/>
    </row>
    <row r="94" spans="2:58" x14ac:dyDescent="0.35">
      <c r="AM94" s="1310" t="s">
        <v>464</v>
      </c>
      <c r="AN94" s="1311"/>
      <c r="AO94" s="312"/>
      <c r="AP94" s="144"/>
      <c r="AQ94" s="144"/>
      <c r="AR94" s="144"/>
      <c r="AS94" s="144"/>
      <c r="AT94" s="144"/>
      <c r="AU94" s="428"/>
      <c r="AV94" s="429"/>
      <c r="AW94" s="429"/>
      <c r="AX94" s="429"/>
      <c r="AY94" s="429"/>
      <c r="AZ94" s="429"/>
      <c r="BA94" s="429"/>
      <c r="BB94" s="443"/>
    </row>
    <row r="95" spans="2:58" ht="27.65" customHeight="1" x14ac:dyDescent="0.35">
      <c r="AM95" s="187" t="s">
        <v>461</v>
      </c>
      <c r="AN95" s="178"/>
      <c r="AO95" s="164">
        <f t="shared" ref="AO95:BB95" si="22">AO91-H83</f>
        <v>2089.828</v>
      </c>
      <c r="AP95" s="159">
        <f t="shared" si="22"/>
        <v>2105.1289999999999</v>
      </c>
      <c r="AQ95" s="159">
        <f t="shared" si="22"/>
        <v>2008.701</v>
      </c>
      <c r="AR95" s="159">
        <f t="shared" si="22"/>
        <v>2055.808</v>
      </c>
      <c r="AS95" s="159">
        <f t="shared" si="22"/>
        <v>2089.6390000000001</v>
      </c>
      <c r="AT95" s="159">
        <f t="shared" si="22"/>
        <v>2087.6590000000001</v>
      </c>
      <c r="AU95" s="554">
        <f t="shared" si="22"/>
        <v>2063.4070000000002</v>
      </c>
      <c r="AV95" s="295">
        <f t="shared" si="22"/>
        <v>2078.6639999999998</v>
      </c>
      <c r="AW95" s="295">
        <f t="shared" si="22"/>
        <v>2071.9381480000002</v>
      </c>
      <c r="AX95" s="295">
        <f t="shared" si="22"/>
        <v>2060.0127252000002</v>
      </c>
      <c r="AY95" s="295">
        <f t="shared" si="22"/>
        <v>2014.610968</v>
      </c>
      <c r="AZ95" s="295">
        <f t="shared" si="22"/>
        <v>2049.5452790933386</v>
      </c>
      <c r="BA95" s="295">
        <f t="shared" si="22"/>
        <v>2082.4974597048958</v>
      </c>
      <c r="BB95" s="277">
        <f t="shared" si="22"/>
        <v>2123.5664046211277</v>
      </c>
    </row>
    <row r="96" spans="2:58" ht="27.65" customHeight="1" x14ac:dyDescent="0.35">
      <c r="AM96" s="187" t="s">
        <v>462</v>
      </c>
      <c r="AN96" s="178"/>
      <c r="AO96" s="164">
        <f t="shared" ref="AO96:BB96" si="23">AO92-H83</f>
        <v>2078.828</v>
      </c>
      <c r="AP96" s="159">
        <f t="shared" si="23"/>
        <v>2096.1289999999999</v>
      </c>
      <c r="AQ96" s="159">
        <f t="shared" si="23"/>
        <v>1933.701</v>
      </c>
      <c r="AR96" s="159">
        <f t="shared" si="23"/>
        <v>1953.808</v>
      </c>
      <c r="AS96" s="159">
        <f t="shared" si="23"/>
        <v>1952.6390000000001</v>
      </c>
      <c r="AT96" s="159">
        <f t="shared" si="23"/>
        <v>1949.6590000000001</v>
      </c>
      <c r="AU96" s="554">
        <f t="shared" si="23"/>
        <v>1924.4069999999999</v>
      </c>
      <c r="AV96" s="295">
        <f t="shared" si="23"/>
        <v>1934.664</v>
      </c>
      <c r="AW96" s="295">
        <f t="shared" si="23"/>
        <v>1922.938148</v>
      </c>
      <c r="AX96" s="295">
        <f t="shared" si="23"/>
        <v>1906.0127252</v>
      </c>
      <c r="AY96" s="295">
        <f t="shared" si="23"/>
        <v>1858.610968</v>
      </c>
      <c r="AZ96" s="295">
        <f t="shared" si="23"/>
        <v>1890.5452790933386</v>
      </c>
      <c r="BA96" s="295">
        <f t="shared" si="23"/>
        <v>1922.4974597048958</v>
      </c>
      <c r="BB96" s="277">
        <f t="shared" si="23"/>
        <v>1964.5664046211277</v>
      </c>
    </row>
    <row r="97" spans="39:54" ht="27.65" customHeight="1" x14ac:dyDescent="0.35">
      <c r="AM97" s="546" t="s">
        <v>463</v>
      </c>
      <c r="AN97" s="561"/>
      <c r="AO97" s="556">
        <f t="shared" ref="AO97:BB97" si="24">AO93-H83</f>
        <v>2079.2280000000001</v>
      </c>
      <c r="AP97" s="549">
        <f t="shared" si="24"/>
        <v>2095.7289999999998</v>
      </c>
      <c r="AQ97" s="549">
        <f t="shared" si="24"/>
        <v>1933.201</v>
      </c>
      <c r="AR97" s="549">
        <f t="shared" si="24"/>
        <v>1953.4079999999999</v>
      </c>
      <c r="AS97" s="549">
        <f t="shared" si="24"/>
        <v>1976.3389999999999</v>
      </c>
      <c r="AT97" s="549">
        <f t="shared" si="24"/>
        <v>2006.5590000000002</v>
      </c>
      <c r="AU97" s="557">
        <f t="shared" si="24"/>
        <v>2041.807</v>
      </c>
      <c r="AV97" s="298">
        <f t="shared" si="24"/>
        <v>2092.5640000000003</v>
      </c>
      <c r="AW97" s="298">
        <f t="shared" si="24"/>
        <v>2095.2381480000004</v>
      </c>
      <c r="AX97" s="298">
        <f t="shared" si="24"/>
        <v>2092.9127252000003</v>
      </c>
      <c r="AY97" s="298">
        <f t="shared" si="24"/>
        <v>2060.2109679999999</v>
      </c>
      <c r="AZ97" s="298">
        <f t="shared" si="24"/>
        <v>2095.9452790933387</v>
      </c>
      <c r="BA97" s="298">
        <f t="shared" si="24"/>
        <v>2127.0974597048958</v>
      </c>
      <c r="BB97" s="482">
        <f t="shared" si="24"/>
        <v>2165.3664046211279</v>
      </c>
    </row>
  </sheetData>
  <mergeCells count="41">
    <mergeCell ref="AM94:AN94"/>
    <mergeCell ref="AM84:AN86"/>
    <mergeCell ref="I40:L40"/>
    <mergeCell ref="M40:P40"/>
    <mergeCell ref="M79:P79"/>
    <mergeCell ref="AM90:AN90"/>
    <mergeCell ref="Q40:R40"/>
    <mergeCell ref="Q79:R79"/>
    <mergeCell ref="D78:R78"/>
    <mergeCell ref="S78:AC78"/>
    <mergeCell ref="AX85:BA85"/>
    <mergeCell ref="U40:X40"/>
    <mergeCell ref="U79:X79"/>
    <mergeCell ref="Y40:AB40"/>
    <mergeCell ref="Y79:AB79"/>
    <mergeCell ref="B74:AC76"/>
    <mergeCell ref="B72:AC73"/>
    <mergeCell ref="B78:C80"/>
    <mergeCell ref="I79:L79"/>
    <mergeCell ref="E40:H40"/>
    <mergeCell ref="E79:H79"/>
    <mergeCell ref="AP85:AS85"/>
    <mergeCell ref="B39:C41"/>
    <mergeCell ref="AU84:BB84"/>
    <mergeCell ref="AU85:AW85"/>
    <mergeCell ref="B34:AC34"/>
    <mergeCell ref="B35:AC37"/>
    <mergeCell ref="AO84:AT84"/>
    <mergeCell ref="M7:P7"/>
    <mergeCell ref="Q7:R7"/>
    <mergeCell ref="D39:R39"/>
    <mergeCell ref="S39:AC39"/>
    <mergeCell ref="B1:AC1"/>
    <mergeCell ref="B6:C8"/>
    <mergeCell ref="E7:H7"/>
    <mergeCell ref="I7:L7"/>
    <mergeCell ref="U7:X7"/>
    <mergeCell ref="Y7:AB7"/>
    <mergeCell ref="B2:AC4"/>
    <mergeCell ref="D6:R6"/>
    <mergeCell ref="S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BZ86"/>
  <sheetViews>
    <sheetView topLeftCell="A7" zoomScale="70" zoomScaleNormal="70" workbookViewId="0">
      <selection activeCell="S27" sqref="S27:AC27"/>
    </sheetView>
  </sheetViews>
  <sheetFormatPr defaultColWidth="11.453125" defaultRowHeight="14.5" x14ac:dyDescent="0.35"/>
  <cols>
    <col min="2" max="2" width="49.453125" customWidth="1"/>
    <col min="6" max="25" width="6.453125" customWidth="1"/>
    <col min="27" max="27" width="10.1796875" customWidth="1"/>
  </cols>
  <sheetData>
    <row r="1" spans="2:31" x14ac:dyDescent="0.35">
      <c r="B1" s="1243" t="s">
        <v>52</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1" ht="14.65" customHeight="1" x14ac:dyDescent="0.35">
      <c r="B2" s="1275" t="s">
        <v>934</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2:31" ht="14.65" customHeight="1"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2:31" ht="5.65" customHeight="1"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2:31" ht="1.5" customHeight="1" x14ac:dyDescent="0.35">
      <c r="B5" s="1275"/>
      <c r="C5" s="1275"/>
      <c r="D5" s="1275"/>
      <c r="E5" s="1275"/>
      <c r="F5" s="1275"/>
      <c r="G5" s="1275"/>
      <c r="H5" s="1275"/>
      <c r="I5" s="1275"/>
      <c r="J5" s="1275"/>
      <c r="K5" s="1275"/>
      <c r="L5" s="1275"/>
      <c r="M5" s="1275"/>
      <c r="N5" s="1275"/>
      <c r="O5" s="1275"/>
      <c r="P5" s="1275"/>
      <c r="Q5" s="1275"/>
      <c r="R5" s="1275"/>
      <c r="S5" s="1275"/>
      <c r="T5" s="1275"/>
      <c r="U5" s="1275"/>
      <c r="V5" s="1275"/>
      <c r="W5" s="1275"/>
      <c r="X5" s="1275"/>
      <c r="Y5" s="1275"/>
      <c r="Z5" s="1275"/>
      <c r="AA5" s="1275"/>
      <c r="AB5" s="1275"/>
      <c r="AC5" s="1275"/>
    </row>
    <row r="6" spans="2:31" ht="14.65" customHeight="1" x14ac:dyDescent="0.35">
      <c r="B6" s="1275"/>
      <c r="C6" s="1275"/>
      <c r="D6" s="1275"/>
      <c r="E6" s="1275"/>
      <c r="F6" s="1275"/>
      <c r="G6" s="1275"/>
      <c r="H6" s="1275"/>
      <c r="I6" s="1275"/>
      <c r="J6" s="1275"/>
      <c r="K6" s="1275"/>
      <c r="L6" s="1275"/>
      <c r="M6" s="1275"/>
      <c r="N6" s="1275"/>
      <c r="O6" s="1275"/>
      <c r="P6" s="1275"/>
      <c r="Q6" s="1275"/>
      <c r="R6" s="1275"/>
      <c r="S6" s="1275"/>
      <c r="T6" s="1275"/>
      <c r="U6" s="1275"/>
      <c r="V6" s="1275"/>
      <c r="W6" s="1275"/>
      <c r="X6" s="1275"/>
      <c r="Y6" s="1275"/>
      <c r="Z6" s="1275"/>
      <c r="AA6" s="1275"/>
      <c r="AB6" s="1275"/>
      <c r="AC6" s="1275"/>
    </row>
    <row r="7" spans="2:31"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1" ht="14.65" customHeight="1" x14ac:dyDescent="0.35">
      <c r="B8" s="1276" t="s">
        <v>465</v>
      </c>
      <c r="C8" s="1256"/>
      <c r="D8" s="1253" t="s">
        <v>325</v>
      </c>
      <c r="E8" s="1254"/>
      <c r="F8" s="1254"/>
      <c r="G8" s="1254"/>
      <c r="H8" s="1254"/>
      <c r="I8" s="1254"/>
      <c r="J8" s="1254"/>
      <c r="K8" s="1254"/>
      <c r="L8" s="1254"/>
      <c r="M8" s="1254"/>
      <c r="N8" s="1254"/>
      <c r="O8" s="1254"/>
      <c r="P8" s="1254"/>
      <c r="Q8" s="1254"/>
      <c r="R8" s="1254"/>
      <c r="S8" s="1286" t="s">
        <v>326</v>
      </c>
      <c r="T8" s="1286"/>
      <c r="U8" s="1286"/>
      <c r="V8" s="1286"/>
      <c r="W8" s="1286"/>
      <c r="X8" s="1286"/>
      <c r="Y8" s="1286"/>
      <c r="Z8" s="1286"/>
      <c r="AA8" s="1286"/>
      <c r="AB8" s="1286"/>
      <c r="AC8" s="1287"/>
    </row>
    <row r="9" spans="2:31" x14ac:dyDescent="0.35">
      <c r="B9" s="1277"/>
      <c r="C9" s="1278"/>
      <c r="D9" s="154">
        <v>2018</v>
      </c>
      <c r="E9" s="1291">
        <v>2019</v>
      </c>
      <c r="F9" s="1292"/>
      <c r="G9" s="1292"/>
      <c r="H9" s="1299"/>
      <c r="I9" s="1291">
        <v>2020</v>
      </c>
      <c r="J9" s="1292"/>
      <c r="K9" s="1292"/>
      <c r="L9" s="1292"/>
      <c r="M9" s="1291">
        <v>2021</v>
      </c>
      <c r="N9" s="1292"/>
      <c r="O9" s="1292"/>
      <c r="P9" s="1292"/>
      <c r="Q9" s="1282">
        <v>2022</v>
      </c>
      <c r="R9" s="1283"/>
      <c r="S9" s="317"/>
      <c r="T9" s="318"/>
      <c r="U9" s="1279">
        <v>2023</v>
      </c>
      <c r="V9" s="1280"/>
      <c r="W9" s="1280"/>
      <c r="X9" s="1280"/>
      <c r="Y9" s="1279">
        <v>2024</v>
      </c>
      <c r="Z9" s="1280"/>
      <c r="AA9" s="1280"/>
      <c r="AB9" s="1281"/>
      <c r="AC9" s="285">
        <v>2025</v>
      </c>
    </row>
    <row r="10" spans="2:31" x14ac:dyDescent="0.35">
      <c r="B10" s="1289"/>
      <c r="C10" s="1290"/>
      <c r="D10" s="154" t="s">
        <v>327</v>
      </c>
      <c r="E10" s="154" t="s">
        <v>328</v>
      </c>
      <c r="F10" s="153" t="s">
        <v>329</v>
      </c>
      <c r="G10" s="153" t="s">
        <v>238</v>
      </c>
      <c r="H10" s="224" t="s">
        <v>327</v>
      </c>
      <c r="I10" s="153" t="s">
        <v>328</v>
      </c>
      <c r="J10" s="153" t="s">
        <v>329</v>
      </c>
      <c r="K10" s="153" t="s">
        <v>238</v>
      </c>
      <c r="L10" s="153" t="s">
        <v>327</v>
      </c>
      <c r="M10" s="154" t="s">
        <v>328</v>
      </c>
      <c r="N10" s="153" t="s">
        <v>329</v>
      </c>
      <c r="O10" s="153" t="s">
        <v>238</v>
      </c>
      <c r="P10" s="177" t="s">
        <v>327</v>
      </c>
      <c r="Q10" s="175" t="s">
        <v>328</v>
      </c>
      <c r="R10" s="157" t="s">
        <v>329</v>
      </c>
      <c r="S10" s="429" t="s">
        <v>238</v>
      </c>
      <c r="T10" s="443" t="s">
        <v>327</v>
      </c>
      <c r="U10" s="428" t="s">
        <v>328</v>
      </c>
      <c r="V10" s="429" t="s">
        <v>329</v>
      </c>
      <c r="W10" s="429" t="s">
        <v>238</v>
      </c>
      <c r="X10" s="429" t="s">
        <v>327</v>
      </c>
      <c r="Y10" s="428" t="s">
        <v>328</v>
      </c>
      <c r="Z10" s="295" t="s">
        <v>329</v>
      </c>
      <c r="AA10" s="429" t="s">
        <v>238</v>
      </c>
      <c r="AB10" s="443" t="s">
        <v>327</v>
      </c>
      <c r="AC10" s="458" t="s">
        <v>328</v>
      </c>
    </row>
    <row r="11" spans="2:31" x14ac:dyDescent="0.35">
      <c r="B11" s="534" t="s">
        <v>940</v>
      </c>
      <c r="C11" s="69" t="s">
        <v>587</v>
      </c>
      <c r="D11" s="586"/>
      <c r="E11" s="587"/>
      <c r="F11" s="620">
        <v>60.5</v>
      </c>
      <c r="G11" s="620">
        <v>81.400000000000006</v>
      </c>
      <c r="H11" s="620">
        <f>'Haver Pivoted'!GS42</f>
        <v>82.1</v>
      </c>
      <c r="I11" s="620">
        <f>'Haver Pivoted'!GT42</f>
        <v>80</v>
      </c>
      <c r="J11" s="620">
        <f>'Haver Pivoted'!GU42</f>
        <v>975.7</v>
      </c>
      <c r="K11" s="620">
        <f>'Haver Pivoted'!GV42</f>
        <v>1108.8</v>
      </c>
      <c r="L11" s="620">
        <f>'Haver Pivoted'!GW42</f>
        <v>462.2</v>
      </c>
      <c r="M11" s="620">
        <f>'Haver Pivoted'!GX42</f>
        <v>387.4</v>
      </c>
      <c r="N11" s="620">
        <f>'Haver Pivoted'!GY42</f>
        <v>693.9</v>
      </c>
      <c r="O11" s="620">
        <f>'Haver Pivoted'!GZ42</f>
        <v>545.6</v>
      </c>
      <c r="P11" s="68">
        <f>'Haver Pivoted'!HA42</f>
        <v>288.3</v>
      </c>
      <c r="Q11" s="68">
        <f>'Haver Pivoted'!HB42</f>
        <v>144.5</v>
      </c>
      <c r="R11" s="626">
        <f>'Haver Pivoted'!HC42</f>
        <v>122.9</v>
      </c>
      <c r="S11" s="619">
        <f t="shared" ref="S11:AC11" si="0">S12+S13</f>
        <v>104.85936842105264</v>
      </c>
      <c r="T11" s="619">
        <f t="shared" si="0"/>
        <v>88.50800000000001</v>
      </c>
      <c r="U11" s="619">
        <f t="shared" si="0"/>
        <v>88.50800000000001</v>
      </c>
      <c r="V11" s="619">
        <f t="shared" si="0"/>
        <v>88.50800000000001</v>
      </c>
      <c r="W11" s="619">
        <f t="shared" si="0"/>
        <v>88.50800000000001</v>
      </c>
      <c r="X11" s="619">
        <f t="shared" si="0"/>
        <v>85.631</v>
      </c>
      <c r="Y11" s="619">
        <f t="shared" si="0"/>
        <v>85.631</v>
      </c>
      <c r="Z11" s="619">
        <f t="shared" si="0"/>
        <v>85.631</v>
      </c>
      <c r="AA11" s="619">
        <f t="shared" si="0"/>
        <v>85.631</v>
      </c>
      <c r="AB11" s="619">
        <f t="shared" si="0"/>
        <v>90.463999999999999</v>
      </c>
      <c r="AC11" s="605">
        <f t="shared" si="0"/>
        <v>90.463999999999999</v>
      </c>
      <c r="AD11" s="585">
        <f>R11-R51</f>
        <v>-34.799999999999983</v>
      </c>
      <c r="AE11" s="585">
        <f>S11-S51</f>
        <v>-10.920285337489517</v>
      </c>
    </row>
    <row r="12" spans="2:31" ht="16.5" customHeight="1" x14ac:dyDescent="0.35">
      <c r="B12" s="475" t="s">
        <v>466</v>
      </c>
      <c r="C12" s="69"/>
      <c r="D12" s="53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N11-N13</f>
        <v>90.299999999999955</v>
      </c>
      <c r="O12" s="68">
        <f>O11-O13</f>
        <v>89.583520000000021</v>
      </c>
      <c r="P12" s="68">
        <f>P11-P13</f>
        <v>83.4</v>
      </c>
      <c r="Q12" s="68">
        <f>Q11-Q13</f>
        <v>83.8</v>
      </c>
      <c r="R12" s="483">
        <f>R11-R13</f>
        <v>69.400000000000006</v>
      </c>
      <c r="S12" s="354">
        <f t="shared" ref="S12:AC12" si="2">AVERAGE($F$11:$I$11)</f>
        <v>76</v>
      </c>
      <c r="T12" s="354">
        <f t="shared" si="2"/>
        <v>76</v>
      </c>
      <c r="U12" s="354">
        <f t="shared" si="2"/>
        <v>76</v>
      </c>
      <c r="V12" s="354">
        <f t="shared" si="2"/>
        <v>76</v>
      </c>
      <c r="W12" s="354">
        <f t="shared" si="2"/>
        <v>76</v>
      </c>
      <c r="X12" s="354">
        <f t="shared" si="2"/>
        <v>76</v>
      </c>
      <c r="Y12" s="354">
        <f t="shared" si="2"/>
        <v>76</v>
      </c>
      <c r="Z12" s="354">
        <f t="shared" si="2"/>
        <v>76</v>
      </c>
      <c r="AA12" s="354">
        <f t="shared" si="2"/>
        <v>76</v>
      </c>
      <c r="AB12" s="354">
        <f t="shared" si="2"/>
        <v>76</v>
      </c>
      <c r="AC12" s="461">
        <f t="shared" si="2"/>
        <v>76</v>
      </c>
      <c r="AD12" s="585">
        <f t="shared" ref="AD12:AE46" si="3">R12-R52</f>
        <v>-26.499999999999986</v>
      </c>
      <c r="AE12" s="585">
        <f t="shared" si="3"/>
        <v>-0.10000000000000853</v>
      </c>
    </row>
    <row r="13" spans="2:31" x14ac:dyDescent="0.35">
      <c r="B13" s="474" t="s">
        <v>467</v>
      </c>
      <c r="C13" s="69"/>
      <c r="D13" s="534"/>
      <c r="E13" s="69"/>
      <c r="F13" s="624"/>
      <c r="G13" s="624"/>
      <c r="H13" s="68">
        <f>SUM(H16:H25)</f>
        <v>0</v>
      </c>
      <c r="I13" s="68">
        <f>SUM(I16:I25)</f>
        <v>0</v>
      </c>
      <c r="J13" s="68">
        <f t="shared" ref="J13:R13" si="4">SUM(J16:J25)+J14</f>
        <v>989.5</v>
      </c>
      <c r="K13" s="68">
        <f t="shared" si="4"/>
        <v>1126.5999999999999</v>
      </c>
      <c r="L13" s="68">
        <f t="shared" si="4"/>
        <v>538.40000000000009</v>
      </c>
      <c r="M13" s="68">
        <f t="shared" si="4"/>
        <v>307.8</v>
      </c>
      <c r="N13" s="71">
        <f t="shared" si="4"/>
        <v>603.6</v>
      </c>
      <c r="O13" s="71">
        <f>SUM(O16:O25)+O14</f>
        <v>456.01648</v>
      </c>
      <c r="P13" s="71">
        <f>SUM(P16:P25)+P14</f>
        <v>204.9</v>
      </c>
      <c r="Q13" s="71">
        <f t="shared" si="4"/>
        <v>60.7</v>
      </c>
      <c r="R13" s="398">
        <f t="shared" si="4"/>
        <v>53.5</v>
      </c>
      <c r="S13" s="354">
        <f>SUM(S16:S27)+S14</f>
        <v>28.859368421052633</v>
      </c>
      <c r="T13" s="354">
        <f t="shared" ref="T13:AC13" si="5">SUM(T16:T27)+T14</f>
        <v>12.508000000000003</v>
      </c>
      <c r="U13" s="354">
        <f t="shared" si="5"/>
        <v>12.508000000000003</v>
      </c>
      <c r="V13" s="354">
        <f t="shared" si="5"/>
        <v>12.508000000000003</v>
      </c>
      <c r="W13" s="354">
        <f t="shared" si="5"/>
        <v>12.508000000000003</v>
      </c>
      <c r="X13" s="354">
        <f t="shared" si="5"/>
        <v>9.6310000000000002</v>
      </c>
      <c r="Y13" s="354">
        <f t="shared" si="5"/>
        <v>9.6310000000000002</v>
      </c>
      <c r="Z13" s="354">
        <f t="shared" si="5"/>
        <v>9.6310000000000002</v>
      </c>
      <c r="AA13" s="354">
        <f t="shared" si="5"/>
        <v>9.6310000000000002</v>
      </c>
      <c r="AB13" s="354">
        <f t="shared" si="5"/>
        <v>14.464</v>
      </c>
      <c r="AC13" s="354">
        <f t="shared" si="5"/>
        <v>14.464</v>
      </c>
      <c r="AD13" s="585">
        <f t="shared" si="3"/>
        <v>-8.2999999999999972</v>
      </c>
      <c r="AE13" s="585">
        <f t="shared" si="3"/>
        <v>-10.820285337489512</v>
      </c>
    </row>
    <row r="14" spans="2:31" x14ac:dyDescent="0.35">
      <c r="B14" s="472" t="s">
        <v>50</v>
      </c>
      <c r="C14" s="70" t="s">
        <v>377</v>
      </c>
      <c r="D14" s="411"/>
      <c r="E14" s="70"/>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483">
        <f>'Haver Pivoted'!HC49</f>
        <v>0</v>
      </c>
      <c r="S14" s="354"/>
      <c r="T14" s="354"/>
      <c r="U14" s="354"/>
      <c r="V14" s="354"/>
      <c r="W14" s="354"/>
      <c r="X14" s="354"/>
      <c r="Y14" s="354"/>
      <c r="Z14" s="606"/>
      <c r="AA14" s="606"/>
      <c r="AB14" s="606"/>
      <c r="AC14" s="614"/>
      <c r="AD14" s="585">
        <f t="shared" si="3"/>
        <v>0</v>
      </c>
      <c r="AE14" s="585">
        <f t="shared" si="3"/>
        <v>0</v>
      </c>
    </row>
    <row r="15" spans="2:31" x14ac:dyDescent="0.35">
      <c r="B15" s="474" t="s">
        <v>468</v>
      </c>
      <c r="C15" s="69"/>
      <c r="D15" s="534"/>
      <c r="E15" s="69"/>
      <c r="F15" s="624"/>
      <c r="G15" s="624"/>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483">
        <f t="shared" si="6"/>
        <v>53.5</v>
      </c>
      <c r="S15" s="607">
        <f t="shared" si="6"/>
        <v>28.859368421052633</v>
      </c>
      <c r="T15" s="607">
        <f t="shared" si="6"/>
        <v>8.886000000000001</v>
      </c>
      <c r="U15" s="607">
        <f t="shared" si="6"/>
        <v>8.886000000000001</v>
      </c>
      <c r="V15" s="607">
        <f t="shared" si="6"/>
        <v>8.886000000000001</v>
      </c>
      <c r="W15" s="607">
        <f t="shared" si="6"/>
        <v>8.886000000000001</v>
      </c>
      <c r="X15" s="607">
        <f t="shared" si="6"/>
        <v>0.2</v>
      </c>
      <c r="Y15" s="607">
        <f t="shared" si="6"/>
        <v>0.2</v>
      </c>
      <c r="Z15" s="607">
        <f t="shared" si="6"/>
        <v>0.2</v>
      </c>
      <c r="AA15" s="607">
        <f t="shared" si="6"/>
        <v>0.2</v>
      </c>
      <c r="AB15" s="607">
        <f t="shared" si="6"/>
        <v>0</v>
      </c>
      <c r="AC15" s="622">
        <f t="shared" si="6"/>
        <v>0</v>
      </c>
      <c r="AD15" s="585">
        <f t="shared" si="3"/>
        <v>-8.2999999999999972</v>
      </c>
      <c r="AE15" s="585">
        <f t="shared" si="3"/>
        <v>-10.820285337489512</v>
      </c>
    </row>
    <row r="16" spans="2:31" x14ac:dyDescent="0.35">
      <c r="B16" s="594" t="s">
        <v>145</v>
      </c>
      <c r="C16" s="51" t="s">
        <v>469</v>
      </c>
      <c r="D16" s="410"/>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483">
        <f>'Haver Pivoted'!HC53</f>
        <v>0</v>
      </c>
      <c r="S16" s="354"/>
      <c r="T16" s="354"/>
      <c r="U16" s="354"/>
      <c r="V16" s="608"/>
      <c r="W16" s="608"/>
      <c r="X16" s="608"/>
      <c r="Y16" s="608"/>
      <c r="Z16" s="606"/>
      <c r="AA16" s="606"/>
      <c r="AB16" s="606"/>
      <c r="AC16" s="614"/>
      <c r="AD16" s="585">
        <f t="shared" si="3"/>
        <v>0</v>
      </c>
      <c r="AE16" s="585">
        <f t="shared" si="3"/>
        <v>0</v>
      </c>
    </row>
    <row r="17" spans="2:31" x14ac:dyDescent="0.35">
      <c r="B17" s="594" t="s">
        <v>143</v>
      </c>
      <c r="C17" s="51" t="s">
        <v>470</v>
      </c>
      <c r="D17" s="410"/>
      <c r="E17" s="51"/>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483">
        <f>'Haver Pivoted'!HC51</f>
        <v>0</v>
      </c>
      <c r="S17" s="354">
        <f t="shared" ref="S17:AC17" si="7">R17</f>
        <v>0</v>
      </c>
      <c r="T17" s="354">
        <f t="shared" si="7"/>
        <v>0</v>
      </c>
      <c r="U17" s="354">
        <f t="shared" si="7"/>
        <v>0</v>
      </c>
      <c r="V17" s="354">
        <f t="shared" si="7"/>
        <v>0</v>
      </c>
      <c r="W17" s="354">
        <f t="shared" si="7"/>
        <v>0</v>
      </c>
      <c r="X17" s="354">
        <f t="shared" si="7"/>
        <v>0</v>
      </c>
      <c r="Y17" s="354">
        <f t="shared" si="7"/>
        <v>0</v>
      </c>
      <c r="Z17" s="354">
        <f t="shared" si="7"/>
        <v>0</v>
      </c>
      <c r="AA17" s="354">
        <f t="shared" si="7"/>
        <v>0</v>
      </c>
      <c r="AB17" s="354">
        <f t="shared" si="7"/>
        <v>0</v>
      </c>
      <c r="AC17" s="354">
        <f t="shared" si="7"/>
        <v>0</v>
      </c>
      <c r="AD17" s="585">
        <f t="shared" si="3"/>
        <v>0</v>
      </c>
      <c r="AE17" s="585">
        <f t="shared" si="3"/>
        <v>0</v>
      </c>
    </row>
    <row r="18" spans="2:31" x14ac:dyDescent="0.35">
      <c r="B18" s="594" t="s">
        <v>142</v>
      </c>
      <c r="C18" s="70" t="s">
        <v>471</v>
      </c>
      <c r="D18" s="411"/>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83">
        <f>'Haver Pivoted'!HC50</f>
        <v>0.2</v>
      </c>
      <c r="S18" s="354">
        <f t="shared" ref="S18:AC18" si="8">S30</f>
        <v>0</v>
      </c>
      <c r="T18" s="354">
        <f t="shared" si="8"/>
        <v>0</v>
      </c>
      <c r="U18" s="354">
        <f t="shared" si="8"/>
        <v>0</v>
      </c>
      <c r="V18" s="354">
        <f t="shared" si="8"/>
        <v>0</v>
      </c>
      <c r="W18" s="354">
        <f t="shared" si="8"/>
        <v>0</v>
      </c>
      <c r="X18" s="354">
        <f t="shared" si="8"/>
        <v>0</v>
      </c>
      <c r="Y18" s="354">
        <f t="shared" si="8"/>
        <v>0</v>
      </c>
      <c r="Z18" s="354">
        <f t="shared" si="8"/>
        <v>0</v>
      </c>
      <c r="AA18" s="354">
        <f t="shared" si="8"/>
        <v>0</v>
      </c>
      <c r="AB18" s="354">
        <f t="shared" si="8"/>
        <v>0</v>
      </c>
      <c r="AC18" s="461">
        <f t="shared" si="8"/>
        <v>0</v>
      </c>
      <c r="AD18" s="585">
        <f t="shared" si="3"/>
        <v>0</v>
      </c>
      <c r="AE18" s="585">
        <f t="shared" si="3"/>
        <v>0</v>
      </c>
    </row>
    <row r="19" spans="2:31" x14ac:dyDescent="0.35">
      <c r="B19" s="594" t="s">
        <v>472</v>
      </c>
      <c r="C19" s="70" t="s">
        <v>357</v>
      </c>
      <c r="D19" s="411"/>
      <c r="E19" s="70"/>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592">
        <f>'Haver Pivoted'!HC54</f>
        <v>14.4</v>
      </c>
      <c r="S19" s="354">
        <f>'Provider Relief'!S13</f>
        <v>6.947368421052631</v>
      </c>
      <c r="T19" s="354">
        <f>'Provider Relief'!T13</f>
        <v>0</v>
      </c>
      <c r="U19" s="354"/>
      <c r="V19" s="354"/>
      <c r="W19" s="354"/>
      <c r="X19" s="354"/>
      <c r="Y19" s="354"/>
      <c r="Z19" s="606"/>
      <c r="AA19" s="606"/>
      <c r="AB19" s="606"/>
      <c r="AC19" s="614"/>
      <c r="AD19" s="585">
        <f t="shared" si="3"/>
        <v>-11.6</v>
      </c>
      <c r="AE19" s="585">
        <f t="shared" si="3"/>
        <v>-10.820285337489508</v>
      </c>
    </row>
    <row r="20" spans="2:31" x14ac:dyDescent="0.35">
      <c r="B20" s="594" t="s">
        <v>144</v>
      </c>
      <c r="C20" s="70" t="s">
        <v>473</v>
      </c>
      <c r="D20" s="411"/>
      <c r="E20" s="70"/>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592">
        <f>'Haver Pivoted'!HC52</f>
        <v>22.3</v>
      </c>
      <c r="S20" s="354">
        <f t="shared" ref="S20:AC20" si="9">S37</f>
        <v>5.6120000000000001</v>
      </c>
      <c r="T20" s="354">
        <f t="shared" si="9"/>
        <v>0.48599999999999993</v>
      </c>
      <c r="U20" s="354">
        <f t="shared" si="9"/>
        <v>0.48599999999999993</v>
      </c>
      <c r="V20" s="354">
        <f t="shared" si="9"/>
        <v>0.48599999999999993</v>
      </c>
      <c r="W20" s="354">
        <f t="shared" si="9"/>
        <v>0.48599999999999993</v>
      </c>
      <c r="X20" s="354">
        <f t="shared" si="9"/>
        <v>0</v>
      </c>
      <c r="Y20" s="354">
        <f t="shared" si="9"/>
        <v>0</v>
      </c>
      <c r="Z20" s="354">
        <f t="shared" si="9"/>
        <v>0</v>
      </c>
      <c r="AA20" s="354">
        <f t="shared" si="9"/>
        <v>0</v>
      </c>
      <c r="AB20" s="354">
        <f t="shared" si="9"/>
        <v>0</v>
      </c>
      <c r="AC20" s="461">
        <f t="shared" si="9"/>
        <v>0</v>
      </c>
      <c r="AD20" s="585">
        <f t="shared" si="3"/>
        <v>3.3000000000000007</v>
      </c>
      <c r="AE20" s="585">
        <f t="shared" si="3"/>
        <v>0</v>
      </c>
    </row>
    <row r="21" spans="2:31" x14ac:dyDescent="0.35">
      <c r="B21" s="594" t="s">
        <v>148</v>
      </c>
      <c r="C21" s="70" t="s">
        <v>474</v>
      </c>
      <c r="D21" s="411"/>
      <c r="E21" s="70"/>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483">
        <f>'Haver Pivoted'!HC55</f>
        <v>0</v>
      </c>
      <c r="S21" s="354">
        <f t="shared" ref="S21:AC21" si="10">R21</f>
        <v>0</v>
      </c>
      <c r="T21" s="354">
        <f t="shared" si="10"/>
        <v>0</v>
      </c>
      <c r="U21" s="354">
        <f t="shared" si="10"/>
        <v>0</v>
      </c>
      <c r="V21" s="354">
        <f t="shared" si="10"/>
        <v>0</v>
      </c>
      <c r="W21" s="354">
        <f t="shared" si="10"/>
        <v>0</v>
      </c>
      <c r="X21" s="354">
        <f t="shared" si="10"/>
        <v>0</v>
      </c>
      <c r="Y21" s="354">
        <f t="shared" si="10"/>
        <v>0</v>
      </c>
      <c r="Z21" s="354">
        <f t="shared" si="10"/>
        <v>0</v>
      </c>
      <c r="AA21" s="354">
        <f t="shared" si="10"/>
        <v>0</v>
      </c>
      <c r="AB21" s="354">
        <f t="shared" si="10"/>
        <v>0</v>
      </c>
      <c r="AC21" s="354">
        <f t="shared" si="10"/>
        <v>0</v>
      </c>
      <c r="AD21" s="585">
        <f t="shared" si="3"/>
        <v>0</v>
      </c>
      <c r="AE21" s="585">
        <f t="shared" si="3"/>
        <v>0</v>
      </c>
    </row>
    <row r="22" spans="2:31" x14ac:dyDescent="0.35">
      <c r="B22" s="594" t="s">
        <v>475</v>
      </c>
      <c r="C22" s="70" t="s">
        <v>855</v>
      </c>
      <c r="D22" s="409"/>
      <c r="E22" s="68"/>
      <c r="F22" s="68"/>
      <c r="G22" s="68"/>
      <c r="H22" s="68"/>
      <c r="I22" s="68"/>
      <c r="J22" s="68"/>
      <c r="K22" s="68"/>
      <c r="L22" s="68"/>
      <c r="M22" s="68"/>
      <c r="N22" s="68">
        <f>'Haver Pivoted'!GY87</f>
        <v>11.3</v>
      </c>
      <c r="O22" s="68">
        <f>'Haver Pivoted'!GZ87</f>
        <v>10.4</v>
      </c>
      <c r="P22" s="68">
        <f>'Haver Pivoted'!HA87</f>
        <v>5.3</v>
      </c>
      <c r="Q22" s="68">
        <f>'Haver Pivoted'!HB87</f>
        <v>2.4</v>
      </c>
      <c r="R22" s="483">
        <f>'Haver Pivoted'!HC87</f>
        <v>0.3</v>
      </c>
      <c r="S22" s="354">
        <v>0</v>
      </c>
      <c r="T22" s="354">
        <v>0</v>
      </c>
      <c r="U22" s="354">
        <v>0</v>
      </c>
      <c r="V22" s="354">
        <v>0</v>
      </c>
      <c r="W22" s="354">
        <v>0</v>
      </c>
      <c r="X22" s="354">
        <v>0</v>
      </c>
      <c r="Y22" s="354">
        <v>0</v>
      </c>
      <c r="Z22" s="354">
        <v>0</v>
      </c>
      <c r="AA22" s="354">
        <v>0</v>
      </c>
      <c r="AB22" s="354">
        <v>0</v>
      </c>
      <c r="AC22" s="354">
        <v>0</v>
      </c>
      <c r="AD22" s="585">
        <f t="shared" si="3"/>
        <v>0</v>
      </c>
      <c r="AE22" s="585">
        <f t="shared" si="3"/>
        <v>0</v>
      </c>
    </row>
    <row r="23" spans="2:31" x14ac:dyDescent="0.35">
      <c r="B23" s="594" t="s">
        <v>476</v>
      </c>
      <c r="C23" s="70" t="s">
        <v>854</v>
      </c>
      <c r="D23" s="411"/>
      <c r="E23" s="70"/>
      <c r="F23" s="68"/>
      <c r="G23" s="595"/>
      <c r="H23" s="68"/>
      <c r="I23" s="68"/>
      <c r="J23" s="68"/>
      <c r="K23" s="68"/>
      <c r="L23" s="68"/>
      <c r="M23" s="68"/>
      <c r="N23" s="68">
        <f>'Haver Pivoted'!GY86</f>
        <v>21.4</v>
      </c>
      <c r="O23" s="68">
        <f>'Haver Pivoted'!GZ86</f>
        <v>57</v>
      </c>
      <c r="P23" s="68">
        <f>'Haver Pivoted'!HA86</f>
        <v>35.5</v>
      </c>
      <c r="Q23" s="68">
        <f>'Haver Pivoted'!HB86</f>
        <v>0</v>
      </c>
      <c r="R23" s="483">
        <f>'Haver Pivoted'!HC86</f>
        <v>0</v>
      </c>
      <c r="S23" s="354">
        <f t="shared" ref="S23:AC23" si="11">R23</f>
        <v>0</v>
      </c>
      <c r="T23" s="354">
        <f t="shared" si="11"/>
        <v>0</v>
      </c>
      <c r="U23" s="354">
        <f t="shared" si="11"/>
        <v>0</v>
      </c>
      <c r="V23" s="354">
        <f t="shared" si="11"/>
        <v>0</v>
      </c>
      <c r="W23" s="354">
        <f t="shared" si="11"/>
        <v>0</v>
      </c>
      <c r="X23" s="354">
        <f t="shared" si="11"/>
        <v>0</v>
      </c>
      <c r="Y23" s="354">
        <f t="shared" si="11"/>
        <v>0</v>
      </c>
      <c r="Z23" s="354">
        <f t="shared" si="11"/>
        <v>0</v>
      </c>
      <c r="AA23" s="354">
        <f t="shared" si="11"/>
        <v>0</v>
      </c>
      <c r="AB23" s="354">
        <f t="shared" si="11"/>
        <v>0</v>
      </c>
      <c r="AC23" s="354">
        <f t="shared" si="11"/>
        <v>0</v>
      </c>
      <c r="AD23" s="585">
        <f t="shared" si="3"/>
        <v>0</v>
      </c>
      <c r="AE23" s="585">
        <f t="shared" si="3"/>
        <v>0</v>
      </c>
    </row>
    <row r="24" spans="2:31" x14ac:dyDescent="0.35">
      <c r="B24" s="594" t="s">
        <v>477</v>
      </c>
      <c r="C24" s="70"/>
      <c r="D24" s="411"/>
      <c r="E24" s="70"/>
      <c r="F24" s="68"/>
      <c r="G24" s="68"/>
      <c r="H24" s="68"/>
      <c r="I24" s="68"/>
      <c r="J24" s="68"/>
      <c r="K24" s="68"/>
      <c r="L24" s="68"/>
      <c r="M24" s="68"/>
      <c r="N24" s="68"/>
      <c r="O24" s="71">
        <f>O41+O42</f>
        <v>12.51648</v>
      </c>
      <c r="P24" s="71">
        <f>P41+P42</f>
        <v>11.3</v>
      </c>
      <c r="Q24" s="71">
        <f t="shared" ref="Q24:AC24" si="12">Q41+Q42</f>
        <v>11.3</v>
      </c>
      <c r="R24" s="71">
        <f t="shared" si="12"/>
        <v>11.3</v>
      </c>
      <c r="S24" s="354">
        <f t="shared" si="12"/>
        <v>11.3</v>
      </c>
      <c r="T24" s="354">
        <f t="shared" si="12"/>
        <v>8.4</v>
      </c>
      <c r="U24" s="354">
        <f t="shared" si="12"/>
        <v>8.4</v>
      </c>
      <c r="V24" s="354">
        <f t="shared" si="12"/>
        <v>8.4</v>
      </c>
      <c r="W24" s="354">
        <f t="shared" si="12"/>
        <v>8.4</v>
      </c>
      <c r="X24" s="354">
        <f t="shared" si="12"/>
        <v>0.2</v>
      </c>
      <c r="Y24" s="354">
        <f t="shared" si="12"/>
        <v>0.2</v>
      </c>
      <c r="Z24" s="354">
        <f t="shared" si="12"/>
        <v>0.2</v>
      </c>
      <c r="AA24" s="354">
        <f t="shared" si="12"/>
        <v>0.2</v>
      </c>
      <c r="AB24" s="354">
        <f t="shared" si="12"/>
        <v>0</v>
      </c>
      <c r="AC24" s="354">
        <f t="shared" si="12"/>
        <v>0</v>
      </c>
      <c r="AD24" s="585">
        <f t="shared" si="3"/>
        <v>0</v>
      </c>
      <c r="AE24" s="585">
        <f t="shared" si="3"/>
        <v>0</v>
      </c>
    </row>
    <row r="25" spans="2:31" x14ac:dyDescent="0.35">
      <c r="B25" s="594" t="s">
        <v>478</v>
      </c>
      <c r="C25" s="70"/>
      <c r="D25" s="411"/>
      <c r="E25" s="70"/>
      <c r="F25" s="71"/>
      <c r="G25" s="71"/>
      <c r="H25" s="151"/>
      <c r="I25" s="151"/>
      <c r="J25" s="151"/>
      <c r="K25" s="151"/>
      <c r="L25" s="151"/>
      <c r="M25" s="151"/>
      <c r="N25" s="71"/>
      <c r="O25" s="71">
        <f>O34</f>
        <v>12</v>
      </c>
      <c r="P25" s="71">
        <v>25</v>
      </c>
      <c r="Q25" s="71">
        <v>5</v>
      </c>
      <c r="R25" s="71">
        <v>5</v>
      </c>
      <c r="S25" s="354">
        <v>5</v>
      </c>
      <c r="T25" s="354">
        <f t="shared" ref="T25:AC25" si="13">T34</f>
        <v>0</v>
      </c>
      <c r="U25" s="354">
        <f t="shared" si="13"/>
        <v>0</v>
      </c>
      <c r="V25" s="354">
        <f t="shared" si="13"/>
        <v>0</v>
      </c>
      <c r="W25" s="354">
        <f t="shared" si="13"/>
        <v>0</v>
      </c>
      <c r="X25" s="354">
        <f t="shared" si="13"/>
        <v>0</v>
      </c>
      <c r="Y25" s="354">
        <f t="shared" si="13"/>
        <v>0</v>
      </c>
      <c r="Z25" s="354">
        <f t="shared" si="13"/>
        <v>0</v>
      </c>
      <c r="AA25" s="354">
        <f t="shared" si="13"/>
        <v>0</v>
      </c>
      <c r="AB25" s="354">
        <f t="shared" si="13"/>
        <v>0</v>
      </c>
      <c r="AC25" s="354">
        <f t="shared" si="13"/>
        <v>0</v>
      </c>
      <c r="AD25" s="585">
        <f t="shared" si="3"/>
        <v>0</v>
      </c>
      <c r="AE25" s="585">
        <f t="shared" si="3"/>
        <v>0</v>
      </c>
    </row>
    <row r="26" spans="2:31" x14ac:dyDescent="0.35">
      <c r="B26" s="589" t="s">
        <v>1487</v>
      </c>
      <c r="C26" s="70"/>
      <c r="D26" s="411"/>
      <c r="E26" s="70"/>
      <c r="F26" s="71"/>
      <c r="G26" s="71"/>
      <c r="H26" s="151"/>
      <c r="I26" s="151"/>
      <c r="J26" s="151"/>
      <c r="K26" s="151"/>
      <c r="L26" s="151"/>
      <c r="M26" s="151"/>
      <c r="N26" s="71"/>
      <c r="O26" s="71"/>
      <c r="P26" s="71"/>
      <c r="Q26" s="71"/>
      <c r="R26" s="71"/>
      <c r="S26" s="591">
        <f>'IRA and CHIPS'!E198</f>
        <v>0</v>
      </c>
      <c r="T26" s="591">
        <f>'IRA and CHIPS'!F198</f>
        <v>2.3250000000000002</v>
      </c>
      <c r="U26" s="591">
        <f>'IRA and CHIPS'!G198</f>
        <v>2.3250000000000002</v>
      </c>
      <c r="V26" s="591">
        <f>'IRA and CHIPS'!H198</f>
        <v>2.3250000000000002</v>
      </c>
      <c r="W26" s="591">
        <f>'IRA and CHIPS'!I198</f>
        <v>2.3250000000000002</v>
      </c>
      <c r="X26" s="591">
        <f>'IRA and CHIPS'!J198</f>
        <v>5.5830000000000002</v>
      </c>
      <c r="Y26" s="591">
        <f>'IRA and CHIPS'!K198</f>
        <v>5.5830000000000002</v>
      </c>
      <c r="Z26" s="591">
        <f>'IRA and CHIPS'!L198</f>
        <v>5.5830000000000002</v>
      </c>
      <c r="AA26" s="591">
        <f>'IRA and CHIPS'!M198</f>
        <v>5.5830000000000002</v>
      </c>
      <c r="AB26" s="591">
        <f>'IRA and CHIPS'!N198</f>
        <v>8.0220000000000002</v>
      </c>
      <c r="AC26" s="591">
        <f>'IRA and CHIPS'!O198</f>
        <v>8.0220000000000002</v>
      </c>
      <c r="AD26" s="585">
        <f t="shared" si="3"/>
        <v>0</v>
      </c>
      <c r="AE26" s="585">
        <f t="shared" si="3"/>
        <v>0</v>
      </c>
    </row>
    <row r="27" spans="2:31" x14ac:dyDescent="0.35">
      <c r="B27" s="589" t="s">
        <v>1294</v>
      </c>
      <c r="C27" s="415"/>
      <c r="D27" s="413"/>
      <c r="E27" s="415"/>
      <c r="F27" s="420"/>
      <c r="G27" s="420"/>
      <c r="H27" s="627"/>
      <c r="I27" s="627"/>
      <c r="J27" s="627"/>
      <c r="K27" s="627"/>
      <c r="L27" s="627"/>
      <c r="M27" s="627"/>
      <c r="N27" s="420"/>
      <c r="O27" s="420"/>
      <c r="P27" s="420"/>
      <c r="Q27" s="420"/>
      <c r="R27" s="420"/>
      <c r="S27" s="590">
        <f>'IRA and CHIPS'!E187</f>
        <v>0</v>
      </c>
      <c r="T27" s="590">
        <f>'IRA and CHIPS'!F187</f>
        <v>1.2969999999999999</v>
      </c>
      <c r="U27" s="590">
        <f>'IRA and CHIPS'!G187</f>
        <v>1.2969999999999999</v>
      </c>
      <c r="V27" s="590">
        <f>'IRA and CHIPS'!H187</f>
        <v>1.2969999999999999</v>
      </c>
      <c r="W27" s="590">
        <f>'IRA and CHIPS'!I187</f>
        <v>1.2969999999999999</v>
      </c>
      <c r="X27" s="590">
        <f>'IRA and CHIPS'!J187</f>
        <v>3.8479999999999999</v>
      </c>
      <c r="Y27" s="590">
        <f>'IRA and CHIPS'!K187</f>
        <v>3.8479999999999999</v>
      </c>
      <c r="Z27" s="590">
        <f>'IRA and CHIPS'!L187</f>
        <v>3.8479999999999999</v>
      </c>
      <c r="AA27" s="590">
        <f>'IRA and CHIPS'!M187</f>
        <v>3.8479999999999999</v>
      </c>
      <c r="AB27" s="590">
        <f>'IRA and CHIPS'!N187</f>
        <v>6.4420000000000002</v>
      </c>
      <c r="AC27" s="590">
        <f>'IRA and CHIPS'!O187</f>
        <v>6.4420000000000002</v>
      </c>
      <c r="AD27" s="585">
        <f t="shared" si="3"/>
        <v>0</v>
      </c>
      <c r="AE27" s="585">
        <f t="shared" si="3"/>
        <v>0</v>
      </c>
    </row>
    <row r="28" spans="2:31" ht="15" customHeight="1" x14ac:dyDescent="0.35">
      <c r="B28" s="1320" t="s">
        <v>479</v>
      </c>
      <c r="C28" s="1321"/>
      <c r="D28" s="533"/>
      <c r="E28" s="588"/>
      <c r="F28" s="588"/>
      <c r="G28" s="588"/>
      <c r="H28" s="71"/>
      <c r="I28" s="71"/>
      <c r="J28" s="71"/>
      <c r="K28" s="71"/>
      <c r="L28" s="71"/>
      <c r="M28" s="71"/>
      <c r="N28" s="71"/>
      <c r="O28" s="71"/>
      <c r="P28" s="612"/>
      <c r="Q28" s="71"/>
      <c r="R28" s="398"/>
      <c r="S28" s="354"/>
      <c r="T28" s="354"/>
      <c r="U28" s="354"/>
      <c r="V28" s="606"/>
      <c r="W28" s="606"/>
      <c r="X28" s="606"/>
      <c r="Y28" s="606"/>
      <c r="Z28" s="606"/>
      <c r="AA28" s="606"/>
      <c r="AB28" s="606"/>
      <c r="AC28" s="614"/>
      <c r="AD28" s="585">
        <f t="shared" si="3"/>
        <v>0</v>
      </c>
      <c r="AE28" s="585">
        <f t="shared" si="3"/>
        <v>0</v>
      </c>
    </row>
    <row r="29" spans="2:31" x14ac:dyDescent="0.35">
      <c r="B29" s="474" t="s">
        <v>480</v>
      </c>
      <c r="C29" s="178"/>
      <c r="D29" s="187"/>
      <c r="E29" s="178"/>
      <c r="F29" s="151"/>
      <c r="G29" s="151"/>
      <c r="H29" s="71"/>
      <c r="I29" s="71"/>
      <c r="J29" s="71"/>
      <c r="K29" s="71"/>
      <c r="L29" s="71"/>
      <c r="M29" s="71"/>
      <c r="N29" s="71">
        <f>SUM(N30:N34)</f>
        <v>23</v>
      </c>
      <c r="O29" s="71">
        <f>SUM(O30:O34)</f>
        <v>162</v>
      </c>
      <c r="P29" s="71"/>
      <c r="Q29" s="71"/>
      <c r="R29" s="398"/>
      <c r="S29" s="354"/>
      <c r="T29" s="354"/>
      <c r="U29" s="354"/>
      <c r="V29" s="606"/>
      <c r="W29" s="606"/>
      <c r="X29" s="606"/>
      <c r="Y29" s="606"/>
      <c r="Z29" s="606"/>
      <c r="AA29" s="606"/>
      <c r="AB29" s="606"/>
      <c r="AC29" s="614"/>
      <c r="AD29" s="585">
        <f t="shared" si="3"/>
        <v>0</v>
      </c>
      <c r="AE29" s="585">
        <f t="shared" si="3"/>
        <v>0</v>
      </c>
    </row>
    <row r="30" spans="2:31" x14ac:dyDescent="0.35">
      <c r="B30" s="472" t="s">
        <v>481</v>
      </c>
      <c r="C30" s="178"/>
      <c r="D30" s="187"/>
      <c r="E30" s="178"/>
      <c r="F30" s="151"/>
      <c r="G30" s="151"/>
      <c r="H30" s="71"/>
      <c r="I30" s="71"/>
      <c r="J30" s="71"/>
      <c r="K30" s="71"/>
      <c r="L30" s="596"/>
      <c r="M30" s="71"/>
      <c r="N30" s="71">
        <f>(4*'Response and Relief Act Score'!$F$15-$M$18)/2</f>
        <v>11</v>
      </c>
      <c r="O30" s="71">
        <f>(4*'Response and Relief Act Score'!$F$15-$M$18)/2</f>
        <v>11</v>
      </c>
      <c r="P30" s="71"/>
      <c r="Q30" s="71"/>
      <c r="R30" s="398"/>
      <c r="S30" s="354"/>
      <c r="T30" s="354"/>
      <c r="U30" s="354"/>
      <c r="V30" s="606"/>
      <c r="W30" s="606"/>
      <c r="X30" s="606"/>
      <c r="Y30" s="606"/>
      <c r="Z30" s="606"/>
      <c r="AA30" s="606"/>
      <c r="AB30" s="606"/>
      <c r="AC30" s="614"/>
      <c r="AD30" s="585">
        <f t="shared" si="3"/>
        <v>0</v>
      </c>
      <c r="AE30" s="585">
        <f t="shared" si="3"/>
        <v>0</v>
      </c>
    </row>
    <row r="31" spans="2:31" x14ac:dyDescent="0.35">
      <c r="B31" s="472" t="s">
        <v>478</v>
      </c>
      <c r="C31" s="178"/>
      <c r="D31" s="187"/>
      <c r="E31" s="178"/>
      <c r="F31" s="151"/>
      <c r="G31" s="151"/>
      <c r="H31" s="71"/>
      <c r="I31" s="71"/>
      <c r="J31" s="71"/>
      <c r="K31" s="71"/>
      <c r="L31" s="596"/>
      <c r="M31" s="71"/>
      <c r="N31" s="71"/>
      <c r="O31" s="71"/>
      <c r="P31" s="71"/>
      <c r="Q31" s="71"/>
      <c r="R31" s="398"/>
      <c r="S31" s="354"/>
      <c r="T31" s="354"/>
      <c r="U31" s="354"/>
      <c r="V31" s="606"/>
      <c r="W31" s="606"/>
      <c r="X31" s="606"/>
      <c r="Y31" s="606"/>
      <c r="Z31" s="606"/>
      <c r="AA31" s="606"/>
      <c r="AB31" s="606"/>
      <c r="AC31" s="614"/>
      <c r="AD31" s="585">
        <f t="shared" si="3"/>
        <v>0</v>
      </c>
      <c r="AE31" s="585">
        <f t="shared" si="3"/>
        <v>0</v>
      </c>
    </row>
    <row r="32" spans="2:31" x14ac:dyDescent="0.35">
      <c r="B32" s="615" t="s">
        <v>475</v>
      </c>
      <c r="C32" s="178"/>
      <c r="D32" s="187"/>
      <c r="E32" s="178"/>
      <c r="F32" s="151"/>
      <c r="G32" s="151"/>
      <c r="H32" s="71"/>
      <c r="I32" s="71"/>
      <c r="J32" s="71"/>
      <c r="K32" s="71"/>
      <c r="L32" s="71"/>
      <c r="M32" s="71"/>
      <c r="N32" s="71"/>
      <c r="O32" s="71">
        <v>79</v>
      </c>
      <c r="P32" s="71"/>
      <c r="Q32" s="432"/>
      <c r="R32" s="479"/>
      <c r="S32" s="466"/>
      <c r="T32" s="466"/>
      <c r="U32" s="466"/>
      <c r="V32" s="606"/>
      <c r="W32" s="606"/>
      <c r="X32" s="606"/>
      <c r="Y32" s="606"/>
      <c r="Z32" s="606"/>
      <c r="AA32" s="606"/>
      <c r="AB32" s="606"/>
      <c r="AC32" s="614"/>
      <c r="AD32" s="585">
        <f t="shared" si="3"/>
        <v>0</v>
      </c>
      <c r="AE32" s="585">
        <f t="shared" si="3"/>
        <v>0</v>
      </c>
    </row>
    <row r="33" spans="1:78" x14ac:dyDescent="0.35">
      <c r="B33" s="616" t="s">
        <v>482</v>
      </c>
      <c r="C33" s="178"/>
      <c r="D33" s="187"/>
      <c r="E33" s="178"/>
      <c r="F33" s="151"/>
      <c r="G33" s="151"/>
      <c r="H33" s="71"/>
      <c r="I33" s="71"/>
      <c r="J33" s="71"/>
      <c r="K33" s="71"/>
      <c r="L33" s="71"/>
      <c r="M33" s="71"/>
      <c r="N33" s="71"/>
      <c r="O33" s="71">
        <f>'Response and Relief Act Score'!F13*4</f>
        <v>60</v>
      </c>
      <c r="P33" s="71"/>
      <c r="Q33" s="432"/>
      <c r="R33" s="479"/>
      <c r="S33" s="466"/>
      <c r="T33" s="466"/>
      <c r="U33" s="466"/>
      <c r="V33" s="606"/>
      <c r="W33" s="606"/>
      <c r="X33" s="606"/>
      <c r="Y33" s="606"/>
      <c r="Z33" s="606"/>
      <c r="AA33" s="606"/>
      <c r="AB33" s="606"/>
      <c r="AC33" s="614"/>
      <c r="AD33" s="585">
        <f t="shared" si="3"/>
        <v>0</v>
      </c>
      <c r="AE33" s="585">
        <f t="shared" si="3"/>
        <v>0</v>
      </c>
    </row>
    <row r="34" spans="1:78" ht="27.65" customHeight="1" x14ac:dyDescent="0.35">
      <c r="B34" s="616" t="s">
        <v>483</v>
      </c>
      <c r="C34" s="178"/>
      <c r="D34" s="187"/>
      <c r="E34" s="178"/>
      <c r="F34" s="151"/>
      <c r="G34" s="151"/>
      <c r="H34" s="71"/>
      <c r="I34" s="71"/>
      <c r="J34" s="71"/>
      <c r="K34" s="71"/>
      <c r="L34" s="596"/>
      <c r="M34" s="71"/>
      <c r="N34" s="71">
        <f>'Response and Relief Act Score'!F14*4/2</f>
        <v>12</v>
      </c>
      <c r="O34" s="71">
        <f>'Response and Relief Act Score'!F14*4/2</f>
        <v>12</v>
      </c>
      <c r="P34" s="71"/>
      <c r="Q34" s="71"/>
      <c r="R34" s="398"/>
      <c r="S34" s="354"/>
      <c r="T34" s="354"/>
      <c r="U34" s="354"/>
      <c r="V34" s="606"/>
      <c r="W34" s="606"/>
      <c r="X34" s="606"/>
      <c r="Y34" s="606"/>
      <c r="Z34" s="606"/>
      <c r="AA34" s="606"/>
      <c r="AB34" s="606"/>
      <c r="AC34" s="614"/>
      <c r="AD34" s="585">
        <f t="shared" si="3"/>
        <v>0</v>
      </c>
      <c r="AE34" s="585">
        <f t="shared" si="3"/>
        <v>0</v>
      </c>
    </row>
    <row r="35" spans="1:78" ht="15" customHeight="1" x14ac:dyDescent="0.35">
      <c r="B35" s="1318" t="s">
        <v>484</v>
      </c>
      <c r="C35" s="1319"/>
      <c r="D35" s="187"/>
      <c r="E35" s="178"/>
      <c r="F35" s="151"/>
      <c r="G35" s="151"/>
      <c r="H35" s="71"/>
      <c r="I35" s="71"/>
      <c r="J35" s="71"/>
      <c r="K35" s="71"/>
      <c r="L35" s="596"/>
      <c r="M35" s="71"/>
      <c r="N35" s="71"/>
      <c r="O35" s="71"/>
      <c r="P35" s="71"/>
      <c r="Q35" s="71"/>
      <c r="R35" s="398"/>
      <c r="S35" s="619"/>
      <c r="T35" s="619"/>
      <c r="U35" s="619"/>
      <c r="V35" s="621"/>
      <c r="W35" s="621"/>
      <c r="X35" s="621"/>
      <c r="Y35" s="621"/>
      <c r="Z35" s="621"/>
      <c r="AA35" s="621"/>
      <c r="AB35" s="621"/>
      <c r="AC35" s="599"/>
      <c r="AD35" s="585">
        <f t="shared" si="3"/>
        <v>0</v>
      </c>
      <c r="AE35" s="585">
        <f t="shared" si="3"/>
        <v>0</v>
      </c>
    </row>
    <row r="36" spans="1:78" ht="13.5" customHeight="1" x14ac:dyDescent="0.35">
      <c r="B36" s="616" t="s">
        <v>143</v>
      </c>
      <c r="C36" s="178"/>
      <c r="D36" s="187"/>
      <c r="E36" s="178"/>
      <c r="F36" s="151"/>
      <c r="G36" s="151"/>
      <c r="H36" s="71"/>
      <c r="I36" s="71"/>
      <c r="J36" s="71"/>
      <c r="K36" s="71"/>
      <c r="L36" s="596"/>
      <c r="M36" s="71">
        <f>'ARP Quarterly'!C18</f>
        <v>0</v>
      </c>
      <c r="N36" s="71">
        <f>'ARP Quarterly'!D18</f>
        <v>2.2132800000000001</v>
      </c>
      <c r="O36" s="71">
        <f>'ARP Quarterly'!E18</f>
        <v>10.082720000000002</v>
      </c>
      <c r="P36" s="71">
        <f>'ARP Quarterly'!F18</f>
        <v>7.1439999999999992</v>
      </c>
      <c r="Q36" s="71">
        <f>'ARP Quarterly'!G18</f>
        <v>7.1439999999999992</v>
      </c>
      <c r="R36" s="398">
        <f>'ARP Quarterly'!H18</f>
        <v>7.1439999999999992</v>
      </c>
      <c r="S36" s="354">
        <f>'ARP Quarterly'!I18</f>
        <v>7.1439999999999992</v>
      </c>
      <c r="T36" s="354">
        <f>'ARP Quarterly'!J18</f>
        <v>0</v>
      </c>
      <c r="U36" s="354">
        <f>'ARP Quarterly'!K18</f>
        <v>0</v>
      </c>
      <c r="V36" s="354">
        <f>'ARP Quarterly'!L18</f>
        <v>0</v>
      </c>
      <c r="W36" s="354">
        <f>'ARP Quarterly'!M18</f>
        <v>0</v>
      </c>
      <c r="X36" s="354">
        <f>'ARP Quarterly'!N18</f>
        <v>0</v>
      </c>
      <c r="Y36" s="354">
        <f>'ARP Quarterly'!O18</f>
        <v>0</v>
      </c>
      <c r="Z36" s="354">
        <f>'ARP Quarterly'!P18</f>
        <v>0</v>
      </c>
      <c r="AA36" s="354">
        <f>'ARP Quarterly'!Q18</f>
        <v>0</v>
      </c>
      <c r="AB36" s="354">
        <f>'ARP Quarterly'!R18</f>
        <v>0</v>
      </c>
      <c r="AC36" s="461">
        <f>'ARP Quarterly'!S18</f>
        <v>0</v>
      </c>
      <c r="AD36" s="585">
        <f t="shared" si="3"/>
        <v>0</v>
      </c>
      <c r="AE36" s="585">
        <f t="shared" si="3"/>
        <v>0</v>
      </c>
    </row>
    <row r="37" spans="1:78" x14ac:dyDescent="0.35">
      <c r="B37" s="616" t="s">
        <v>485</v>
      </c>
      <c r="C37" s="178"/>
      <c r="D37" s="187"/>
      <c r="E37" s="178"/>
      <c r="F37" s="151"/>
      <c r="G37" s="151"/>
      <c r="H37" s="71"/>
      <c r="I37" s="71"/>
      <c r="J37" s="71"/>
      <c r="K37" s="71"/>
      <c r="L37" s="596"/>
      <c r="M37" s="71">
        <f>'ARP Quarterly'!C19</f>
        <v>0</v>
      </c>
      <c r="N37" s="71">
        <f>'ARP Quarterly'!D19</f>
        <v>15.128640000000001</v>
      </c>
      <c r="O37" s="71">
        <f>'ARP Quarterly'!E19</f>
        <v>68.919360000000012</v>
      </c>
      <c r="P37" s="71">
        <f>'ARP Quarterly'!F19</f>
        <v>5.6120000000000001</v>
      </c>
      <c r="Q37" s="71">
        <f>'ARP Quarterly'!G19</f>
        <v>5.6120000000000001</v>
      </c>
      <c r="R37" s="398">
        <f>'ARP Quarterly'!H19</f>
        <v>5.6120000000000001</v>
      </c>
      <c r="S37" s="354">
        <f>'ARP Quarterly'!I19</f>
        <v>5.6120000000000001</v>
      </c>
      <c r="T37" s="354">
        <f>'ARP Quarterly'!J19</f>
        <v>0.48599999999999993</v>
      </c>
      <c r="U37" s="354">
        <f>'ARP Quarterly'!K19</f>
        <v>0.48599999999999993</v>
      </c>
      <c r="V37" s="354">
        <f>'ARP Quarterly'!L19</f>
        <v>0.48599999999999993</v>
      </c>
      <c r="W37" s="354">
        <f>'ARP Quarterly'!M19</f>
        <v>0.48599999999999993</v>
      </c>
      <c r="X37" s="354">
        <f>'ARP Quarterly'!N19</f>
        <v>0</v>
      </c>
      <c r="Y37" s="354">
        <f>'ARP Quarterly'!O19</f>
        <v>0</v>
      </c>
      <c r="Z37" s="354">
        <f>'ARP Quarterly'!P19</f>
        <v>0</v>
      </c>
      <c r="AA37" s="354">
        <f>'ARP Quarterly'!Q19</f>
        <v>0</v>
      </c>
      <c r="AB37" s="354">
        <f>'ARP Quarterly'!R19</f>
        <v>0</v>
      </c>
      <c r="AC37" s="461">
        <f>'ARP Quarterly'!S19</f>
        <v>0</v>
      </c>
      <c r="AD37" s="585">
        <f t="shared" si="3"/>
        <v>0</v>
      </c>
      <c r="AE37" s="585">
        <f t="shared" si="3"/>
        <v>0</v>
      </c>
    </row>
    <row r="38" spans="1:78" x14ac:dyDescent="0.35">
      <c r="B38" s="616" t="s">
        <v>148</v>
      </c>
      <c r="C38" s="178"/>
      <c r="D38" s="187"/>
      <c r="E38" s="178"/>
      <c r="F38" s="151"/>
      <c r="G38" s="151"/>
      <c r="H38" s="71"/>
      <c r="I38" s="71"/>
      <c r="J38" s="71"/>
      <c r="K38" s="71"/>
      <c r="L38" s="596"/>
      <c r="M38" s="71">
        <f>'ARP Quarterly'!C20</f>
        <v>0</v>
      </c>
      <c r="N38" s="71">
        <f>'ARP Quarterly'!D20</f>
        <v>3.2479199999999997</v>
      </c>
      <c r="O38" s="71">
        <f>'ARP Quarterly'!E20</f>
        <v>14.796080000000002</v>
      </c>
      <c r="P38" s="71">
        <f>'ARP Quarterly'!F20</f>
        <v>1.7329999999999999</v>
      </c>
      <c r="Q38" s="71">
        <f>'ARP Quarterly'!G20</f>
        <v>1.7329999999999999</v>
      </c>
      <c r="R38" s="398">
        <f>'ARP Quarterly'!H20</f>
        <v>1.7329999999999999</v>
      </c>
      <c r="S38" s="354">
        <f>'ARP Quarterly'!I20</f>
        <v>1.7329999999999999</v>
      </c>
      <c r="T38" s="354">
        <f>'ARP Quarterly'!J20</f>
        <v>0</v>
      </c>
      <c r="U38" s="354">
        <f>'ARP Quarterly'!K20</f>
        <v>0</v>
      </c>
      <c r="V38" s="354">
        <f>'ARP Quarterly'!L20</f>
        <v>0</v>
      </c>
      <c r="W38" s="354">
        <f>'ARP Quarterly'!M20</f>
        <v>0</v>
      </c>
      <c r="X38" s="354">
        <f>'ARP Quarterly'!N20</f>
        <v>0</v>
      </c>
      <c r="Y38" s="354">
        <f>'ARP Quarterly'!O20</f>
        <v>0</v>
      </c>
      <c r="Z38" s="354">
        <f>'ARP Quarterly'!P20</f>
        <v>0</v>
      </c>
      <c r="AA38" s="354">
        <f>'ARP Quarterly'!Q20</f>
        <v>0</v>
      </c>
      <c r="AB38" s="354">
        <f>'ARP Quarterly'!R20</f>
        <v>0</v>
      </c>
      <c r="AC38" s="461">
        <f>'ARP Quarterly'!S20</f>
        <v>0</v>
      </c>
      <c r="AD38" s="585">
        <f t="shared" si="3"/>
        <v>0</v>
      </c>
      <c r="AE38" s="585">
        <f t="shared" si="3"/>
        <v>0</v>
      </c>
    </row>
    <row r="39" spans="1:78" x14ac:dyDescent="0.35">
      <c r="B39" s="616" t="s">
        <v>475</v>
      </c>
      <c r="C39" s="178"/>
      <c r="D39" s="187"/>
      <c r="E39" s="178"/>
      <c r="F39" s="151"/>
      <c r="G39" s="151"/>
      <c r="H39" s="71"/>
      <c r="I39" s="71"/>
      <c r="J39" s="71"/>
      <c r="K39" s="71"/>
      <c r="L39" s="596"/>
      <c r="M39" s="71">
        <f>'ARP Quarterly'!C21</f>
        <v>0</v>
      </c>
      <c r="N39" s="71">
        <f>'ARP Quarterly'!D21</f>
        <v>13.2921</v>
      </c>
      <c r="O39" s="71">
        <f>'ARP Quarterly'!E21</f>
        <v>60.552900000000008</v>
      </c>
      <c r="P39" s="71">
        <f>'ARP Quarterly'!F21</f>
        <v>1.0687500000000001</v>
      </c>
      <c r="Q39" s="71">
        <f>'ARP Quarterly'!G21</f>
        <v>1.0687500000000001</v>
      </c>
      <c r="R39" s="398">
        <f>'ARP Quarterly'!H21</f>
        <v>1.0687500000000001</v>
      </c>
      <c r="S39" s="354">
        <f>'ARP Quarterly'!I21</f>
        <v>1.0687500000000001</v>
      </c>
      <c r="T39" s="354">
        <f>'ARP Quarterly'!J21</f>
        <v>0.78750000000000009</v>
      </c>
      <c r="U39" s="354">
        <f>'ARP Quarterly'!K21</f>
        <v>0.78750000000000009</v>
      </c>
      <c r="V39" s="354">
        <f>'ARP Quarterly'!L21</f>
        <v>0.78750000000000009</v>
      </c>
      <c r="W39" s="354">
        <f>'ARP Quarterly'!M21</f>
        <v>0.78750000000000009</v>
      </c>
      <c r="X39" s="354">
        <f>'ARP Quarterly'!N21</f>
        <v>0</v>
      </c>
      <c r="Y39" s="354">
        <f>'ARP Quarterly'!O21</f>
        <v>0</v>
      </c>
      <c r="Z39" s="354">
        <f>'ARP Quarterly'!P21</f>
        <v>0</v>
      </c>
      <c r="AA39" s="354">
        <f>'ARP Quarterly'!Q21</f>
        <v>0</v>
      </c>
      <c r="AB39" s="354">
        <f>'ARP Quarterly'!R21</f>
        <v>0</v>
      </c>
      <c r="AC39" s="461">
        <f>'ARP Quarterly'!S21</f>
        <v>0</v>
      </c>
      <c r="AD39" s="585">
        <f t="shared" si="3"/>
        <v>0</v>
      </c>
      <c r="AE39" s="585">
        <f t="shared" si="3"/>
        <v>0</v>
      </c>
    </row>
    <row r="40" spans="1:78" ht="30" customHeight="1" x14ac:dyDescent="0.35">
      <c r="B40" s="616" t="s">
        <v>486</v>
      </c>
      <c r="C40" s="178"/>
      <c r="D40" s="187"/>
      <c r="E40" s="178"/>
      <c r="F40" s="151"/>
      <c r="G40" s="151"/>
      <c r="H40" s="71"/>
      <c r="I40" s="71"/>
      <c r="J40" s="71"/>
      <c r="K40" s="71"/>
      <c r="L40" s="596"/>
      <c r="M40" s="71">
        <f>'ARP Quarterly'!C22</f>
        <v>0</v>
      </c>
      <c r="N40" s="71">
        <f>'ARP Quarterly'!D22</f>
        <v>22.153499999999998</v>
      </c>
      <c r="O40" s="71">
        <f>'ARP Quarterly'!E22</f>
        <v>100.92150000000002</v>
      </c>
      <c r="P40" s="71">
        <f>'ARP Quarterly'!F22</f>
        <v>1.7812500000000002</v>
      </c>
      <c r="Q40" s="71">
        <f>'ARP Quarterly'!G22</f>
        <v>1.7812500000000002</v>
      </c>
      <c r="R40" s="398">
        <f>'ARP Quarterly'!H22</f>
        <v>1.7812500000000002</v>
      </c>
      <c r="S40" s="354">
        <f>'ARP Quarterly'!I22</f>
        <v>1.7812500000000002</v>
      </c>
      <c r="T40" s="354">
        <f>'ARP Quarterly'!J22</f>
        <v>1.3125000000000002</v>
      </c>
      <c r="U40" s="354">
        <f>'ARP Quarterly'!K22</f>
        <v>1.3125000000000002</v>
      </c>
      <c r="V40" s="354">
        <f>'ARP Quarterly'!L22</f>
        <v>1.3125000000000002</v>
      </c>
      <c r="W40" s="354">
        <f>'ARP Quarterly'!M22</f>
        <v>1.3125000000000002</v>
      </c>
      <c r="X40" s="354">
        <f>'ARP Quarterly'!N22</f>
        <v>0</v>
      </c>
      <c r="Y40" s="354">
        <f>'ARP Quarterly'!O22</f>
        <v>0</v>
      </c>
      <c r="Z40" s="354">
        <f>'ARP Quarterly'!P22</f>
        <v>0</v>
      </c>
      <c r="AA40" s="354">
        <f>'ARP Quarterly'!Q22</f>
        <v>0</v>
      </c>
      <c r="AB40" s="354">
        <f>'ARP Quarterly'!R22</f>
        <v>0</v>
      </c>
      <c r="AC40" s="461">
        <f>'ARP Quarterly'!S22</f>
        <v>0</v>
      </c>
      <c r="AD40" s="585">
        <f t="shared" si="3"/>
        <v>0</v>
      </c>
      <c r="AE40" s="585">
        <f t="shared" si="3"/>
        <v>0</v>
      </c>
    </row>
    <row r="41" spans="1:78" x14ac:dyDescent="0.35">
      <c r="B41" s="616" t="s">
        <v>487</v>
      </c>
      <c r="C41" s="178"/>
      <c r="D41" s="187"/>
      <c r="E41" s="178"/>
      <c r="F41" s="151"/>
      <c r="G41" s="151"/>
      <c r="H41" s="71"/>
      <c r="I41" s="71"/>
      <c r="J41" s="71"/>
      <c r="K41" s="71"/>
      <c r="L41" s="596"/>
      <c r="M41" s="71">
        <f>'ARP Quarterly'!C23</f>
        <v>0</v>
      </c>
      <c r="N41" s="71">
        <f>'ARP Quarterly'!D23</f>
        <v>2.9519999999999995</v>
      </c>
      <c r="O41" s="71">
        <f>'ARP Quarterly'!E23</f>
        <v>13.448</v>
      </c>
      <c r="P41" s="71">
        <f>'ARP Quarterly'!F23</f>
        <v>11.3</v>
      </c>
      <c r="Q41" s="71">
        <f>'ARP Quarterly'!G23</f>
        <v>11.3</v>
      </c>
      <c r="R41" s="398">
        <f>'ARP Quarterly'!H23</f>
        <v>11.3</v>
      </c>
      <c r="S41" s="354">
        <f>'ARP Quarterly'!I23</f>
        <v>11.3</v>
      </c>
      <c r="T41" s="354">
        <f>'ARP Quarterly'!J23</f>
        <v>8.4</v>
      </c>
      <c r="U41" s="354">
        <f>'ARP Quarterly'!K23</f>
        <v>8.4</v>
      </c>
      <c r="V41" s="354">
        <f>'ARP Quarterly'!L23</f>
        <v>8.4</v>
      </c>
      <c r="W41" s="354">
        <f>'ARP Quarterly'!M23</f>
        <v>8.4</v>
      </c>
      <c r="X41" s="354">
        <f>'ARP Quarterly'!N23</f>
        <v>0.2</v>
      </c>
      <c r="Y41" s="354">
        <f>'ARP Quarterly'!O23</f>
        <v>0.2</v>
      </c>
      <c r="Z41" s="354">
        <f>'ARP Quarterly'!P23</f>
        <v>0.2</v>
      </c>
      <c r="AA41" s="354">
        <f>'ARP Quarterly'!Q23</f>
        <v>0.2</v>
      </c>
      <c r="AB41" s="354">
        <f>'ARP Quarterly'!R23</f>
        <v>0</v>
      </c>
      <c r="AC41" s="461">
        <f>'ARP Quarterly'!S23</f>
        <v>0</v>
      </c>
      <c r="AD41" s="585">
        <f t="shared" si="3"/>
        <v>0</v>
      </c>
      <c r="AE41" s="585">
        <f t="shared" si="3"/>
        <v>0</v>
      </c>
    </row>
    <row r="42" spans="1:78" x14ac:dyDescent="0.35">
      <c r="B42" s="616" t="s">
        <v>488</v>
      </c>
      <c r="C42" s="178"/>
      <c r="D42" s="187"/>
      <c r="E42" s="178"/>
      <c r="F42" s="151"/>
      <c r="G42" s="151"/>
      <c r="H42" s="71"/>
      <c r="I42" s="71"/>
      <c r="J42" s="71"/>
      <c r="K42" s="71"/>
      <c r="L42" s="596"/>
      <c r="M42" s="71">
        <f>'ARP Quarterly'!C24</f>
        <v>0</v>
      </c>
      <c r="N42" s="71">
        <f>'ARP Quarterly'!D24</f>
        <v>-0.20447999999999997</v>
      </c>
      <c r="O42" s="71">
        <f>'ARP Quarterly'!E24</f>
        <v>-0.93152000000000001</v>
      </c>
      <c r="P42" s="71">
        <v>0</v>
      </c>
      <c r="Q42" s="71">
        <v>0</v>
      </c>
      <c r="R42" s="398">
        <v>0</v>
      </c>
      <c r="S42" s="354">
        <v>0</v>
      </c>
      <c r="T42" s="354">
        <v>0</v>
      </c>
      <c r="U42" s="354">
        <v>0</v>
      </c>
      <c r="V42" s="354">
        <v>0</v>
      </c>
      <c r="W42" s="354">
        <v>0</v>
      </c>
      <c r="X42" s="354">
        <v>0</v>
      </c>
      <c r="Y42" s="354">
        <v>0</v>
      </c>
      <c r="Z42" s="354">
        <v>0</v>
      </c>
      <c r="AA42" s="354">
        <v>0</v>
      </c>
      <c r="AB42" s="354">
        <v>0</v>
      </c>
      <c r="AC42" s="461">
        <v>0</v>
      </c>
      <c r="AD42" s="585">
        <f t="shared" si="3"/>
        <v>0</v>
      </c>
      <c r="AE42" s="585">
        <f t="shared" si="3"/>
        <v>0</v>
      </c>
    </row>
    <row r="43" spans="1:78" x14ac:dyDescent="0.35">
      <c r="B43" s="616" t="s">
        <v>360</v>
      </c>
      <c r="C43" s="178"/>
      <c r="D43" s="187"/>
      <c r="E43" s="178"/>
      <c r="F43" s="151"/>
      <c r="G43" s="151"/>
      <c r="H43" s="71"/>
      <c r="I43" s="71"/>
      <c r="J43" s="71"/>
      <c r="K43" s="71"/>
      <c r="L43" s="596"/>
      <c r="M43" s="71">
        <f>'ARP Quarterly'!C25</f>
        <v>0</v>
      </c>
      <c r="N43" s="71">
        <f>'ARP Quarterly'!D25</f>
        <v>58.782959999999996</v>
      </c>
      <c r="O43" s="71">
        <f>'ARP Quarterly'!E25</f>
        <v>267.78904000000006</v>
      </c>
      <c r="P43" s="71">
        <f>'ARP Quarterly'!F25</f>
        <v>110.24799999999999</v>
      </c>
      <c r="Q43" s="420">
        <f>'ARP Quarterly'!G25</f>
        <v>110.24799999999999</v>
      </c>
      <c r="R43" s="398">
        <f>'ARP Quarterly'!H25</f>
        <v>110.24799999999999</v>
      </c>
      <c r="S43" s="354">
        <f>'ARP Quarterly'!I25</f>
        <v>110.24799999999999</v>
      </c>
      <c r="T43" s="354">
        <f>'ARP Quarterly'!J25</f>
        <v>12.362</v>
      </c>
      <c r="U43" s="354">
        <f>'ARP Quarterly'!K25</f>
        <v>12.362</v>
      </c>
      <c r="V43" s="354">
        <f>'ARP Quarterly'!L25</f>
        <v>12.362</v>
      </c>
      <c r="W43" s="354">
        <f>'ARP Quarterly'!M25</f>
        <v>12.362</v>
      </c>
      <c r="X43" s="354">
        <f>'ARP Quarterly'!N25</f>
        <v>-0.67500000000000004</v>
      </c>
      <c r="Y43" s="354">
        <f>'ARP Quarterly'!O25</f>
        <v>-0.67500000000000004</v>
      </c>
      <c r="Z43" s="354">
        <f>'ARP Quarterly'!P25</f>
        <v>-0.67500000000000004</v>
      </c>
      <c r="AA43" s="354">
        <f>'ARP Quarterly'!Q25</f>
        <v>-0.67500000000000004</v>
      </c>
      <c r="AB43" s="354">
        <f>'ARP Quarterly'!R25</f>
        <v>0</v>
      </c>
      <c r="AC43" s="461">
        <f>'ARP Quarterly'!S25</f>
        <v>0</v>
      </c>
      <c r="AD43" s="585">
        <f t="shared" si="3"/>
        <v>0</v>
      </c>
      <c r="AE43" s="585">
        <f t="shared" si="3"/>
        <v>0</v>
      </c>
    </row>
    <row r="44" spans="1:78" ht="15" customHeight="1" x14ac:dyDescent="0.35">
      <c r="B44" s="1318" t="s">
        <v>489</v>
      </c>
      <c r="C44" s="1319"/>
      <c r="D44" s="586"/>
      <c r="E44" s="587"/>
      <c r="F44" s="463"/>
      <c r="G44" s="463"/>
      <c r="H44" s="455"/>
      <c r="I44" s="455"/>
      <c r="J44" s="455"/>
      <c r="K44" s="455"/>
      <c r="L44" s="597"/>
      <c r="M44" s="455"/>
      <c r="N44" s="455"/>
      <c r="O44" s="455"/>
      <c r="P44" s="598"/>
      <c r="Q44" s="71"/>
      <c r="R44" s="598"/>
      <c r="S44" s="619"/>
      <c r="T44" s="619"/>
      <c r="U44" s="619"/>
      <c r="V44" s="621"/>
      <c r="W44" s="621"/>
      <c r="X44" s="621"/>
      <c r="Y44" s="621"/>
      <c r="Z44" s="621"/>
      <c r="AA44" s="621"/>
      <c r="AB44" s="621"/>
      <c r="AC44" s="599"/>
      <c r="AD44" s="585">
        <f t="shared" si="3"/>
        <v>0</v>
      </c>
      <c r="AE44" s="585">
        <f t="shared" si="3"/>
        <v>0</v>
      </c>
    </row>
    <row r="45" spans="1:78" ht="21" customHeight="1" x14ac:dyDescent="0.35">
      <c r="B45" s="489" t="s">
        <v>490</v>
      </c>
      <c r="C45" s="618"/>
      <c r="D45" s="489"/>
      <c r="E45" s="618"/>
      <c r="F45" s="371"/>
      <c r="G45" s="371"/>
      <c r="H45" s="611"/>
      <c r="I45" s="611"/>
      <c r="J45" s="611"/>
      <c r="K45" s="611"/>
      <c r="L45" s="625"/>
      <c r="M45" s="611">
        <f>'ARP Quarterly'!C6</f>
        <v>0</v>
      </c>
      <c r="N45" s="611">
        <f>'ARP Quarterly'!D6</f>
        <v>58.782959999999989</v>
      </c>
      <c r="O45" s="611">
        <f>'ARP Quarterly'!E6</f>
        <v>267.78904</v>
      </c>
      <c r="P45" s="609">
        <f>'ARP Quarterly'!F6</f>
        <v>110.24799999999999</v>
      </c>
      <c r="Q45" s="611">
        <f>'ARP Quarterly'!G6</f>
        <v>110.24799999999999</v>
      </c>
      <c r="R45" s="609">
        <f>'ARP Quarterly'!H6</f>
        <v>110.24799999999999</v>
      </c>
      <c r="S45" s="600">
        <f>'ARP Quarterly'!I6</f>
        <v>110.24799999999999</v>
      </c>
      <c r="T45" s="600">
        <f>'ARP Quarterly'!J6</f>
        <v>12.726000000000001</v>
      </c>
      <c r="U45" s="600">
        <f>'ARP Quarterly'!K6</f>
        <v>12.726000000000001</v>
      </c>
      <c r="V45" s="600">
        <f>'ARP Quarterly'!L6</f>
        <v>12.726000000000001</v>
      </c>
      <c r="W45" s="600">
        <f>'ARP Quarterly'!M6</f>
        <v>12.726000000000001</v>
      </c>
      <c r="X45" s="600">
        <f>'ARP Quarterly'!N6</f>
        <v>1.365</v>
      </c>
      <c r="Y45" s="600">
        <f>'ARP Quarterly'!O6</f>
        <v>1.365</v>
      </c>
      <c r="Z45" s="600">
        <f>'ARP Quarterly'!P6</f>
        <v>1.365</v>
      </c>
      <c r="AA45" s="600">
        <f>'ARP Quarterly'!Q6</f>
        <v>1.365</v>
      </c>
      <c r="AB45" s="600">
        <f>'ARP Quarterly'!R6</f>
        <v>-0.90100000000000025</v>
      </c>
      <c r="AC45" s="623">
        <f>'ARP Quarterly'!S6</f>
        <v>-0.90100000000000025</v>
      </c>
      <c r="AD45" s="585">
        <f t="shared" si="3"/>
        <v>0</v>
      </c>
      <c r="AE45" s="585">
        <f t="shared" si="3"/>
        <v>0</v>
      </c>
    </row>
    <row r="46" spans="1:78" ht="19.5" customHeight="1" x14ac:dyDescent="0.35">
      <c r="A46" s="617"/>
      <c r="B46" s="610" t="s">
        <v>199</v>
      </c>
      <c r="C46" s="613"/>
      <c r="D46" s="610"/>
      <c r="E46" s="613"/>
      <c r="F46" s="601">
        <f>F11-F45</f>
        <v>60.5</v>
      </c>
      <c r="G46" s="601">
        <f>G11-G45</f>
        <v>81.400000000000006</v>
      </c>
      <c r="H46" s="601">
        <f t="shared" ref="H46:AC46" si="14">H11-H45</f>
        <v>82.1</v>
      </c>
      <c r="I46" s="601">
        <f>I11-I45</f>
        <v>80</v>
      </c>
      <c r="J46" s="601">
        <f t="shared" si="14"/>
        <v>975.7</v>
      </c>
      <c r="K46" s="601">
        <f t="shared" si="14"/>
        <v>1108.8</v>
      </c>
      <c r="L46" s="601">
        <f>L11-L45</f>
        <v>462.2</v>
      </c>
      <c r="M46" s="601">
        <f>M11-M45</f>
        <v>387.4</v>
      </c>
      <c r="N46" s="601">
        <f t="shared" si="14"/>
        <v>635.11703999999997</v>
      </c>
      <c r="O46" s="601">
        <f>O11-O45</f>
        <v>277.81096000000002</v>
      </c>
      <c r="P46" s="602">
        <f>P11-P45</f>
        <v>178.05200000000002</v>
      </c>
      <c r="Q46" s="601">
        <f t="shared" si="14"/>
        <v>34.25200000000001</v>
      </c>
      <c r="R46" s="593">
        <f t="shared" si="14"/>
        <v>12.652000000000015</v>
      </c>
      <c r="S46" s="603">
        <f t="shared" si="14"/>
        <v>-5.3886315789473542</v>
      </c>
      <c r="T46" s="603">
        <f t="shared" si="14"/>
        <v>75.782000000000011</v>
      </c>
      <c r="U46" s="603">
        <f t="shared" si="14"/>
        <v>75.782000000000011</v>
      </c>
      <c r="V46" s="603">
        <f t="shared" si="14"/>
        <v>75.782000000000011</v>
      </c>
      <c r="W46" s="603">
        <f t="shared" si="14"/>
        <v>75.782000000000011</v>
      </c>
      <c r="X46" s="603">
        <f t="shared" si="14"/>
        <v>84.266000000000005</v>
      </c>
      <c r="Y46" s="603">
        <f t="shared" si="14"/>
        <v>84.266000000000005</v>
      </c>
      <c r="Z46" s="603">
        <f t="shared" si="14"/>
        <v>84.266000000000005</v>
      </c>
      <c r="AA46" s="603">
        <f t="shared" si="14"/>
        <v>84.266000000000005</v>
      </c>
      <c r="AB46" s="603">
        <f t="shared" si="14"/>
        <v>91.364999999999995</v>
      </c>
      <c r="AC46" s="604">
        <f t="shared" si="14"/>
        <v>91.364999999999995</v>
      </c>
      <c r="AD46" s="585">
        <f t="shared" si="3"/>
        <v>-34.799999999999983</v>
      </c>
      <c r="AE46" s="585">
        <f t="shared" si="3"/>
        <v>-10.920285337489517</v>
      </c>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row>
    <row r="47" spans="1:78" ht="19.5" customHeight="1" x14ac:dyDescent="0.35">
      <c r="A47" s="617"/>
      <c r="B47" s="284"/>
      <c r="C47" s="284"/>
      <c r="D47" s="284"/>
      <c r="E47" s="284"/>
      <c r="F47" s="583"/>
      <c r="G47" s="583"/>
      <c r="H47" s="583"/>
      <c r="I47" s="583"/>
      <c r="J47" s="583"/>
      <c r="K47" s="583"/>
      <c r="L47" s="583"/>
      <c r="M47" s="583"/>
      <c r="N47" s="583"/>
      <c r="O47" s="583"/>
      <c r="P47" s="583"/>
      <c r="Q47" s="583"/>
      <c r="R47" s="584"/>
      <c r="S47" s="508"/>
      <c r="T47" s="508"/>
      <c r="U47" s="508"/>
      <c r="V47" s="508"/>
      <c r="W47" s="508"/>
      <c r="X47" s="508"/>
      <c r="Y47" s="508"/>
      <c r="Z47" s="508"/>
      <c r="AA47" s="508"/>
      <c r="AB47" s="508"/>
      <c r="AC47" s="508"/>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row>
    <row r="48" spans="1:78" ht="19.5" customHeight="1" x14ac:dyDescent="0.35">
      <c r="A48" s="617"/>
      <c r="B48" s="284"/>
      <c r="C48" s="284"/>
      <c r="D48" s="284"/>
      <c r="E48" s="284"/>
      <c r="F48" s="583"/>
      <c r="G48" s="583"/>
      <c r="H48" s="583"/>
      <c r="I48" s="583"/>
      <c r="J48" s="583"/>
      <c r="K48" s="583"/>
      <c r="L48" s="583"/>
      <c r="M48" s="583"/>
      <c r="N48" s="583"/>
      <c r="O48" s="583"/>
      <c r="P48" s="583"/>
      <c r="Q48" s="583"/>
      <c r="R48" s="584"/>
      <c r="S48" s="508"/>
      <c r="T48" s="508"/>
      <c r="U48" s="508"/>
      <c r="V48" s="508"/>
      <c r="W48" s="508"/>
      <c r="X48" s="508"/>
      <c r="Y48" s="508"/>
      <c r="Z48" s="508"/>
      <c r="AA48" s="508"/>
      <c r="AB48" s="508"/>
      <c r="AC48" s="508"/>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row>
    <row r="49" spans="2:29" x14ac:dyDescent="0.35">
      <c r="B49" s="181"/>
      <c r="C49" s="156"/>
      <c r="D49" s="156"/>
      <c r="E49" s="156"/>
      <c r="F49" s="156"/>
      <c r="G49" s="156"/>
      <c r="H49" s="156"/>
      <c r="I49" s="156"/>
      <c r="J49" s="156"/>
      <c r="K49" s="156"/>
      <c r="L49" s="156"/>
      <c r="M49" s="156"/>
      <c r="N49" s="156"/>
      <c r="O49" s="156"/>
      <c r="P49" s="538"/>
      <c r="Q49" s="538"/>
      <c r="R49" s="538"/>
      <c r="S49" s="538"/>
      <c r="T49" s="538"/>
      <c r="U49" s="538"/>
      <c r="V49" s="538"/>
      <c r="W49" s="538"/>
      <c r="X49" s="538"/>
      <c r="Y49" s="538"/>
      <c r="Z49" s="538"/>
      <c r="AA49" s="538"/>
      <c r="AB49" s="538"/>
      <c r="AC49" s="538"/>
    </row>
    <row r="51" spans="2:29" ht="14.65" customHeight="1" x14ac:dyDescent="0.35">
      <c r="B51" s="534" t="s">
        <v>940</v>
      </c>
      <c r="C51" s="69" t="s">
        <v>587</v>
      </c>
      <c r="D51" s="586"/>
      <c r="E51" s="587"/>
      <c r="F51" s="620">
        <v>60.5</v>
      </c>
      <c r="G51" s="620">
        <v>81.400000000000006</v>
      </c>
      <c r="H51" s="620">
        <v>82.2</v>
      </c>
      <c r="I51" s="620">
        <v>80.3</v>
      </c>
      <c r="J51" s="620">
        <v>1123.5999999999999</v>
      </c>
      <c r="K51" s="620">
        <v>1220.5</v>
      </c>
      <c r="L51" s="620">
        <v>618.6</v>
      </c>
      <c r="M51" s="620">
        <v>403.8</v>
      </c>
      <c r="N51" s="620">
        <v>697</v>
      </c>
      <c r="O51" s="620">
        <v>554.5</v>
      </c>
      <c r="P51" s="68">
        <v>304.7</v>
      </c>
      <c r="Q51" s="68">
        <v>149.4</v>
      </c>
      <c r="R51" s="626">
        <v>157.69999999999999</v>
      </c>
      <c r="S51" s="619">
        <v>115.77965375854215</v>
      </c>
      <c r="T51" s="619">
        <v>87.727000000000004</v>
      </c>
      <c r="U51" s="619">
        <v>87.727000000000004</v>
      </c>
      <c r="V51" s="619">
        <v>87.727000000000004</v>
      </c>
      <c r="W51" s="619">
        <v>87.727000000000004</v>
      </c>
      <c r="X51" s="619">
        <v>83.125000000000014</v>
      </c>
      <c r="Y51" s="619">
        <v>83.125000000000014</v>
      </c>
      <c r="Z51" s="619">
        <v>83.125000000000014</v>
      </c>
      <c r="AA51" s="619">
        <v>83.125000000000014</v>
      </c>
      <c r="AB51" s="619">
        <v>86.865000000000009</v>
      </c>
      <c r="AC51" s="605">
        <v>86.865000000000009</v>
      </c>
    </row>
    <row r="52" spans="2:29" x14ac:dyDescent="0.35">
      <c r="B52" s="475" t="s">
        <v>466</v>
      </c>
      <c r="C52" s="69"/>
      <c r="D52" s="534"/>
      <c r="E52" s="69"/>
      <c r="F52" s="68">
        <v>60.5</v>
      </c>
      <c r="G52" s="68">
        <v>81.400000000000006</v>
      </c>
      <c r="H52" s="68">
        <v>82.2</v>
      </c>
      <c r="I52" s="68">
        <v>80.3</v>
      </c>
      <c r="J52" s="68">
        <v>134.09999999999991</v>
      </c>
      <c r="K52" s="68">
        <v>93.900000000000091</v>
      </c>
      <c r="L52" s="68">
        <v>80.199999999999932</v>
      </c>
      <c r="M52" s="68">
        <v>73.900000000000034</v>
      </c>
      <c r="N52" s="68">
        <v>76.299999999999955</v>
      </c>
      <c r="O52" s="68">
        <v>76.383519999999976</v>
      </c>
      <c r="P52" s="68">
        <v>72.499999999999972</v>
      </c>
      <c r="Q52" s="68">
        <v>79</v>
      </c>
      <c r="R52" s="483">
        <v>95.899999999999991</v>
      </c>
      <c r="S52" s="354">
        <v>76.100000000000009</v>
      </c>
      <c r="T52" s="354">
        <v>76.100000000000009</v>
      </c>
      <c r="U52" s="354">
        <v>76.100000000000009</v>
      </c>
      <c r="V52" s="354">
        <v>76.100000000000009</v>
      </c>
      <c r="W52" s="354">
        <v>76.100000000000009</v>
      </c>
      <c r="X52" s="354">
        <v>76.100000000000009</v>
      </c>
      <c r="Y52" s="354">
        <v>76.100000000000009</v>
      </c>
      <c r="Z52" s="354">
        <v>76.100000000000009</v>
      </c>
      <c r="AA52" s="354">
        <v>76.100000000000009</v>
      </c>
      <c r="AB52" s="354">
        <v>76.100000000000009</v>
      </c>
      <c r="AC52" s="461">
        <v>76.100000000000009</v>
      </c>
    </row>
    <row r="53" spans="2:29" x14ac:dyDescent="0.35">
      <c r="B53" s="474" t="s">
        <v>467</v>
      </c>
      <c r="C53" s="69"/>
      <c r="D53" s="534"/>
      <c r="E53" s="69"/>
      <c r="F53" s="624"/>
      <c r="G53" s="624"/>
      <c r="H53" s="68">
        <v>0</v>
      </c>
      <c r="I53" s="68">
        <v>0</v>
      </c>
      <c r="J53" s="68">
        <v>989.5</v>
      </c>
      <c r="K53" s="68">
        <v>1126.5999999999999</v>
      </c>
      <c r="L53" s="68">
        <v>538.40000000000009</v>
      </c>
      <c r="M53" s="68">
        <v>329.9</v>
      </c>
      <c r="N53" s="71">
        <v>620.70000000000005</v>
      </c>
      <c r="O53" s="71">
        <v>478.11648000000002</v>
      </c>
      <c r="P53" s="71">
        <v>232.20000000000002</v>
      </c>
      <c r="Q53" s="71">
        <v>70.400000000000006</v>
      </c>
      <c r="R53" s="398">
        <v>61.8</v>
      </c>
      <c r="S53" s="354">
        <v>39.679653758542145</v>
      </c>
      <c r="T53" s="354">
        <v>11.627000000000002</v>
      </c>
      <c r="U53" s="354">
        <v>11.627000000000002</v>
      </c>
      <c r="V53" s="354">
        <v>11.627000000000002</v>
      </c>
      <c r="W53" s="354">
        <v>11.627000000000002</v>
      </c>
      <c r="X53" s="354">
        <v>7.0250000000000004</v>
      </c>
      <c r="Y53" s="354">
        <v>7.0250000000000004</v>
      </c>
      <c r="Z53" s="354">
        <v>7.0250000000000004</v>
      </c>
      <c r="AA53" s="354">
        <v>7.0250000000000004</v>
      </c>
      <c r="AB53" s="354">
        <v>10.765000000000001</v>
      </c>
      <c r="AC53" s="354">
        <v>10.765000000000001</v>
      </c>
    </row>
    <row r="54" spans="2:29" x14ac:dyDescent="0.35">
      <c r="B54" s="472" t="s">
        <v>50</v>
      </c>
      <c r="C54" s="70" t="s">
        <v>377</v>
      </c>
      <c r="D54" s="411"/>
      <c r="E54" s="70"/>
      <c r="F54" s="68"/>
      <c r="G54" s="68"/>
      <c r="H54" s="68">
        <v>0</v>
      </c>
      <c r="I54" s="68">
        <v>0</v>
      </c>
      <c r="J54" s="68">
        <v>576.9</v>
      </c>
      <c r="K54" s="68">
        <v>819.5</v>
      </c>
      <c r="L54" s="68">
        <v>246.3</v>
      </c>
      <c r="M54" s="68">
        <v>184.6</v>
      </c>
      <c r="N54" s="68">
        <v>427.2</v>
      </c>
      <c r="O54" s="68">
        <v>265</v>
      </c>
      <c r="P54" s="68">
        <v>28.6</v>
      </c>
      <c r="Q54" s="68">
        <v>0</v>
      </c>
      <c r="R54" s="483">
        <v>0</v>
      </c>
      <c r="S54" s="354"/>
      <c r="T54" s="354"/>
      <c r="U54" s="354"/>
      <c r="V54" s="354"/>
      <c r="W54" s="354"/>
      <c r="X54" s="354"/>
      <c r="Y54" s="354"/>
      <c r="Z54" s="606"/>
      <c r="AA54" s="606"/>
      <c r="AB54" s="606"/>
      <c r="AC54" s="614"/>
    </row>
    <row r="55" spans="2:29" x14ac:dyDescent="0.35">
      <c r="B55" s="474" t="s">
        <v>468</v>
      </c>
      <c r="C55" s="69"/>
      <c r="D55" s="534"/>
      <c r="E55" s="69"/>
      <c r="F55" s="624"/>
      <c r="G55" s="624"/>
      <c r="H55" s="68">
        <v>0</v>
      </c>
      <c r="I55" s="68">
        <v>0</v>
      </c>
      <c r="J55" s="68">
        <v>412.6</v>
      </c>
      <c r="K55" s="68">
        <v>307.10000000000002</v>
      </c>
      <c r="L55" s="68">
        <v>292.10000000000002</v>
      </c>
      <c r="M55" s="68">
        <v>145.30000000000001</v>
      </c>
      <c r="N55" s="68">
        <v>193.50000000000003</v>
      </c>
      <c r="O55" s="68">
        <v>213.11648</v>
      </c>
      <c r="P55" s="68">
        <v>203.60000000000002</v>
      </c>
      <c r="Q55" s="68">
        <v>70.400000000000006</v>
      </c>
      <c r="R55" s="483">
        <v>61.8</v>
      </c>
      <c r="S55" s="607">
        <v>39.679653758542145</v>
      </c>
      <c r="T55" s="607">
        <v>8.886000000000001</v>
      </c>
      <c r="U55" s="607">
        <v>8.886000000000001</v>
      </c>
      <c r="V55" s="607">
        <v>8.886000000000001</v>
      </c>
      <c r="W55" s="607">
        <v>8.886000000000001</v>
      </c>
      <c r="X55" s="607">
        <v>0.2</v>
      </c>
      <c r="Y55" s="607">
        <v>0.2</v>
      </c>
      <c r="Z55" s="607">
        <v>0.2</v>
      </c>
      <c r="AA55" s="607">
        <v>0.2</v>
      </c>
      <c r="AB55" s="607">
        <v>0</v>
      </c>
      <c r="AC55" s="622">
        <v>0</v>
      </c>
    </row>
    <row r="56" spans="2:29" x14ac:dyDescent="0.35">
      <c r="B56" s="594" t="s">
        <v>145</v>
      </c>
      <c r="C56" s="51" t="s">
        <v>469</v>
      </c>
      <c r="D56" s="410"/>
      <c r="E56" s="51"/>
      <c r="F56" s="68"/>
      <c r="G56" s="68"/>
      <c r="H56" s="68">
        <v>0</v>
      </c>
      <c r="I56" s="68">
        <v>0</v>
      </c>
      <c r="J56" s="68">
        <v>16.899999999999999</v>
      </c>
      <c r="K56" s="68">
        <v>18.399999999999999</v>
      </c>
      <c r="L56" s="68">
        <v>46.2</v>
      </c>
      <c r="M56" s="68">
        <v>0.9</v>
      </c>
      <c r="N56" s="68">
        <v>14.3</v>
      </c>
      <c r="O56" s="68">
        <v>8.6999999999999993</v>
      </c>
      <c r="P56" s="68">
        <v>1.2</v>
      </c>
      <c r="Q56" s="68">
        <v>0.6</v>
      </c>
      <c r="R56" s="483">
        <v>0</v>
      </c>
      <c r="S56" s="354"/>
      <c r="T56" s="354"/>
      <c r="U56" s="354"/>
      <c r="V56" s="608"/>
      <c r="W56" s="608"/>
      <c r="X56" s="608"/>
      <c r="Y56" s="608"/>
      <c r="Z56" s="606"/>
      <c r="AA56" s="606"/>
      <c r="AB56" s="606"/>
      <c r="AC56" s="614"/>
    </row>
    <row r="57" spans="2:29" x14ac:dyDescent="0.35">
      <c r="B57" s="594" t="s">
        <v>143</v>
      </c>
      <c r="C57" s="51" t="s">
        <v>470</v>
      </c>
      <c r="D57" s="410"/>
      <c r="E57" s="51"/>
      <c r="F57" s="68"/>
      <c r="G57" s="68"/>
      <c r="H57" s="68">
        <v>0</v>
      </c>
      <c r="I57" s="68">
        <v>0</v>
      </c>
      <c r="J57" s="68">
        <v>73.3</v>
      </c>
      <c r="K57" s="68">
        <v>73.3</v>
      </c>
      <c r="L57" s="68">
        <v>73.3</v>
      </c>
      <c r="M57" s="68">
        <v>62.9</v>
      </c>
      <c r="N57" s="68">
        <v>62.9</v>
      </c>
      <c r="O57" s="68">
        <v>62.9</v>
      </c>
      <c r="P57" s="68">
        <v>62.9</v>
      </c>
      <c r="Q57" s="68">
        <v>0</v>
      </c>
      <c r="R57" s="483">
        <v>0</v>
      </c>
      <c r="S57" s="354">
        <v>0</v>
      </c>
      <c r="T57" s="354">
        <v>0</v>
      </c>
      <c r="U57" s="354">
        <v>0</v>
      </c>
      <c r="V57" s="354">
        <v>0</v>
      </c>
      <c r="W57" s="354">
        <v>0</v>
      </c>
      <c r="X57" s="354">
        <v>0</v>
      </c>
      <c r="Y57" s="354">
        <v>0</v>
      </c>
      <c r="Z57" s="354">
        <v>0</v>
      </c>
      <c r="AA57" s="354">
        <v>0</v>
      </c>
      <c r="AB57" s="354">
        <v>0</v>
      </c>
      <c r="AC57" s="354">
        <v>0</v>
      </c>
    </row>
    <row r="58" spans="2:29" x14ac:dyDescent="0.35">
      <c r="B58" s="594" t="s">
        <v>142</v>
      </c>
      <c r="C58" s="70" t="s">
        <v>471</v>
      </c>
      <c r="D58" s="411"/>
      <c r="E58" s="70"/>
      <c r="F58" s="68"/>
      <c r="G58" s="68"/>
      <c r="H58" s="68">
        <v>0</v>
      </c>
      <c r="I58" s="68">
        <v>0</v>
      </c>
      <c r="J58" s="68">
        <v>63.8</v>
      </c>
      <c r="K58" s="68">
        <v>15</v>
      </c>
      <c r="L58" s="68">
        <v>0.1</v>
      </c>
      <c r="M58" s="68">
        <v>38</v>
      </c>
      <c r="N58" s="68">
        <v>47.3</v>
      </c>
      <c r="O58" s="68">
        <v>0.7</v>
      </c>
      <c r="P58" s="68">
        <v>0</v>
      </c>
      <c r="Q58" s="68">
        <v>0.3</v>
      </c>
      <c r="R58" s="483">
        <v>0.2</v>
      </c>
      <c r="S58" s="354">
        <v>0</v>
      </c>
      <c r="T58" s="354">
        <v>0</v>
      </c>
      <c r="U58" s="354">
        <v>0</v>
      </c>
      <c r="V58" s="354">
        <v>0</v>
      </c>
      <c r="W58" s="354">
        <v>0</v>
      </c>
      <c r="X58" s="354">
        <v>0</v>
      </c>
      <c r="Y58" s="354">
        <v>0</v>
      </c>
      <c r="Z58" s="354">
        <v>0</v>
      </c>
      <c r="AA58" s="354">
        <v>0</v>
      </c>
      <c r="AB58" s="354">
        <v>0</v>
      </c>
      <c r="AC58" s="461">
        <v>0</v>
      </c>
    </row>
    <row r="59" spans="2:29" x14ac:dyDescent="0.35">
      <c r="B59" s="594" t="s">
        <v>472</v>
      </c>
      <c r="C59" s="70" t="s">
        <v>357</v>
      </c>
      <c r="D59" s="411"/>
      <c r="E59" s="70"/>
      <c r="F59" s="68"/>
      <c r="G59" s="68"/>
      <c r="H59" s="68">
        <v>0</v>
      </c>
      <c r="I59" s="68">
        <v>0</v>
      </c>
      <c r="J59" s="68">
        <v>96.6</v>
      </c>
      <c r="K59" s="68">
        <v>35.1</v>
      </c>
      <c r="L59" s="68">
        <v>20.7</v>
      </c>
      <c r="M59" s="68">
        <v>25.7</v>
      </c>
      <c r="N59" s="68">
        <v>16</v>
      </c>
      <c r="O59" s="68">
        <v>22.4</v>
      </c>
      <c r="P59" s="68">
        <v>38.700000000000003</v>
      </c>
      <c r="Q59" s="68">
        <v>32.200000000000003</v>
      </c>
      <c r="R59" s="592">
        <v>26</v>
      </c>
      <c r="S59" s="354">
        <v>17.767653758542139</v>
      </c>
      <c r="T59" s="354">
        <v>0</v>
      </c>
      <c r="U59" s="354"/>
      <c r="V59" s="354"/>
      <c r="W59" s="354"/>
      <c r="X59" s="354"/>
      <c r="Y59" s="354"/>
      <c r="Z59" s="606"/>
      <c r="AA59" s="606"/>
      <c r="AB59" s="606"/>
      <c r="AC59" s="614"/>
    </row>
    <row r="60" spans="2:29" x14ac:dyDescent="0.35">
      <c r="B60" s="594" t="s">
        <v>144</v>
      </c>
      <c r="C60" s="70" t="s">
        <v>473</v>
      </c>
      <c r="D60" s="411"/>
      <c r="E60" s="70"/>
      <c r="F60" s="68"/>
      <c r="G60" s="68"/>
      <c r="H60" s="68">
        <v>0</v>
      </c>
      <c r="I60" s="68">
        <v>0</v>
      </c>
      <c r="J60" s="68">
        <v>22</v>
      </c>
      <c r="K60" s="68">
        <v>25.3</v>
      </c>
      <c r="L60" s="68">
        <v>11.8</v>
      </c>
      <c r="M60" s="68">
        <v>9.8000000000000007</v>
      </c>
      <c r="N60" s="68">
        <v>12.3</v>
      </c>
      <c r="O60" s="68">
        <v>18.5</v>
      </c>
      <c r="P60" s="68">
        <v>15.7</v>
      </c>
      <c r="Q60" s="68">
        <v>18.600000000000001</v>
      </c>
      <c r="R60" s="592">
        <v>19</v>
      </c>
      <c r="S60" s="354">
        <v>5.6120000000000001</v>
      </c>
      <c r="T60" s="354">
        <v>0.48599999999999993</v>
      </c>
      <c r="U60" s="354">
        <v>0.48599999999999993</v>
      </c>
      <c r="V60" s="354">
        <v>0.48599999999999993</v>
      </c>
      <c r="W60" s="354">
        <v>0.48599999999999993</v>
      </c>
      <c r="X60" s="354">
        <v>0</v>
      </c>
      <c r="Y60" s="354">
        <v>0</v>
      </c>
      <c r="Z60" s="354">
        <v>0</v>
      </c>
      <c r="AA60" s="354">
        <v>0</v>
      </c>
      <c r="AB60" s="354">
        <v>0</v>
      </c>
      <c r="AC60" s="461">
        <v>0</v>
      </c>
    </row>
    <row r="61" spans="2:29" x14ac:dyDescent="0.35">
      <c r="B61" s="594" t="s">
        <v>148</v>
      </c>
      <c r="C61" s="70" t="s">
        <v>474</v>
      </c>
      <c r="D61" s="411"/>
      <c r="E61" s="70"/>
      <c r="F61" s="68"/>
      <c r="G61" s="68"/>
      <c r="H61" s="68">
        <v>0</v>
      </c>
      <c r="I61" s="68">
        <v>0</v>
      </c>
      <c r="J61" s="68">
        <v>140</v>
      </c>
      <c r="K61" s="68">
        <v>140</v>
      </c>
      <c r="L61" s="68">
        <v>140</v>
      </c>
      <c r="M61" s="68">
        <v>8</v>
      </c>
      <c r="N61" s="68">
        <v>8</v>
      </c>
      <c r="O61" s="68">
        <v>8</v>
      </c>
      <c r="P61" s="68">
        <v>8</v>
      </c>
      <c r="Q61" s="68">
        <v>0</v>
      </c>
      <c r="R61" s="483">
        <v>0</v>
      </c>
      <c r="S61" s="354">
        <v>0</v>
      </c>
      <c r="T61" s="354">
        <v>0</v>
      </c>
      <c r="U61" s="354">
        <v>0</v>
      </c>
      <c r="V61" s="354">
        <v>0</v>
      </c>
      <c r="W61" s="354">
        <v>0</v>
      </c>
      <c r="X61" s="354">
        <v>0</v>
      </c>
      <c r="Y61" s="354">
        <v>0</v>
      </c>
      <c r="Z61" s="354">
        <v>0</v>
      </c>
      <c r="AA61" s="354">
        <v>0</v>
      </c>
      <c r="AB61" s="354">
        <v>0</v>
      </c>
      <c r="AC61" s="354">
        <v>0</v>
      </c>
    </row>
    <row r="62" spans="2:29" x14ac:dyDescent="0.35">
      <c r="B62" s="594" t="s">
        <v>475</v>
      </c>
      <c r="C62" s="70" t="s">
        <v>855</v>
      </c>
      <c r="D62" s="409"/>
      <c r="E62" s="68"/>
      <c r="F62" s="68"/>
      <c r="G62" s="68"/>
      <c r="H62" s="68"/>
      <c r="I62" s="68"/>
      <c r="J62" s="68"/>
      <c r="K62" s="68"/>
      <c r="L62" s="68"/>
      <c r="M62" s="68"/>
      <c r="N62" s="68">
        <v>11.3</v>
      </c>
      <c r="O62" s="68">
        <v>10.4</v>
      </c>
      <c r="P62" s="68">
        <v>5.3</v>
      </c>
      <c r="Q62" s="68">
        <v>2.4</v>
      </c>
      <c r="R62" s="483">
        <v>0.3</v>
      </c>
      <c r="S62" s="354">
        <v>0</v>
      </c>
      <c r="T62" s="354">
        <v>0</v>
      </c>
      <c r="U62" s="354">
        <v>0</v>
      </c>
      <c r="V62" s="354">
        <v>0</v>
      </c>
      <c r="W62" s="354">
        <v>0</v>
      </c>
      <c r="X62" s="354">
        <v>0</v>
      </c>
      <c r="Y62" s="354">
        <v>0</v>
      </c>
      <c r="Z62" s="354">
        <v>0</v>
      </c>
      <c r="AA62" s="354">
        <v>0</v>
      </c>
      <c r="AB62" s="354">
        <v>0</v>
      </c>
      <c r="AC62" s="354">
        <v>0</v>
      </c>
    </row>
    <row r="63" spans="2:29" x14ac:dyDescent="0.35">
      <c r="B63" s="594" t="s">
        <v>476</v>
      </c>
      <c r="C63" s="70" t="s">
        <v>854</v>
      </c>
      <c r="D63" s="411"/>
      <c r="E63" s="70"/>
      <c r="F63" s="68"/>
      <c r="G63" s="595"/>
      <c r="H63" s="68"/>
      <c r="I63" s="68"/>
      <c r="J63" s="68"/>
      <c r="K63" s="68"/>
      <c r="L63" s="68"/>
      <c r="M63" s="68"/>
      <c r="N63" s="68">
        <v>21.4</v>
      </c>
      <c r="O63" s="68">
        <v>57</v>
      </c>
      <c r="P63" s="68">
        <v>35.5</v>
      </c>
      <c r="Q63" s="68">
        <v>0</v>
      </c>
      <c r="R63" s="483">
        <v>0</v>
      </c>
      <c r="S63" s="354">
        <v>0</v>
      </c>
      <c r="T63" s="354">
        <v>0</v>
      </c>
      <c r="U63" s="354">
        <v>0</v>
      </c>
      <c r="V63" s="354">
        <v>0</v>
      </c>
      <c r="W63" s="354">
        <v>0</v>
      </c>
      <c r="X63" s="354">
        <v>0</v>
      </c>
      <c r="Y63" s="354">
        <v>0</v>
      </c>
      <c r="Z63" s="354">
        <v>0</v>
      </c>
      <c r="AA63" s="354">
        <v>0</v>
      </c>
      <c r="AB63" s="354">
        <v>0</v>
      </c>
      <c r="AC63" s="354">
        <v>0</v>
      </c>
    </row>
    <row r="64" spans="2:29" x14ac:dyDescent="0.35">
      <c r="B64" s="594" t="s">
        <v>477</v>
      </c>
      <c r="C64" s="70"/>
      <c r="D64" s="411"/>
      <c r="E64" s="70"/>
      <c r="F64" s="68"/>
      <c r="G64" s="68"/>
      <c r="H64" s="68"/>
      <c r="I64" s="68"/>
      <c r="J64" s="68"/>
      <c r="K64" s="68"/>
      <c r="L64" s="68"/>
      <c r="M64" s="68"/>
      <c r="N64" s="68"/>
      <c r="O64" s="71">
        <v>12.51648</v>
      </c>
      <c r="P64" s="71">
        <v>11.3</v>
      </c>
      <c r="Q64" s="71">
        <v>11.3</v>
      </c>
      <c r="R64" s="71">
        <v>11.3</v>
      </c>
      <c r="S64" s="354">
        <v>11.3</v>
      </c>
      <c r="T64" s="354">
        <v>8.4</v>
      </c>
      <c r="U64" s="354">
        <v>8.4</v>
      </c>
      <c r="V64" s="354">
        <v>8.4</v>
      </c>
      <c r="W64" s="354">
        <v>8.4</v>
      </c>
      <c r="X64" s="354">
        <v>0.2</v>
      </c>
      <c r="Y64" s="354">
        <v>0.2</v>
      </c>
      <c r="Z64" s="354">
        <v>0.2</v>
      </c>
      <c r="AA64" s="354">
        <v>0.2</v>
      </c>
      <c r="AB64" s="354">
        <v>0</v>
      </c>
      <c r="AC64" s="354">
        <v>0</v>
      </c>
    </row>
    <row r="65" spans="2:29" x14ac:dyDescent="0.35">
      <c r="B65" s="594" t="s">
        <v>478</v>
      </c>
      <c r="C65" s="70"/>
      <c r="D65" s="411"/>
      <c r="E65" s="70"/>
      <c r="F65" s="71"/>
      <c r="G65" s="71"/>
      <c r="H65" s="151"/>
      <c r="I65" s="151"/>
      <c r="J65" s="151"/>
      <c r="K65" s="151"/>
      <c r="L65" s="151"/>
      <c r="M65" s="151"/>
      <c r="N65" s="71"/>
      <c r="O65" s="71">
        <v>12</v>
      </c>
      <c r="P65" s="71">
        <v>25</v>
      </c>
      <c r="Q65" s="71">
        <v>5</v>
      </c>
      <c r="R65" s="71">
        <v>5</v>
      </c>
      <c r="S65" s="354">
        <v>5</v>
      </c>
      <c r="T65" s="354">
        <v>0</v>
      </c>
      <c r="U65" s="354">
        <v>0</v>
      </c>
      <c r="V65" s="354">
        <v>0</v>
      </c>
      <c r="W65" s="354">
        <v>0</v>
      </c>
      <c r="X65" s="354">
        <v>0</v>
      </c>
      <c r="Y65" s="354">
        <v>0</v>
      </c>
      <c r="Z65" s="354">
        <v>0</v>
      </c>
      <c r="AA65" s="354">
        <v>0</v>
      </c>
      <c r="AB65" s="354">
        <v>0</v>
      </c>
      <c r="AC65" s="354">
        <v>0</v>
      </c>
    </row>
    <row r="66" spans="2:29" x14ac:dyDescent="0.35">
      <c r="B66" s="589" t="s">
        <v>1487</v>
      </c>
      <c r="C66" s="70"/>
      <c r="D66" s="411"/>
      <c r="E66" s="70"/>
      <c r="F66" s="71"/>
      <c r="G66" s="71"/>
      <c r="H66" s="151"/>
      <c r="I66" s="151"/>
      <c r="J66" s="151"/>
      <c r="K66" s="151"/>
      <c r="L66" s="151"/>
      <c r="M66" s="151"/>
      <c r="N66" s="71"/>
      <c r="O66" s="71"/>
      <c r="P66" s="71"/>
      <c r="Q66" s="71"/>
      <c r="R66" s="71"/>
      <c r="S66" s="591">
        <v>0</v>
      </c>
      <c r="T66" s="591">
        <v>2.3250000000000002</v>
      </c>
      <c r="U66" s="591">
        <v>2.3250000000000002</v>
      </c>
      <c r="V66" s="591">
        <v>2.3250000000000002</v>
      </c>
      <c r="W66" s="591">
        <v>2.3250000000000002</v>
      </c>
      <c r="X66" s="591">
        <v>5.5830000000000002</v>
      </c>
      <c r="Y66" s="591">
        <v>5.5830000000000002</v>
      </c>
      <c r="Z66" s="591">
        <v>5.5830000000000002</v>
      </c>
      <c r="AA66" s="591">
        <v>5.5830000000000002</v>
      </c>
      <c r="AB66" s="591">
        <v>8.0220000000000002</v>
      </c>
      <c r="AC66" s="591">
        <v>8.0220000000000002</v>
      </c>
    </row>
    <row r="67" spans="2:29" x14ac:dyDescent="0.35">
      <c r="B67" s="589" t="s">
        <v>1294</v>
      </c>
      <c r="C67" s="415"/>
      <c r="D67" s="413"/>
      <c r="E67" s="415"/>
      <c r="F67" s="420"/>
      <c r="G67" s="420"/>
      <c r="H67" s="627"/>
      <c r="I67" s="627"/>
      <c r="J67" s="627"/>
      <c r="K67" s="627"/>
      <c r="L67" s="627"/>
      <c r="M67" s="627"/>
      <c r="N67" s="420"/>
      <c r="O67" s="420"/>
      <c r="P67" s="420"/>
      <c r="Q67" s="420"/>
      <c r="R67" s="420"/>
      <c r="S67" s="590">
        <v>0</v>
      </c>
      <c r="T67" s="590">
        <v>0.41599999999999998</v>
      </c>
      <c r="U67" s="590">
        <v>0.41599999999999998</v>
      </c>
      <c r="V67" s="590">
        <v>0.41599999999999998</v>
      </c>
      <c r="W67" s="590">
        <v>0.41599999999999998</v>
      </c>
      <c r="X67" s="590">
        <v>1.242</v>
      </c>
      <c r="Y67" s="590">
        <v>1.242</v>
      </c>
      <c r="Z67" s="590">
        <v>1.242</v>
      </c>
      <c r="AA67" s="590">
        <v>1.242</v>
      </c>
      <c r="AB67" s="590">
        <v>2.7429999999999999</v>
      </c>
      <c r="AC67" s="590">
        <v>2.7429999999999999</v>
      </c>
    </row>
    <row r="68" spans="2:29" ht="14.5" customHeight="1" x14ac:dyDescent="0.35">
      <c r="B68" s="1320" t="s">
        <v>479</v>
      </c>
      <c r="C68" s="1321"/>
      <c r="D68" s="533"/>
      <c r="E68" s="588"/>
      <c r="F68" s="588"/>
      <c r="G68" s="588"/>
      <c r="H68" s="71"/>
      <c r="I68" s="71"/>
      <c r="J68" s="71"/>
      <c r="K68" s="71"/>
      <c r="L68" s="71"/>
      <c r="M68" s="71"/>
      <c r="N68" s="71"/>
      <c r="O68" s="71"/>
      <c r="P68" s="612"/>
      <c r="Q68" s="71"/>
      <c r="R68" s="398"/>
      <c r="S68" s="354"/>
      <c r="T68" s="354"/>
      <c r="U68" s="354"/>
      <c r="V68" s="606"/>
      <c r="W68" s="606"/>
      <c r="X68" s="606"/>
      <c r="Y68" s="606"/>
      <c r="Z68" s="606"/>
      <c r="AA68" s="606"/>
      <c r="AB68" s="606"/>
      <c r="AC68" s="614"/>
    </row>
    <row r="69" spans="2:29" x14ac:dyDescent="0.35">
      <c r="B69" s="474" t="s">
        <v>480</v>
      </c>
      <c r="C69" s="178"/>
      <c r="D69" s="187"/>
      <c r="E69" s="178"/>
      <c r="F69" s="151"/>
      <c r="G69" s="151"/>
      <c r="H69" s="71"/>
      <c r="I69" s="71"/>
      <c r="J69" s="71"/>
      <c r="K69" s="71"/>
      <c r="L69" s="71"/>
      <c r="M69" s="71"/>
      <c r="N69" s="71">
        <v>23</v>
      </c>
      <c r="O69" s="71">
        <v>162</v>
      </c>
      <c r="P69" s="71"/>
      <c r="Q69" s="71"/>
      <c r="R69" s="398"/>
      <c r="S69" s="354"/>
      <c r="T69" s="354"/>
      <c r="U69" s="354"/>
      <c r="V69" s="606"/>
      <c r="W69" s="606"/>
      <c r="X69" s="606"/>
      <c r="Y69" s="606"/>
      <c r="Z69" s="606"/>
      <c r="AA69" s="606"/>
      <c r="AB69" s="606"/>
      <c r="AC69" s="614"/>
    </row>
    <row r="70" spans="2:29" x14ac:dyDescent="0.35">
      <c r="B70" s="472" t="s">
        <v>481</v>
      </c>
      <c r="C70" s="178"/>
      <c r="D70" s="187"/>
      <c r="E70" s="178"/>
      <c r="F70" s="151"/>
      <c r="G70" s="151"/>
      <c r="H70" s="71"/>
      <c r="I70" s="71"/>
      <c r="J70" s="71"/>
      <c r="K70" s="71"/>
      <c r="L70" s="596"/>
      <c r="M70" s="71"/>
      <c r="N70" s="71">
        <v>11</v>
      </c>
      <c r="O70" s="71">
        <v>11</v>
      </c>
      <c r="P70" s="71"/>
      <c r="Q70" s="71"/>
      <c r="R70" s="398"/>
      <c r="S70" s="354"/>
      <c r="T70" s="354"/>
      <c r="U70" s="354"/>
      <c r="V70" s="606"/>
      <c r="W70" s="606"/>
      <c r="X70" s="606"/>
      <c r="Y70" s="606"/>
      <c r="Z70" s="606"/>
      <c r="AA70" s="606"/>
      <c r="AB70" s="606"/>
      <c r="AC70" s="614"/>
    </row>
    <row r="71" spans="2:29" x14ac:dyDescent="0.35">
      <c r="B71" s="472" t="s">
        <v>478</v>
      </c>
      <c r="C71" s="178"/>
      <c r="D71" s="187"/>
      <c r="E71" s="178"/>
      <c r="F71" s="151"/>
      <c r="G71" s="151"/>
      <c r="H71" s="71"/>
      <c r="I71" s="71"/>
      <c r="J71" s="71"/>
      <c r="K71" s="71"/>
      <c r="L71" s="596"/>
      <c r="M71" s="71"/>
      <c r="N71" s="71"/>
      <c r="O71" s="71"/>
      <c r="P71" s="71"/>
      <c r="Q71" s="71"/>
      <c r="R71" s="398"/>
      <c r="S71" s="354"/>
      <c r="T71" s="354"/>
      <c r="U71" s="354"/>
      <c r="V71" s="606"/>
      <c r="W71" s="606"/>
      <c r="X71" s="606"/>
      <c r="Y71" s="606"/>
      <c r="Z71" s="606"/>
      <c r="AA71" s="606"/>
      <c r="AB71" s="606"/>
      <c r="AC71" s="614"/>
    </row>
    <row r="72" spans="2:29" ht="27.65" customHeight="1" x14ac:dyDescent="0.35">
      <c r="B72" s="615" t="s">
        <v>475</v>
      </c>
      <c r="C72" s="178"/>
      <c r="D72" s="187"/>
      <c r="E72" s="178"/>
      <c r="F72" s="151"/>
      <c r="G72" s="151"/>
      <c r="H72" s="71"/>
      <c r="I72" s="71"/>
      <c r="J72" s="71"/>
      <c r="K72" s="71"/>
      <c r="L72" s="71"/>
      <c r="M72" s="71"/>
      <c r="N72" s="71"/>
      <c r="O72" s="71">
        <v>79</v>
      </c>
      <c r="P72" s="71"/>
      <c r="Q72" s="432"/>
      <c r="R72" s="479"/>
      <c r="S72" s="466"/>
      <c r="T72" s="466"/>
      <c r="U72" s="466"/>
      <c r="V72" s="606"/>
      <c r="W72" s="606"/>
      <c r="X72" s="606"/>
      <c r="Y72" s="606"/>
      <c r="Z72" s="606"/>
      <c r="AA72" s="606"/>
      <c r="AB72" s="606"/>
      <c r="AC72" s="614"/>
    </row>
    <row r="73" spans="2:29" x14ac:dyDescent="0.35">
      <c r="B73" s="616" t="s">
        <v>482</v>
      </c>
      <c r="C73" s="178"/>
      <c r="D73" s="187"/>
      <c r="E73" s="178"/>
      <c r="F73" s="151"/>
      <c r="G73" s="151"/>
      <c r="H73" s="71"/>
      <c r="I73" s="71"/>
      <c r="J73" s="71"/>
      <c r="K73" s="71"/>
      <c r="L73" s="71"/>
      <c r="M73" s="71"/>
      <c r="N73" s="71"/>
      <c r="O73" s="71">
        <v>60</v>
      </c>
      <c r="P73" s="71"/>
      <c r="Q73" s="432"/>
      <c r="R73" s="479"/>
      <c r="S73" s="466"/>
      <c r="T73" s="466"/>
      <c r="U73" s="466"/>
      <c r="V73" s="606"/>
      <c r="W73" s="606"/>
      <c r="X73" s="606"/>
      <c r="Y73" s="606"/>
      <c r="Z73" s="606"/>
      <c r="AA73" s="606"/>
      <c r="AB73" s="606"/>
      <c r="AC73" s="614"/>
    </row>
    <row r="74" spans="2:29" ht="28.5" customHeight="1" x14ac:dyDescent="0.35">
      <c r="B74" s="616" t="s">
        <v>483</v>
      </c>
      <c r="C74" s="178"/>
      <c r="D74" s="187"/>
      <c r="E74" s="178"/>
      <c r="F74" s="151"/>
      <c r="G74" s="151"/>
      <c r="H74" s="71"/>
      <c r="I74" s="71"/>
      <c r="J74" s="71"/>
      <c r="K74" s="71"/>
      <c r="L74" s="596"/>
      <c r="M74" s="71"/>
      <c r="N74" s="71">
        <v>12</v>
      </c>
      <c r="O74" s="71">
        <v>12</v>
      </c>
      <c r="P74" s="71"/>
      <c r="Q74" s="71"/>
      <c r="R74" s="398"/>
      <c r="S74" s="354"/>
      <c r="T74" s="354"/>
      <c r="U74" s="354"/>
      <c r="V74" s="606"/>
      <c r="W74" s="606"/>
      <c r="X74" s="606"/>
      <c r="Y74" s="606"/>
      <c r="Z74" s="606"/>
      <c r="AA74" s="606"/>
      <c r="AB74" s="606"/>
      <c r="AC74" s="614"/>
    </row>
    <row r="75" spans="2:29" ht="14.5" customHeight="1" x14ac:dyDescent="0.35">
      <c r="B75" s="1318" t="s">
        <v>484</v>
      </c>
      <c r="C75" s="1319"/>
      <c r="D75" s="187"/>
      <c r="E75" s="178"/>
      <c r="F75" s="151"/>
      <c r="G75" s="151"/>
      <c r="H75" s="71"/>
      <c r="I75" s="71"/>
      <c r="J75" s="71"/>
      <c r="K75" s="71"/>
      <c r="L75" s="596"/>
      <c r="M75" s="71"/>
      <c r="N75" s="71"/>
      <c r="O75" s="71"/>
      <c r="P75" s="71"/>
      <c r="Q75" s="71"/>
      <c r="R75" s="398"/>
      <c r="S75" s="619"/>
      <c r="T75" s="619"/>
      <c r="U75" s="619"/>
      <c r="V75" s="621"/>
      <c r="W75" s="621"/>
      <c r="X75" s="621"/>
      <c r="Y75" s="621"/>
      <c r="Z75" s="621"/>
      <c r="AA75" s="621"/>
      <c r="AB75" s="621"/>
      <c r="AC75" s="599"/>
    </row>
    <row r="76" spans="2:29" x14ac:dyDescent="0.35">
      <c r="B76" s="616" t="s">
        <v>143</v>
      </c>
      <c r="C76" s="178"/>
      <c r="D76" s="187"/>
      <c r="E76" s="178"/>
      <c r="F76" s="151"/>
      <c r="G76" s="151"/>
      <c r="H76" s="71"/>
      <c r="I76" s="71"/>
      <c r="J76" s="71"/>
      <c r="K76" s="71"/>
      <c r="L76" s="596"/>
      <c r="M76" s="71">
        <v>0</v>
      </c>
      <c r="N76" s="71">
        <v>2.2132800000000001</v>
      </c>
      <c r="O76" s="71">
        <v>10.082720000000002</v>
      </c>
      <c r="P76" s="71">
        <v>7.1439999999999992</v>
      </c>
      <c r="Q76" s="71">
        <v>7.1439999999999992</v>
      </c>
      <c r="R76" s="398">
        <v>7.1439999999999992</v>
      </c>
      <c r="S76" s="354">
        <v>7.1439999999999992</v>
      </c>
      <c r="T76" s="354">
        <v>0</v>
      </c>
      <c r="U76" s="354">
        <v>0</v>
      </c>
      <c r="V76" s="354">
        <v>0</v>
      </c>
      <c r="W76" s="354">
        <v>0</v>
      </c>
      <c r="X76" s="354">
        <v>0</v>
      </c>
      <c r="Y76" s="354">
        <v>0</v>
      </c>
      <c r="Z76" s="354">
        <v>0</v>
      </c>
      <c r="AA76" s="354">
        <v>0</v>
      </c>
      <c r="AB76" s="354">
        <v>0</v>
      </c>
      <c r="AC76" s="461">
        <v>0</v>
      </c>
    </row>
    <row r="77" spans="2:29" x14ac:dyDescent="0.35">
      <c r="B77" s="616" t="s">
        <v>485</v>
      </c>
      <c r="C77" s="178"/>
      <c r="D77" s="187"/>
      <c r="E77" s="178"/>
      <c r="F77" s="151"/>
      <c r="G77" s="151"/>
      <c r="H77" s="71"/>
      <c r="I77" s="71"/>
      <c r="J77" s="71"/>
      <c r="K77" s="71"/>
      <c r="L77" s="596"/>
      <c r="M77" s="71">
        <v>0</v>
      </c>
      <c r="N77" s="71">
        <v>15.128640000000001</v>
      </c>
      <c r="O77" s="71">
        <v>68.919360000000012</v>
      </c>
      <c r="P77" s="71">
        <v>5.6120000000000001</v>
      </c>
      <c r="Q77" s="71">
        <v>5.6120000000000001</v>
      </c>
      <c r="R77" s="398">
        <v>5.6120000000000001</v>
      </c>
      <c r="S77" s="354">
        <v>5.6120000000000001</v>
      </c>
      <c r="T77" s="354">
        <v>0.48599999999999993</v>
      </c>
      <c r="U77" s="354">
        <v>0.48599999999999993</v>
      </c>
      <c r="V77" s="354">
        <v>0.48599999999999993</v>
      </c>
      <c r="W77" s="354">
        <v>0.48599999999999993</v>
      </c>
      <c r="X77" s="354">
        <v>0</v>
      </c>
      <c r="Y77" s="354">
        <v>0</v>
      </c>
      <c r="Z77" s="354">
        <v>0</v>
      </c>
      <c r="AA77" s="354">
        <v>0</v>
      </c>
      <c r="AB77" s="354">
        <v>0</v>
      </c>
      <c r="AC77" s="461">
        <v>0</v>
      </c>
    </row>
    <row r="78" spans="2:29" ht="27.65" customHeight="1" x14ac:dyDescent="0.35">
      <c r="B78" s="616" t="s">
        <v>148</v>
      </c>
      <c r="C78" s="178"/>
      <c r="D78" s="187"/>
      <c r="E78" s="178"/>
      <c r="F78" s="151"/>
      <c r="G78" s="151"/>
      <c r="H78" s="71"/>
      <c r="I78" s="71"/>
      <c r="J78" s="71"/>
      <c r="K78" s="71"/>
      <c r="L78" s="596"/>
      <c r="M78" s="71">
        <v>0</v>
      </c>
      <c r="N78" s="71">
        <v>3.2479199999999997</v>
      </c>
      <c r="O78" s="71">
        <v>14.796080000000002</v>
      </c>
      <c r="P78" s="71">
        <v>1.7329999999999999</v>
      </c>
      <c r="Q78" s="71">
        <v>1.7329999999999999</v>
      </c>
      <c r="R78" s="398">
        <v>1.7329999999999999</v>
      </c>
      <c r="S78" s="354">
        <v>1.7329999999999999</v>
      </c>
      <c r="T78" s="354">
        <v>0</v>
      </c>
      <c r="U78" s="354">
        <v>0</v>
      </c>
      <c r="V78" s="354">
        <v>0</v>
      </c>
      <c r="W78" s="354">
        <v>0</v>
      </c>
      <c r="X78" s="354">
        <v>0</v>
      </c>
      <c r="Y78" s="354">
        <v>0</v>
      </c>
      <c r="Z78" s="354">
        <v>0</v>
      </c>
      <c r="AA78" s="354">
        <v>0</v>
      </c>
      <c r="AB78" s="354">
        <v>0</v>
      </c>
      <c r="AC78" s="461">
        <v>0</v>
      </c>
    </row>
    <row r="79" spans="2:29" x14ac:dyDescent="0.35">
      <c r="B79" s="616" t="s">
        <v>475</v>
      </c>
      <c r="C79" s="178"/>
      <c r="D79" s="187"/>
      <c r="E79" s="178"/>
      <c r="F79" s="151"/>
      <c r="G79" s="151"/>
      <c r="H79" s="71"/>
      <c r="I79" s="71"/>
      <c r="J79" s="71"/>
      <c r="K79" s="71"/>
      <c r="L79" s="596"/>
      <c r="M79" s="71">
        <v>0</v>
      </c>
      <c r="N79" s="71">
        <v>13.2921</v>
      </c>
      <c r="O79" s="71">
        <v>60.552900000000008</v>
      </c>
      <c r="P79" s="71">
        <v>1.0687500000000001</v>
      </c>
      <c r="Q79" s="71">
        <v>1.0687500000000001</v>
      </c>
      <c r="R79" s="398">
        <v>1.0687500000000001</v>
      </c>
      <c r="S79" s="354">
        <v>1.0687500000000001</v>
      </c>
      <c r="T79" s="354">
        <v>0.78750000000000009</v>
      </c>
      <c r="U79" s="354">
        <v>0.78750000000000009</v>
      </c>
      <c r="V79" s="354">
        <v>0.78750000000000009</v>
      </c>
      <c r="W79" s="354">
        <v>0.78750000000000009</v>
      </c>
      <c r="X79" s="354">
        <v>0</v>
      </c>
      <c r="Y79" s="354">
        <v>0</v>
      </c>
      <c r="Z79" s="354">
        <v>0</v>
      </c>
      <c r="AA79" s="354">
        <v>0</v>
      </c>
      <c r="AB79" s="354">
        <v>0</v>
      </c>
      <c r="AC79" s="461">
        <v>0</v>
      </c>
    </row>
    <row r="80" spans="2:29" ht="28.5" customHeight="1" x14ac:dyDescent="0.35">
      <c r="B80" s="616" t="s">
        <v>486</v>
      </c>
      <c r="C80" s="178"/>
      <c r="D80" s="187"/>
      <c r="E80" s="178"/>
      <c r="F80" s="151"/>
      <c r="G80" s="151"/>
      <c r="H80" s="71"/>
      <c r="I80" s="71"/>
      <c r="J80" s="71"/>
      <c r="K80" s="71"/>
      <c r="L80" s="596"/>
      <c r="M80" s="71">
        <v>0</v>
      </c>
      <c r="N80" s="71">
        <v>22.153499999999998</v>
      </c>
      <c r="O80" s="71">
        <v>100.92150000000002</v>
      </c>
      <c r="P80" s="71">
        <v>1.7812500000000002</v>
      </c>
      <c r="Q80" s="71">
        <v>1.7812500000000002</v>
      </c>
      <c r="R80" s="398">
        <v>1.7812500000000002</v>
      </c>
      <c r="S80" s="354">
        <v>1.7812500000000002</v>
      </c>
      <c r="T80" s="354">
        <v>1.3125000000000002</v>
      </c>
      <c r="U80" s="354">
        <v>1.3125000000000002</v>
      </c>
      <c r="V80" s="354">
        <v>1.3125000000000002</v>
      </c>
      <c r="W80" s="354">
        <v>1.3125000000000002</v>
      </c>
      <c r="X80" s="354">
        <v>0</v>
      </c>
      <c r="Y80" s="354">
        <v>0</v>
      </c>
      <c r="Z80" s="354">
        <v>0</v>
      </c>
      <c r="AA80" s="354">
        <v>0</v>
      </c>
      <c r="AB80" s="354">
        <v>0</v>
      </c>
      <c r="AC80" s="461">
        <v>0</v>
      </c>
    </row>
    <row r="81" spans="2:29" x14ac:dyDescent="0.35">
      <c r="B81" s="616" t="s">
        <v>487</v>
      </c>
      <c r="C81" s="178"/>
      <c r="D81" s="187"/>
      <c r="E81" s="178"/>
      <c r="F81" s="151"/>
      <c r="G81" s="151"/>
      <c r="H81" s="71"/>
      <c r="I81" s="71"/>
      <c r="J81" s="71"/>
      <c r="K81" s="71"/>
      <c r="L81" s="596"/>
      <c r="M81" s="71">
        <v>0</v>
      </c>
      <c r="N81" s="71">
        <v>2.9519999999999995</v>
      </c>
      <c r="O81" s="71">
        <v>13.448</v>
      </c>
      <c r="P81" s="71">
        <v>11.3</v>
      </c>
      <c r="Q81" s="71">
        <v>11.3</v>
      </c>
      <c r="R81" s="398">
        <v>11.3</v>
      </c>
      <c r="S81" s="354">
        <v>11.3</v>
      </c>
      <c r="T81" s="354">
        <v>8.4</v>
      </c>
      <c r="U81" s="354">
        <v>8.4</v>
      </c>
      <c r="V81" s="354">
        <v>8.4</v>
      </c>
      <c r="W81" s="354">
        <v>8.4</v>
      </c>
      <c r="X81" s="354">
        <v>0.2</v>
      </c>
      <c r="Y81" s="354">
        <v>0.2</v>
      </c>
      <c r="Z81" s="354">
        <v>0.2</v>
      </c>
      <c r="AA81" s="354">
        <v>0.2</v>
      </c>
      <c r="AB81" s="354">
        <v>0</v>
      </c>
      <c r="AC81" s="461">
        <v>0</v>
      </c>
    </row>
    <row r="82" spans="2:29" x14ac:dyDescent="0.35">
      <c r="B82" s="616" t="s">
        <v>488</v>
      </c>
      <c r="C82" s="178"/>
      <c r="D82" s="187"/>
      <c r="E82" s="178"/>
      <c r="F82" s="151"/>
      <c r="G82" s="151"/>
      <c r="H82" s="71"/>
      <c r="I82" s="71"/>
      <c r="J82" s="71"/>
      <c r="K82" s="71"/>
      <c r="L82" s="596"/>
      <c r="M82" s="71">
        <v>0</v>
      </c>
      <c r="N82" s="71">
        <v>-0.20447999999999997</v>
      </c>
      <c r="O82" s="71">
        <v>-0.93152000000000001</v>
      </c>
      <c r="P82" s="71">
        <v>0</v>
      </c>
      <c r="Q82" s="71">
        <v>0</v>
      </c>
      <c r="R82" s="398">
        <v>0</v>
      </c>
      <c r="S82" s="354">
        <v>0</v>
      </c>
      <c r="T82" s="354">
        <v>0</v>
      </c>
      <c r="U82" s="354">
        <v>0</v>
      </c>
      <c r="V82" s="354">
        <v>0</v>
      </c>
      <c r="W82" s="354">
        <v>0</v>
      </c>
      <c r="X82" s="354">
        <v>0</v>
      </c>
      <c r="Y82" s="354">
        <v>0</v>
      </c>
      <c r="Z82" s="354">
        <v>0</v>
      </c>
      <c r="AA82" s="354">
        <v>0</v>
      </c>
      <c r="AB82" s="354">
        <v>0</v>
      </c>
      <c r="AC82" s="461">
        <v>0</v>
      </c>
    </row>
    <row r="83" spans="2:29" x14ac:dyDescent="0.35">
      <c r="B83" s="616" t="s">
        <v>360</v>
      </c>
      <c r="C83" s="178"/>
      <c r="D83" s="187"/>
      <c r="E83" s="178"/>
      <c r="F83" s="151"/>
      <c r="G83" s="151"/>
      <c r="H83" s="71"/>
      <c r="I83" s="71"/>
      <c r="J83" s="71"/>
      <c r="K83" s="71"/>
      <c r="L83" s="596"/>
      <c r="M83" s="71">
        <v>0</v>
      </c>
      <c r="N83" s="71">
        <v>58.782959999999996</v>
      </c>
      <c r="O83" s="71">
        <v>267.78904000000006</v>
      </c>
      <c r="P83" s="71">
        <v>110.24799999999999</v>
      </c>
      <c r="Q83" s="420">
        <v>110.24799999999999</v>
      </c>
      <c r="R83" s="398">
        <v>110.24799999999999</v>
      </c>
      <c r="S83" s="354">
        <v>110.24799999999999</v>
      </c>
      <c r="T83" s="354">
        <v>12.362</v>
      </c>
      <c r="U83" s="354">
        <v>12.362</v>
      </c>
      <c r="V83" s="354">
        <v>12.362</v>
      </c>
      <c r="W83" s="354">
        <v>12.362</v>
      </c>
      <c r="X83" s="354">
        <v>-0.67500000000000004</v>
      </c>
      <c r="Y83" s="354">
        <v>-0.67500000000000004</v>
      </c>
      <c r="Z83" s="354">
        <v>-0.67500000000000004</v>
      </c>
      <c r="AA83" s="354">
        <v>-0.67500000000000004</v>
      </c>
      <c r="AB83" s="354">
        <v>0</v>
      </c>
      <c r="AC83" s="461">
        <v>0</v>
      </c>
    </row>
    <row r="84" spans="2:29" ht="14.5" customHeight="1" x14ac:dyDescent="0.35">
      <c r="B84" s="1318" t="s">
        <v>489</v>
      </c>
      <c r="C84" s="1319"/>
      <c r="D84" s="586"/>
      <c r="E84" s="587"/>
      <c r="F84" s="463"/>
      <c r="G84" s="463"/>
      <c r="H84" s="455"/>
      <c r="I84" s="455"/>
      <c r="J84" s="455"/>
      <c r="K84" s="455"/>
      <c r="L84" s="597"/>
      <c r="M84" s="455"/>
      <c r="N84" s="455"/>
      <c r="O84" s="455"/>
      <c r="P84" s="598"/>
      <c r="Q84" s="71"/>
      <c r="R84" s="598"/>
      <c r="S84" s="619"/>
      <c r="T84" s="619"/>
      <c r="U84" s="619"/>
      <c r="V84" s="621"/>
      <c r="W84" s="621"/>
      <c r="X84" s="621"/>
      <c r="Y84" s="621"/>
      <c r="Z84" s="621"/>
      <c r="AA84" s="621"/>
      <c r="AB84" s="621"/>
      <c r="AC84" s="599"/>
    </row>
    <row r="85" spans="2:29" x14ac:dyDescent="0.35">
      <c r="B85" s="489" t="s">
        <v>490</v>
      </c>
      <c r="C85" s="618"/>
      <c r="D85" s="489"/>
      <c r="E85" s="618"/>
      <c r="F85" s="371"/>
      <c r="G85" s="371"/>
      <c r="H85" s="611"/>
      <c r="I85" s="611"/>
      <c r="J85" s="611"/>
      <c r="K85" s="611"/>
      <c r="L85" s="625"/>
      <c r="M85" s="611">
        <v>0</v>
      </c>
      <c r="N85" s="611">
        <v>58.782959999999989</v>
      </c>
      <c r="O85" s="611">
        <v>267.78904</v>
      </c>
      <c r="P85" s="609">
        <v>110.24799999999999</v>
      </c>
      <c r="Q85" s="611">
        <v>110.24799999999999</v>
      </c>
      <c r="R85" s="609">
        <v>110.24799999999999</v>
      </c>
      <c r="S85" s="600">
        <v>110.24799999999999</v>
      </c>
      <c r="T85" s="600">
        <v>12.726000000000001</v>
      </c>
      <c r="U85" s="600">
        <v>12.726000000000001</v>
      </c>
      <c r="V85" s="600">
        <v>12.726000000000001</v>
      </c>
      <c r="W85" s="600">
        <v>12.726000000000001</v>
      </c>
      <c r="X85" s="600">
        <v>1.365</v>
      </c>
      <c r="Y85" s="600">
        <v>1.365</v>
      </c>
      <c r="Z85" s="600">
        <v>1.365</v>
      </c>
      <c r="AA85" s="600">
        <v>1.365</v>
      </c>
      <c r="AB85" s="600">
        <v>-0.90100000000000025</v>
      </c>
      <c r="AC85" s="623">
        <v>-0.90100000000000025</v>
      </c>
    </row>
    <row r="86" spans="2:29" x14ac:dyDescent="0.35">
      <c r="B86" s="610" t="s">
        <v>199</v>
      </c>
      <c r="C86" s="613"/>
      <c r="D86" s="610"/>
      <c r="E86" s="613"/>
      <c r="F86" s="601">
        <v>60.5</v>
      </c>
      <c r="G86" s="601">
        <v>81.400000000000006</v>
      </c>
      <c r="H86" s="601">
        <v>82.2</v>
      </c>
      <c r="I86" s="601">
        <v>80.3</v>
      </c>
      <c r="J86" s="601">
        <v>1123.5999999999999</v>
      </c>
      <c r="K86" s="601">
        <v>1220.5</v>
      </c>
      <c r="L86" s="601">
        <v>618.6</v>
      </c>
      <c r="M86" s="601">
        <v>403.8</v>
      </c>
      <c r="N86" s="601">
        <v>638.21704</v>
      </c>
      <c r="O86" s="601">
        <v>286.71096</v>
      </c>
      <c r="P86" s="602">
        <v>194.452</v>
      </c>
      <c r="Q86" s="601">
        <v>39.152000000000015</v>
      </c>
      <c r="R86" s="593">
        <v>47.451999999999998</v>
      </c>
      <c r="S86" s="603">
        <v>5.5316537585421628</v>
      </c>
      <c r="T86" s="603">
        <v>75.001000000000005</v>
      </c>
      <c r="U86" s="603">
        <v>75.001000000000005</v>
      </c>
      <c r="V86" s="603">
        <v>75.001000000000005</v>
      </c>
      <c r="W86" s="603">
        <v>75.001000000000005</v>
      </c>
      <c r="X86" s="603">
        <v>81.760000000000019</v>
      </c>
      <c r="Y86" s="603">
        <v>81.760000000000019</v>
      </c>
      <c r="Z86" s="603">
        <v>81.760000000000019</v>
      </c>
      <c r="AA86" s="603">
        <v>81.760000000000019</v>
      </c>
      <c r="AB86" s="603">
        <v>87.766000000000005</v>
      </c>
      <c r="AC86" s="604">
        <v>87.766000000000005</v>
      </c>
    </row>
  </sheetData>
  <mergeCells count="17">
    <mergeCell ref="S8:AC8"/>
    <mergeCell ref="B84:C84"/>
    <mergeCell ref="B68:C68"/>
    <mergeCell ref="B75:C75"/>
    <mergeCell ref="B1:AC1"/>
    <mergeCell ref="B44:C44"/>
    <mergeCell ref="U9:X9"/>
    <mergeCell ref="B28:C28"/>
    <mergeCell ref="B8:C10"/>
    <mergeCell ref="I9:L9"/>
    <mergeCell ref="E9:H9"/>
    <mergeCell ref="B35:C35"/>
    <mergeCell ref="Y9:AB9"/>
    <mergeCell ref="M9:P9"/>
    <mergeCell ref="B2:AC6"/>
    <mergeCell ref="Q9:R9"/>
    <mergeCell ref="D8:R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63"/>
  <sheetViews>
    <sheetView topLeftCell="E25" zoomScale="90" zoomScaleNormal="90" workbookViewId="0">
      <selection activeCell="V36" sqref="V36"/>
    </sheetView>
  </sheetViews>
  <sheetFormatPr defaultColWidth="11.453125" defaultRowHeight="14.5" x14ac:dyDescent="0.35"/>
  <cols>
    <col min="2" max="2" width="31.7265625" customWidth="1"/>
    <col min="6" max="6" width="9" customWidth="1"/>
    <col min="7" max="7" width="10.26953125" customWidth="1"/>
    <col min="8" max="11" width="7.453125" customWidth="1"/>
    <col min="13" max="13" width="8.453125" customWidth="1"/>
    <col min="14" max="27" width="9.1796875" customWidth="1"/>
    <col min="28" max="28" width="13" customWidth="1"/>
  </cols>
  <sheetData>
    <row r="1" spans="2:29" x14ac:dyDescent="0.35">
      <c r="B1" s="1243" t="s">
        <v>54</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29" ht="14.25" customHeight="1" x14ac:dyDescent="0.35">
      <c r="B2" s="1317" t="s">
        <v>935</v>
      </c>
      <c r="C2" s="1317"/>
      <c r="D2" s="1317"/>
      <c r="E2" s="1317"/>
      <c r="F2" s="1317"/>
      <c r="G2" s="1317"/>
      <c r="H2" s="1317"/>
      <c r="I2" s="1317"/>
      <c r="J2" s="1317"/>
      <c r="K2" s="1317"/>
      <c r="L2" s="1317"/>
      <c r="M2" s="1317"/>
      <c r="N2" s="1317"/>
      <c r="O2" s="1317"/>
      <c r="P2" s="1317"/>
      <c r="Q2" s="1317"/>
      <c r="R2" s="1317"/>
      <c r="S2" s="1317"/>
      <c r="T2" s="1317"/>
      <c r="U2" s="1317"/>
      <c r="V2" s="1325" t="s">
        <v>1006</v>
      </c>
      <c r="W2" s="1325"/>
      <c r="X2" s="1325"/>
      <c r="Y2" s="1325"/>
      <c r="Z2" s="1325"/>
      <c r="AA2" s="1325"/>
      <c r="AB2" s="1325"/>
      <c r="AC2" s="667"/>
    </row>
    <row r="3" spans="2:29" ht="59.65" customHeight="1" x14ac:dyDescent="0.35">
      <c r="B3" s="1317"/>
      <c r="C3" s="1317"/>
      <c r="D3" s="1317"/>
      <c r="E3" s="1317"/>
      <c r="F3" s="1317"/>
      <c r="G3" s="1317"/>
      <c r="H3" s="1317"/>
      <c r="I3" s="1317"/>
      <c r="J3" s="1317"/>
      <c r="K3" s="1317"/>
      <c r="L3" s="1317"/>
      <c r="M3" s="1317"/>
      <c r="N3" s="1317"/>
      <c r="O3" s="1317"/>
      <c r="P3" s="1317"/>
      <c r="Q3" s="1317"/>
      <c r="R3" s="1317"/>
      <c r="S3" s="1317"/>
      <c r="T3" s="1317"/>
      <c r="U3" s="1317"/>
      <c r="V3" s="1325"/>
      <c r="W3" s="1325"/>
      <c r="X3" s="1325"/>
      <c r="Y3" s="1325"/>
      <c r="Z3" s="1325"/>
      <c r="AA3" s="1325"/>
      <c r="AB3" s="1325"/>
      <c r="AC3" s="667"/>
    </row>
    <row r="4" spans="2:29" ht="88.5" customHeight="1" x14ac:dyDescent="0.35">
      <c r="B4" s="1317"/>
      <c r="C4" s="1317"/>
      <c r="D4" s="1317"/>
      <c r="E4" s="1317"/>
      <c r="F4" s="1317"/>
      <c r="G4" s="1317"/>
      <c r="H4" s="1317"/>
      <c r="I4" s="1317"/>
      <c r="J4" s="1317"/>
      <c r="K4" s="1317"/>
      <c r="L4" s="1317"/>
      <c r="M4" s="1317"/>
      <c r="N4" s="1317"/>
      <c r="O4" s="1317"/>
      <c r="P4" s="1317"/>
      <c r="Q4" s="1317"/>
      <c r="R4" s="1317"/>
      <c r="S4" s="1317"/>
      <c r="T4" s="1317"/>
      <c r="U4" s="1317"/>
      <c r="V4" s="1325"/>
      <c r="W4" s="1325"/>
      <c r="X4" s="1325"/>
      <c r="Y4" s="1325"/>
      <c r="Z4" s="1325"/>
      <c r="AA4" s="1325"/>
      <c r="AB4" s="1325"/>
      <c r="AC4" s="667"/>
    </row>
    <row r="5" spans="2:29" ht="33" customHeight="1" x14ac:dyDescent="0.35">
      <c r="B5" s="667"/>
      <c r="C5" s="667"/>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7"/>
    </row>
    <row r="6" spans="2:29" x14ac:dyDescent="0.35">
      <c r="B6" s="667"/>
      <c r="C6" s="667"/>
      <c r="D6" s="667"/>
      <c r="E6" s="667"/>
      <c r="F6" s="667"/>
      <c r="G6" s="667"/>
      <c r="H6" s="667"/>
      <c r="I6" s="667"/>
      <c r="J6" s="667"/>
      <c r="K6" s="667"/>
      <c r="L6" s="667"/>
      <c r="M6" s="667"/>
      <c r="N6" s="667"/>
      <c r="O6" s="667"/>
      <c r="P6" s="667"/>
      <c r="Q6" s="667"/>
      <c r="R6" s="667"/>
      <c r="S6" s="667"/>
      <c r="T6" s="667"/>
      <c r="U6" s="667"/>
      <c r="V6" s="667"/>
      <c r="W6" s="667"/>
      <c r="X6" s="667"/>
      <c r="Y6" s="667"/>
      <c r="Z6" s="667"/>
      <c r="AA6" s="667"/>
      <c r="AB6" s="667"/>
      <c r="AC6" s="667"/>
    </row>
    <row r="7" spans="2:29" ht="14.65" customHeight="1" x14ac:dyDescent="0.35">
      <c r="B7" s="1276" t="s">
        <v>465</v>
      </c>
      <c r="C7" s="1256"/>
      <c r="D7" s="1253" t="s">
        <v>325</v>
      </c>
      <c r="E7" s="1254"/>
      <c r="F7" s="1254"/>
      <c r="G7" s="1254"/>
      <c r="H7" s="1254"/>
      <c r="I7" s="1254"/>
      <c r="J7" s="1254"/>
      <c r="K7" s="1254"/>
      <c r="L7" s="1254"/>
      <c r="M7" s="1254"/>
      <c r="N7" s="1254"/>
      <c r="O7" s="1254"/>
      <c r="P7" s="1254"/>
      <c r="Q7" s="1254"/>
      <c r="R7" s="1284"/>
      <c r="S7" s="1286" t="s">
        <v>326</v>
      </c>
      <c r="T7" s="1286"/>
      <c r="U7" s="1286"/>
      <c r="V7" s="1286"/>
      <c r="W7" s="1286"/>
      <c r="X7" s="1286"/>
      <c r="Y7" s="1286"/>
      <c r="Z7" s="1286"/>
      <c r="AA7" s="1286"/>
      <c r="AB7" s="1286"/>
      <c r="AC7" s="1287"/>
    </row>
    <row r="8" spans="2:29" x14ac:dyDescent="0.35">
      <c r="B8" s="1277"/>
      <c r="C8" s="1307"/>
      <c r="D8" s="147">
        <v>2018</v>
      </c>
      <c r="E8" s="1244">
        <v>2019</v>
      </c>
      <c r="F8" s="1245"/>
      <c r="G8" s="1245"/>
      <c r="H8" s="1252"/>
      <c r="I8" s="1244">
        <v>2020</v>
      </c>
      <c r="J8" s="1245"/>
      <c r="K8" s="1245"/>
      <c r="L8" s="1245"/>
      <c r="M8" s="1244">
        <v>2021</v>
      </c>
      <c r="N8" s="1245"/>
      <c r="O8" s="1245"/>
      <c r="P8" s="1252"/>
      <c r="Q8" s="1282">
        <v>2022</v>
      </c>
      <c r="R8" s="1283"/>
      <c r="S8" s="317"/>
      <c r="T8" s="318"/>
      <c r="U8" s="1279">
        <v>2023</v>
      </c>
      <c r="V8" s="1280"/>
      <c r="W8" s="1280"/>
      <c r="X8" s="1280"/>
      <c r="Y8" s="1279">
        <v>2024</v>
      </c>
      <c r="Z8" s="1280"/>
      <c r="AA8" s="1280"/>
      <c r="AB8" s="1281"/>
      <c r="AC8" s="285">
        <v>2025</v>
      </c>
    </row>
    <row r="9" spans="2:29" x14ac:dyDescent="0.35">
      <c r="B9" s="1277"/>
      <c r="C9" s="1307"/>
      <c r="D9" s="154" t="s">
        <v>327</v>
      </c>
      <c r="E9" s="154" t="s">
        <v>328</v>
      </c>
      <c r="F9" s="153" t="s">
        <v>329</v>
      </c>
      <c r="G9" s="153" t="s">
        <v>238</v>
      </c>
      <c r="H9" s="224" t="s">
        <v>327</v>
      </c>
      <c r="I9" s="153" t="s">
        <v>328</v>
      </c>
      <c r="J9" s="153" t="s">
        <v>329</v>
      </c>
      <c r="K9" s="153" t="s">
        <v>238</v>
      </c>
      <c r="L9" s="153" t="s">
        <v>327</v>
      </c>
      <c r="M9" s="154" t="s">
        <v>328</v>
      </c>
      <c r="N9" s="153" t="s">
        <v>329</v>
      </c>
      <c r="O9" s="153" t="s">
        <v>238</v>
      </c>
      <c r="P9" s="224" t="s">
        <v>327</v>
      </c>
      <c r="Q9" s="154" t="s">
        <v>328</v>
      </c>
      <c r="R9" s="224" t="s">
        <v>329</v>
      </c>
      <c r="S9" s="429" t="s">
        <v>238</v>
      </c>
      <c r="T9" s="443" t="s">
        <v>327</v>
      </c>
      <c r="U9" s="428" t="s">
        <v>328</v>
      </c>
      <c r="V9" s="429" t="s">
        <v>329</v>
      </c>
      <c r="W9" s="429" t="s">
        <v>238</v>
      </c>
      <c r="X9" s="429" t="s">
        <v>327</v>
      </c>
      <c r="Y9" s="428" t="s">
        <v>328</v>
      </c>
      <c r="Z9" s="295" t="s">
        <v>329</v>
      </c>
      <c r="AA9" s="429" t="s">
        <v>238</v>
      </c>
      <c r="AB9" s="443" t="s">
        <v>327</v>
      </c>
      <c r="AC9" s="458" t="s">
        <v>328</v>
      </c>
    </row>
    <row r="10" spans="2:29" x14ac:dyDescent="0.35">
      <c r="B10" s="635" t="s">
        <v>101</v>
      </c>
      <c r="C10" s="537" t="s">
        <v>491</v>
      </c>
      <c r="D10" s="663">
        <f>'Haver Pivoted'!GO13</f>
        <v>589.5</v>
      </c>
      <c r="E10" s="641">
        <f>'Haver Pivoted'!GP13</f>
        <v>598.70000000000005</v>
      </c>
      <c r="F10" s="641">
        <f>'Haver Pivoted'!GQ13</f>
        <v>614.4</v>
      </c>
      <c r="G10" s="641">
        <f>'Haver Pivoted'!GR13</f>
        <v>622.4</v>
      </c>
      <c r="H10" s="641">
        <f>'Haver Pivoted'!GS13</f>
        <v>620.70000000000005</v>
      </c>
      <c r="I10" s="641">
        <f>'Haver Pivoted'!GT13</f>
        <v>606.6</v>
      </c>
      <c r="J10" s="641">
        <f>'Haver Pivoted'!GU13</f>
        <v>654.70000000000005</v>
      </c>
      <c r="K10" s="641">
        <f>'Haver Pivoted'!GV13</f>
        <v>690.7</v>
      </c>
      <c r="L10" s="641">
        <f>'Haver Pivoted'!GW13</f>
        <v>678.3</v>
      </c>
      <c r="M10" s="641">
        <f>'Haver Pivoted'!GX13</f>
        <v>704.4</v>
      </c>
      <c r="N10" s="641">
        <f>'Haver Pivoted'!GY13</f>
        <v>744.8</v>
      </c>
      <c r="O10" s="641">
        <f>'Haver Pivoted'!GZ13</f>
        <v>748.2</v>
      </c>
      <c r="P10" s="641">
        <f>'Haver Pivoted'!HA13</f>
        <v>745</v>
      </c>
      <c r="Q10" s="641">
        <f>'Haver Pivoted'!HB13</f>
        <v>763.1</v>
      </c>
      <c r="R10" s="668">
        <f>'Haver Pivoted'!HC13</f>
        <v>789.5</v>
      </c>
      <c r="S10" s="275"/>
      <c r="T10" s="275"/>
      <c r="U10" s="275"/>
      <c r="V10" s="275"/>
      <c r="W10" s="275"/>
      <c r="X10" s="275"/>
      <c r="Y10" s="275"/>
      <c r="Z10" s="275"/>
      <c r="AA10" s="275"/>
      <c r="AB10" s="275"/>
      <c r="AC10" s="276"/>
    </row>
    <row r="11" spans="2:29" x14ac:dyDescent="0.35">
      <c r="B11" s="179" t="s">
        <v>492</v>
      </c>
      <c r="C11" s="156" t="s">
        <v>387</v>
      </c>
      <c r="D11" s="659">
        <f>'Haver Pivoted'!GO40</f>
        <v>390.53500000000003</v>
      </c>
      <c r="E11" s="496">
        <f>'Haver Pivoted'!GP40</f>
        <v>407.62099999999998</v>
      </c>
      <c r="F11" s="496">
        <f>'Haver Pivoted'!GQ40</f>
        <v>416.459</v>
      </c>
      <c r="G11" s="496">
        <f>'Haver Pivoted'!GR40</f>
        <v>418.661</v>
      </c>
      <c r="H11" s="496">
        <f>'Haver Pivoted'!GS40</f>
        <v>411.69499999999999</v>
      </c>
      <c r="I11" s="496">
        <f>'Haver Pivoted'!GT40</f>
        <v>428.30799999999999</v>
      </c>
      <c r="J11" s="496">
        <f>'Haver Pivoted'!GU40</f>
        <v>506.81599999999997</v>
      </c>
      <c r="K11" s="496">
        <f>'Haver Pivoted'!GV40</f>
        <v>484.78</v>
      </c>
      <c r="L11" s="496">
        <f>'Haver Pivoted'!GW40</f>
        <v>500.25799999999998</v>
      </c>
      <c r="M11" s="496">
        <f>'Haver Pivoted'!GX40</f>
        <v>509.42099999999999</v>
      </c>
      <c r="N11" s="496">
        <f>'Haver Pivoted'!GY40</f>
        <v>527.01700000000005</v>
      </c>
      <c r="O11" s="496">
        <f>'Haver Pivoted'!GZ40</f>
        <v>542.85299999999995</v>
      </c>
      <c r="P11" s="496">
        <f>'Haver Pivoted'!HA40</f>
        <v>553.86500000000001</v>
      </c>
      <c r="Q11" s="496">
        <f>'Haver Pivoted'!HB40</f>
        <v>592.26700000000005</v>
      </c>
      <c r="R11" s="578">
        <f>'Haver Pivoted'!HC40</f>
        <v>590.13</v>
      </c>
      <c r="S11" s="429"/>
      <c r="T11" s="429"/>
      <c r="U11" s="429"/>
      <c r="V11" s="429"/>
      <c r="W11" s="429"/>
      <c r="X11" s="429"/>
      <c r="Y11" s="429"/>
      <c r="Z11" s="429"/>
      <c r="AA11" s="429"/>
      <c r="AB11" s="429"/>
      <c r="AC11" s="443"/>
    </row>
    <row r="12" spans="2:29" ht="27.65" customHeight="1" x14ac:dyDescent="0.35">
      <c r="B12" s="546" t="s">
        <v>975</v>
      </c>
      <c r="C12" s="37"/>
      <c r="D12" s="666">
        <f t="shared" ref="D12:N12" si="0">D11/D10</f>
        <v>0.66248515691263787</v>
      </c>
      <c r="E12" s="634">
        <f t="shared" si="0"/>
        <v>0.68084349423751456</v>
      </c>
      <c r="F12" s="634">
        <f t="shared" si="0"/>
        <v>0.67783040364583336</v>
      </c>
      <c r="G12" s="634">
        <f t="shared" si="0"/>
        <v>0.6726558483290489</v>
      </c>
      <c r="H12" s="634">
        <f t="shared" si="0"/>
        <v>0.66327533429998387</v>
      </c>
      <c r="I12" s="634">
        <f t="shared" si="0"/>
        <v>0.70607978898780077</v>
      </c>
      <c r="J12" s="634">
        <f t="shared" si="0"/>
        <v>0.77411944402016186</v>
      </c>
      <c r="K12" s="634">
        <f t="shared" si="0"/>
        <v>0.70186767047922394</v>
      </c>
      <c r="L12" s="634">
        <f t="shared" si="0"/>
        <v>0.73751732271856119</v>
      </c>
      <c r="M12" s="634">
        <f t="shared" si="0"/>
        <v>0.72319846678023847</v>
      </c>
      <c r="N12" s="634">
        <f t="shared" si="0"/>
        <v>0.70759532760472621</v>
      </c>
      <c r="O12" s="634">
        <f>O11/O10</f>
        <v>0.72554530874097822</v>
      </c>
      <c r="P12" s="634">
        <f>P11/P10</f>
        <v>0.74344295302013419</v>
      </c>
      <c r="Q12" s="634">
        <f>Q11/Q10</f>
        <v>0.77613287904599659</v>
      </c>
      <c r="R12" s="669">
        <f>R11/R10</f>
        <v>0.74747308423052561</v>
      </c>
      <c r="S12" s="672">
        <f>R12</f>
        <v>0.74747308423052561</v>
      </c>
      <c r="T12" s="672">
        <f>S12+(H61-G61)</f>
        <v>0.74404747378191682</v>
      </c>
      <c r="U12" s="672">
        <f t="shared" ref="U12:Y12" si="1">T12</f>
        <v>0.74404747378191682</v>
      </c>
      <c r="V12" s="672">
        <f t="shared" si="1"/>
        <v>0.74404747378191682</v>
      </c>
      <c r="W12" s="672">
        <f>V12-0.05</f>
        <v>0.69404747378191678</v>
      </c>
      <c r="X12" s="672">
        <f>W12++(I61-H61)</f>
        <v>0.69350374862575548</v>
      </c>
      <c r="Y12" s="672">
        <f t="shared" si="1"/>
        <v>0.69350374862575548</v>
      </c>
      <c r="Z12" s="672">
        <f t="shared" ref="Z12" si="2">Y12</f>
        <v>0.69350374862575548</v>
      </c>
      <c r="AA12" s="672">
        <f t="shared" ref="AA12" si="3">Z12</f>
        <v>0.69350374862575548</v>
      </c>
      <c r="AB12" s="672">
        <f>AA12+(J61-I61)</f>
        <v>0.68863719553092295</v>
      </c>
      <c r="AC12" s="673">
        <f t="shared" ref="AC12" si="4">AB12</f>
        <v>0.68863719553092295</v>
      </c>
    </row>
    <row r="13" spans="2:29" ht="27.65" customHeight="1" x14ac:dyDescent="0.35"/>
    <row r="14" spans="2:29" ht="27.65" customHeight="1" x14ac:dyDescent="0.35">
      <c r="B14" s="635" t="s">
        <v>101</v>
      </c>
      <c r="C14" s="537" t="s">
        <v>491</v>
      </c>
      <c r="D14" s="663">
        <v>589.5</v>
      </c>
      <c r="E14" s="641">
        <v>598.79999999999995</v>
      </c>
      <c r="F14" s="641">
        <v>614.5</v>
      </c>
      <c r="G14" s="641">
        <v>622.4</v>
      </c>
      <c r="H14" s="641">
        <v>620.5</v>
      </c>
      <c r="I14" s="641">
        <v>606.20000000000005</v>
      </c>
      <c r="J14" s="641">
        <v>654.20000000000005</v>
      </c>
      <c r="K14" s="641">
        <v>690.4</v>
      </c>
      <c r="L14" s="641">
        <v>678.3</v>
      </c>
      <c r="M14" s="641">
        <v>695.9</v>
      </c>
      <c r="N14" s="641">
        <v>730.5</v>
      </c>
      <c r="O14" s="641">
        <v>775</v>
      </c>
      <c r="P14" s="641">
        <v>782.9</v>
      </c>
      <c r="Q14" s="641">
        <v>791</v>
      </c>
      <c r="R14" s="668">
        <v>812.6</v>
      </c>
      <c r="S14" s="275"/>
      <c r="T14" s="275"/>
      <c r="U14" s="275"/>
      <c r="V14" s="275"/>
      <c r="W14" s="275"/>
      <c r="X14" s="275"/>
      <c r="Y14" s="275"/>
      <c r="Z14" s="275"/>
      <c r="AA14" s="275"/>
      <c r="AB14" s="275"/>
      <c r="AC14" s="276"/>
    </row>
    <row r="15" spans="2:29" ht="27.65" customHeight="1" x14ac:dyDescent="0.35">
      <c r="B15" s="179" t="s">
        <v>492</v>
      </c>
      <c r="C15" s="156" t="s">
        <v>387</v>
      </c>
      <c r="D15" s="659">
        <v>390.86599999999999</v>
      </c>
      <c r="E15" s="496">
        <v>408.75599999999997</v>
      </c>
      <c r="F15" s="496">
        <v>413.34399999999999</v>
      </c>
      <c r="G15" s="496">
        <v>418.529</v>
      </c>
      <c r="H15" s="496">
        <v>413.80599999999998</v>
      </c>
      <c r="I15" s="496">
        <v>428.11799999999999</v>
      </c>
      <c r="J15" s="496">
        <v>502.49</v>
      </c>
      <c r="K15" s="496">
        <v>481.71699999999998</v>
      </c>
      <c r="L15" s="496">
        <v>507.83699999999999</v>
      </c>
      <c r="M15" s="496">
        <v>511.34500000000003</v>
      </c>
      <c r="N15" s="496">
        <v>520.72900000000004</v>
      </c>
      <c r="O15" s="496">
        <v>530.82100000000003</v>
      </c>
      <c r="P15" s="496">
        <v>541.83299999999997</v>
      </c>
      <c r="Q15" s="496">
        <v>578.14700000000005</v>
      </c>
      <c r="R15" s="578">
        <v>576.01</v>
      </c>
      <c r="S15" s="429"/>
      <c r="T15" s="429"/>
      <c r="U15" s="429"/>
      <c r="V15" s="429"/>
      <c r="W15" s="429"/>
      <c r="X15" s="429"/>
      <c r="Y15" s="429"/>
      <c r="Z15" s="429"/>
      <c r="AA15" s="429"/>
      <c r="AB15" s="429"/>
      <c r="AC15" s="443"/>
    </row>
    <row r="16" spans="2:29" ht="27.65" customHeight="1" x14ac:dyDescent="0.35">
      <c r="B16" s="546" t="s">
        <v>975</v>
      </c>
      <c r="C16" s="37"/>
      <c r="D16" s="666">
        <v>0.6630466497031382</v>
      </c>
      <c r="E16" s="634">
        <v>0.68262525050100198</v>
      </c>
      <c r="F16" s="634">
        <v>0.6726509357200976</v>
      </c>
      <c r="G16" s="634">
        <v>0.67244376606683809</v>
      </c>
      <c r="H16" s="634">
        <v>0.66689121676067686</v>
      </c>
      <c r="I16" s="634">
        <v>0.70623226657868687</v>
      </c>
      <c r="J16" s="634">
        <v>0.76809844084377865</v>
      </c>
      <c r="K16" s="634">
        <v>0.69773609501738121</v>
      </c>
      <c r="L16" s="634">
        <v>0.7486908447589562</v>
      </c>
      <c r="M16" s="634">
        <v>0.7347966661876707</v>
      </c>
      <c r="N16" s="634">
        <v>0.71283915126625608</v>
      </c>
      <c r="O16" s="634">
        <v>0.68493032258064523</v>
      </c>
      <c r="P16" s="634">
        <v>0.69208455741474006</v>
      </c>
      <c r="Q16" s="634">
        <v>0.73090644753476619</v>
      </c>
      <c r="R16" s="669">
        <v>0.70884814176716704</v>
      </c>
      <c r="S16" s="672">
        <v>0.70884814176716704</v>
      </c>
      <c r="T16" s="672">
        <v>0.70538068954702049</v>
      </c>
      <c r="U16" s="672">
        <v>0.70538068954702049</v>
      </c>
      <c r="V16" s="672">
        <v>0.70538068954702049</v>
      </c>
      <c r="W16" s="672">
        <v>0.65538068954702045</v>
      </c>
      <c r="X16" s="672">
        <v>0.65483032311506184</v>
      </c>
      <c r="Y16" s="672">
        <v>0.65483032311506184</v>
      </c>
      <c r="Z16" s="672">
        <v>0.65483032311506184</v>
      </c>
      <c r="AA16" s="672">
        <v>0.65483032311506184</v>
      </c>
      <c r="AB16" s="672">
        <v>0.64990432800082132</v>
      </c>
      <c r="AC16" s="673">
        <v>0.64990432800082132</v>
      </c>
    </row>
    <row r="17" spans="2:21" ht="27.65" customHeight="1" x14ac:dyDescent="0.35"/>
    <row r="18" spans="2:21" ht="27.65" customHeight="1" x14ac:dyDescent="0.35">
      <c r="B18" s="156"/>
      <c r="C18" s="156"/>
      <c r="D18" s="633"/>
      <c r="E18" s="633"/>
      <c r="F18" s="633"/>
      <c r="G18" s="633"/>
      <c r="H18" s="633"/>
      <c r="I18" s="633"/>
      <c r="J18" s="633"/>
      <c r="K18" s="633"/>
      <c r="L18" s="633"/>
      <c r="M18" s="633"/>
      <c r="N18" s="633"/>
      <c r="O18" s="633"/>
    </row>
    <row r="19" spans="2:21" ht="27.65" customHeight="1" x14ac:dyDescent="0.35"/>
    <row r="20" spans="2:21" ht="27.65" customHeight="1" x14ac:dyDescent="0.35">
      <c r="B20" s="181" t="s">
        <v>400</v>
      </c>
    </row>
    <row r="21" spans="2:21" ht="27.65" customHeight="1" x14ac:dyDescent="0.35"/>
    <row r="22" spans="2:21" x14ac:dyDescent="0.35">
      <c r="B22" s="156"/>
      <c r="C22" s="156"/>
      <c r="D22" s="633"/>
      <c r="E22" s="633"/>
      <c r="F22" s="633"/>
      <c r="G22" s="633"/>
      <c r="H22" s="633"/>
      <c r="I22" s="633"/>
      <c r="J22" s="633"/>
      <c r="K22" s="633"/>
      <c r="L22" s="633"/>
      <c r="M22" s="633"/>
      <c r="N22" s="633"/>
      <c r="O22" s="633"/>
    </row>
    <row r="24" spans="2:21" x14ac:dyDescent="0.35">
      <c r="B24" s="181" t="s">
        <v>400</v>
      </c>
    </row>
    <row r="25" spans="2:21" ht="25.15" customHeight="1" x14ac:dyDescent="0.35">
      <c r="B25" s="642" t="s">
        <v>493</v>
      </c>
      <c r="C25" s="650">
        <v>2020</v>
      </c>
      <c r="D25" s="651">
        <v>2021</v>
      </c>
      <c r="E25" s="651">
        <v>2022</v>
      </c>
      <c r="F25" s="651">
        <v>2023</v>
      </c>
      <c r="G25" s="652">
        <v>2024</v>
      </c>
      <c r="H25" s="144"/>
      <c r="I25" s="144"/>
      <c r="J25" s="144"/>
    </row>
    <row r="26" spans="2:21" ht="31.5" customHeight="1" x14ac:dyDescent="0.35">
      <c r="B26" s="664" t="s">
        <v>1295</v>
      </c>
      <c r="C26" s="649">
        <v>458.46800000000002</v>
      </c>
      <c r="D26" s="297">
        <v>520.58799999999997</v>
      </c>
      <c r="E26" s="297">
        <v>589.25400000000002</v>
      </c>
      <c r="F26" s="297">
        <f>601.348+F27</f>
        <v>601.45799999999997</v>
      </c>
      <c r="G26" s="297">
        <f>545.425+G27</f>
        <v>546.16399999999999</v>
      </c>
    </row>
    <row r="27" spans="2:21" ht="31.5" customHeight="1" x14ac:dyDescent="0.35">
      <c r="B27" s="632" t="s">
        <v>1294</v>
      </c>
      <c r="C27" s="649"/>
      <c r="D27" s="297"/>
      <c r="E27" s="676"/>
      <c r="F27" s="1178">
        <f>'IRA and CHIPS'!E174</f>
        <v>0.11</v>
      </c>
      <c r="G27" s="1178">
        <f>'IRA and CHIPS'!F174</f>
        <v>0.73899999999999999</v>
      </c>
    </row>
    <row r="28" spans="2:21" x14ac:dyDescent="0.35">
      <c r="B28" s="179" t="s">
        <v>494</v>
      </c>
      <c r="C28" s="639">
        <f>AVERAGE(H12:K12)</f>
        <v>0.7113355594467925</v>
      </c>
      <c r="D28" s="633">
        <f>AVERAGE(L12:O12)</f>
        <v>0.72346410646112602</v>
      </c>
      <c r="E28" s="633">
        <f>AVERAGE(P12:S12)</f>
        <v>0.75363050013179544</v>
      </c>
      <c r="F28" s="633">
        <f>AVERAGE(T12:W12)</f>
        <v>0.73154747378191676</v>
      </c>
      <c r="G28" s="633">
        <f>AVERAGE(X12:AA12)</f>
        <v>0.69350374862575548</v>
      </c>
    </row>
    <row r="29" spans="2:21" x14ac:dyDescent="0.35">
      <c r="B29" s="179" t="s">
        <v>495</v>
      </c>
      <c r="C29" s="312">
        <f>C26/C28</f>
        <v>644.51719573326511</v>
      </c>
      <c r="D29" s="144">
        <f>D26/D28</f>
        <v>719.5768184637268</v>
      </c>
      <c r="E29" s="144">
        <f>E26/E28</f>
        <v>781.88714482355851</v>
      </c>
      <c r="F29" s="144">
        <f>F26/F28</f>
        <v>822.17220557213204</v>
      </c>
      <c r="G29" s="144">
        <f>G26/G28</f>
        <v>787.54296726193127</v>
      </c>
    </row>
    <row r="30" spans="2:21" ht="32.25" customHeight="1" x14ac:dyDescent="0.35">
      <c r="B30" s="546" t="s">
        <v>496</v>
      </c>
      <c r="C30" s="313"/>
      <c r="D30" s="634">
        <f>D29/C29-1</f>
        <v>0.11645868136235937</v>
      </c>
      <c r="E30" s="634">
        <f t="shared" ref="E30:G30" si="5">E29/D29-1</f>
        <v>8.6593015173643595E-2</v>
      </c>
      <c r="F30" s="634">
        <v>0.09</v>
      </c>
      <c r="G30" s="634">
        <f t="shared" si="5"/>
        <v>-4.2119203343906508E-2</v>
      </c>
      <c r="I30" s="638"/>
      <c r="J30" s="638"/>
      <c r="K30" s="638"/>
      <c r="L30" s="638"/>
      <c r="R30" s="36"/>
      <c r="S30" s="665"/>
      <c r="T30" s="665"/>
      <c r="U30" s="665"/>
    </row>
    <row r="32" spans="2:21" x14ac:dyDescent="0.35">
      <c r="B32" s="181" t="s">
        <v>413</v>
      </c>
    </row>
    <row r="33" spans="2:29" x14ac:dyDescent="0.35">
      <c r="B33" s="1276" t="s">
        <v>497</v>
      </c>
      <c r="C33" s="1255"/>
      <c r="D33" s="1253" t="s">
        <v>325</v>
      </c>
      <c r="E33" s="1254"/>
      <c r="F33" s="1254"/>
      <c r="G33" s="1254"/>
      <c r="H33" s="1254"/>
      <c r="I33" s="1254"/>
      <c r="J33" s="1254"/>
      <c r="K33" s="1254"/>
      <c r="L33" s="1254"/>
      <c r="M33" s="1254"/>
      <c r="N33" s="1254"/>
      <c r="O33" s="1254"/>
      <c r="P33" s="1254"/>
      <c r="Q33" s="1254"/>
      <c r="R33" s="1284"/>
      <c r="S33" s="1286" t="s">
        <v>326</v>
      </c>
      <c r="T33" s="1286"/>
      <c r="U33" s="1286"/>
      <c r="V33" s="1286"/>
      <c r="W33" s="1286"/>
      <c r="X33" s="1286"/>
      <c r="Y33" s="1286"/>
      <c r="Z33" s="1286"/>
      <c r="AA33" s="1286"/>
      <c r="AB33" s="1286"/>
      <c r="AC33" s="1287"/>
    </row>
    <row r="34" spans="2:29" x14ac:dyDescent="0.35">
      <c r="B34" s="1277"/>
      <c r="C34" s="1307"/>
      <c r="D34" s="147">
        <v>2018</v>
      </c>
      <c r="E34" s="1244">
        <v>2019</v>
      </c>
      <c r="F34" s="1245"/>
      <c r="G34" s="1245"/>
      <c r="H34" s="1252"/>
      <c r="I34" s="1244">
        <v>2020</v>
      </c>
      <c r="J34" s="1245"/>
      <c r="K34" s="1245"/>
      <c r="L34" s="1245"/>
      <c r="M34" s="1244">
        <v>2021</v>
      </c>
      <c r="N34" s="1245"/>
      <c r="O34" s="1245"/>
      <c r="P34" s="1252"/>
      <c r="Q34" s="1282">
        <v>2022</v>
      </c>
      <c r="R34" s="1283"/>
      <c r="S34" s="317"/>
      <c r="T34" s="318"/>
      <c r="U34" s="1279">
        <v>2023</v>
      </c>
      <c r="V34" s="1280"/>
      <c r="W34" s="1280"/>
      <c r="X34" s="1280"/>
      <c r="Y34" s="1279">
        <v>2024</v>
      </c>
      <c r="Z34" s="1280"/>
      <c r="AA34" s="1280"/>
      <c r="AB34" s="1281"/>
      <c r="AC34" s="285">
        <v>2025</v>
      </c>
    </row>
    <row r="35" spans="2:29" x14ac:dyDescent="0.35">
      <c r="B35" s="1289"/>
      <c r="C35" s="1308"/>
      <c r="D35" s="154" t="s">
        <v>327</v>
      </c>
      <c r="E35" s="154" t="s">
        <v>328</v>
      </c>
      <c r="F35" s="153" t="s">
        <v>329</v>
      </c>
      <c r="G35" s="153" t="s">
        <v>238</v>
      </c>
      <c r="H35" s="224" t="s">
        <v>327</v>
      </c>
      <c r="I35" s="153" t="s">
        <v>328</v>
      </c>
      <c r="J35" s="153" t="s">
        <v>329</v>
      </c>
      <c r="K35" s="153" t="s">
        <v>238</v>
      </c>
      <c r="L35" s="153" t="s">
        <v>327</v>
      </c>
      <c r="M35" s="154" t="s">
        <v>328</v>
      </c>
      <c r="N35" s="153" t="s">
        <v>329</v>
      </c>
      <c r="O35" s="153" t="s">
        <v>238</v>
      </c>
      <c r="P35" s="224" t="s">
        <v>327</v>
      </c>
      <c r="Q35" s="154" t="s">
        <v>328</v>
      </c>
      <c r="R35" s="224" t="s">
        <v>329</v>
      </c>
      <c r="S35" s="429" t="s">
        <v>238</v>
      </c>
      <c r="T35" s="443" t="s">
        <v>327</v>
      </c>
      <c r="U35" s="428" t="s">
        <v>328</v>
      </c>
      <c r="V35" s="429" t="s">
        <v>329</v>
      </c>
      <c r="W35" s="429" t="s">
        <v>238</v>
      </c>
      <c r="X35" s="429" t="s">
        <v>327</v>
      </c>
      <c r="Y35" s="428" t="s">
        <v>328</v>
      </c>
      <c r="Z35" s="295" t="s">
        <v>329</v>
      </c>
      <c r="AA35" s="429" t="s">
        <v>238</v>
      </c>
      <c r="AB35" s="443" t="s">
        <v>327</v>
      </c>
      <c r="AC35" s="458" t="s">
        <v>328</v>
      </c>
    </row>
    <row r="36" spans="2:29" ht="19.5" customHeight="1" x14ac:dyDescent="0.35">
      <c r="B36" s="656" t="s">
        <v>498</v>
      </c>
      <c r="C36" s="657"/>
      <c r="D36" s="660">
        <f t="shared" ref="D36:R36" si="6">D10</f>
        <v>589.5</v>
      </c>
      <c r="E36" s="661">
        <f t="shared" si="6"/>
        <v>598.70000000000005</v>
      </c>
      <c r="F36" s="661">
        <f t="shared" si="6"/>
        <v>614.4</v>
      </c>
      <c r="G36" s="661">
        <f t="shared" si="6"/>
        <v>622.4</v>
      </c>
      <c r="H36" s="661">
        <f t="shared" si="6"/>
        <v>620.70000000000005</v>
      </c>
      <c r="I36" s="661">
        <f t="shared" si="6"/>
        <v>606.6</v>
      </c>
      <c r="J36" s="661">
        <f t="shared" si="6"/>
        <v>654.70000000000005</v>
      </c>
      <c r="K36" s="661">
        <f t="shared" si="6"/>
        <v>690.7</v>
      </c>
      <c r="L36" s="661">
        <f t="shared" si="6"/>
        <v>678.3</v>
      </c>
      <c r="M36" s="661">
        <f t="shared" si="6"/>
        <v>704.4</v>
      </c>
      <c r="N36" s="661">
        <f t="shared" si="6"/>
        <v>744.8</v>
      </c>
      <c r="O36" s="661">
        <f t="shared" si="6"/>
        <v>748.2</v>
      </c>
      <c r="P36" s="661">
        <f t="shared" si="6"/>
        <v>745</v>
      </c>
      <c r="Q36" s="661">
        <f t="shared" si="6"/>
        <v>763.1</v>
      </c>
      <c r="R36" s="675">
        <f t="shared" si="6"/>
        <v>789.5</v>
      </c>
      <c r="S36" s="655">
        <f>R36*(1+$E$30)^0.25+S39</f>
        <v>806.06276802596028</v>
      </c>
      <c r="T36" s="655">
        <f>S36*(1+$F$30)^0.25</f>
        <v>823.61734877628294</v>
      </c>
      <c r="U36" s="655">
        <f>T36*(1+$F$30)^0.25</f>
        <v>841.55423636118906</v>
      </c>
      <c r="V36" s="655">
        <f>U36*(1+$F$30)^0.25</f>
        <v>859.88175672806801</v>
      </c>
      <c r="W36" s="655">
        <f>V36*(1+$F$30)^0.25</f>
        <v>878.60841714829724</v>
      </c>
      <c r="X36" s="655">
        <f t="shared" ref="X36:AC36" si="7">W36*(1+$G$30)^0.25</f>
        <v>869.20702208934222</v>
      </c>
      <c r="Y36" s="655">
        <f t="shared" si="7"/>
        <v>859.90622500706195</v>
      </c>
      <c r="Z36" s="655">
        <f t="shared" si="7"/>
        <v>850.70494947047496</v>
      </c>
      <c r="AA36" s="655">
        <f t="shared" si="7"/>
        <v>841.60213056676025</v>
      </c>
      <c r="AB36" s="655">
        <f t="shared" si="7"/>
        <v>832.59671477800975</v>
      </c>
      <c r="AC36" s="637">
        <f t="shared" si="7"/>
        <v>823.68765985929849</v>
      </c>
    </row>
    <row r="37" spans="2:29" ht="19.149999999999999" customHeight="1" x14ac:dyDescent="0.35">
      <c r="B37" s="636" t="s">
        <v>207</v>
      </c>
      <c r="C37" s="284"/>
      <c r="D37" s="658">
        <f>D10*D12</f>
        <v>390.53500000000003</v>
      </c>
      <c r="E37" s="674">
        <f t="shared" ref="E37:Q37" si="8">E10*E12</f>
        <v>407.62099999999998</v>
      </c>
      <c r="F37" s="674">
        <f t="shared" si="8"/>
        <v>416.459</v>
      </c>
      <c r="G37" s="674">
        <f t="shared" si="8"/>
        <v>418.661</v>
      </c>
      <c r="H37" s="674">
        <f t="shared" si="8"/>
        <v>411.69499999999999</v>
      </c>
      <c r="I37" s="674">
        <f t="shared" si="8"/>
        <v>428.30799999999994</v>
      </c>
      <c r="J37" s="674">
        <f t="shared" si="8"/>
        <v>506.81600000000003</v>
      </c>
      <c r="K37" s="674">
        <f t="shared" si="8"/>
        <v>484.78000000000003</v>
      </c>
      <c r="L37" s="674">
        <f t="shared" si="8"/>
        <v>500.25800000000004</v>
      </c>
      <c r="M37" s="674">
        <f t="shared" si="8"/>
        <v>509.42099999999994</v>
      </c>
      <c r="N37" s="674">
        <f t="shared" si="8"/>
        <v>527.01700000000005</v>
      </c>
      <c r="O37" s="674">
        <f t="shared" si="8"/>
        <v>542.85299999999995</v>
      </c>
      <c r="P37" s="674">
        <f t="shared" si="8"/>
        <v>553.86500000000001</v>
      </c>
      <c r="Q37" s="674">
        <f t="shared" si="8"/>
        <v>592.26700000000005</v>
      </c>
      <c r="R37" s="670">
        <f>R36*R12</f>
        <v>590.13</v>
      </c>
      <c r="S37" s="643">
        <f t="shared" ref="S37:AC37" si="9">S36*S12</f>
        <v>602.51022329975922</v>
      </c>
      <c r="T37" s="643">
        <f t="shared" si="9"/>
        <v>612.81040771995322</v>
      </c>
      <c r="U37" s="643">
        <f t="shared" si="9"/>
        <v>626.1563036150128</v>
      </c>
      <c r="V37" s="643">
        <f t="shared" si="9"/>
        <v>639.79284884467575</v>
      </c>
      <c r="W37" s="643">
        <f t="shared" si="9"/>
        <v>609.79595236530417</v>
      </c>
      <c r="X37" s="643">
        <f t="shared" si="9"/>
        <v>602.79832815078862</v>
      </c>
      <c r="Y37" s="643">
        <f t="shared" si="9"/>
        <v>596.34819050901979</v>
      </c>
      <c r="Z37" s="643">
        <f t="shared" si="9"/>
        <v>589.96707143225831</v>
      </c>
      <c r="AA37" s="643">
        <f t="shared" si="9"/>
        <v>583.65423239947074</v>
      </c>
      <c r="AB37" s="643">
        <f t="shared" si="9"/>
        <v>573.35706667298837</v>
      </c>
      <c r="AC37" s="643">
        <f t="shared" si="9"/>
        <v>567.22196007893604</v>
      </c>
    </row>
    <row r="38" spans="2:29" ht="19.149999999999999" customHeight="1" x14ac:dyDescent="0.35">
      <c r="B38" s="150" t="s">
        <v>499</v>
      </c>
      <c r="C38" s="291"/>
      <c r="D38" s="662">
        <f t="shared" ref="D38:G38" si="10">D36-D37</f>
        <v>198.96499999999997</v>
      </c>
      <c r="E38" s="322">
        <f t="shared" si="10"/>
        <v>191.07900000000006</v>
      </c>
      <c r="F38" s="322">
        <f t="shared" si="10"/>
        <v>197.94099999999997</v>
      </c>
      <c r="G38" s="322">
        <f t="shared" si="10"/>
        <v>203.73899999999998</v>
      </c>
      <c r="H38" s="322">
        <f t="shared" ref="H38:AC38" si="11">H36-H37</f>
        <v>209.00500000000005</v>
      </c>
      <c r="I38" s="322">
        <f t="shared" si="11"/>
        <v>178.29200000000009</v>
      </c>
      <c r="J38" s="322">
        <f t="shared" si="11"/>
        <v>147.88400000000001</v>
      </c>
      <c r="K38" s="322">
        <f t="shared" si="11"/>
        <v>205.92000000000002</v>
      </c>
      <c r="L38" s="322">
        <f t="shared" si="11"/>
        <v>178.04199999999992</v>
      </c>
      <c r="M38" s="322">
        <f t="shared" si="11"/>
        <v>194.97900000000004</v>
      </c>
      <c r="N38" s="322">
        <f t="shared" si="11"/>
        <v>217.7829999999999</v>
      </c>
      <c r="O38" s="322">
        <f>O36-O37</f>
        <v>205.34700000000009</v>
      </c>
      <c r="P38" s="322">
        <f>P36-P37</f>
        <v>191.13499999999999</v>
      </c>
      <c r="Q38" s="322">
        <f t="shared" si="11"/>
        <v>170.83299999999997</v>
      </c>
      <c r="R38" s="671">
        <f t="shared" si="11"/>
        <v>199.37</v>
      </c>
      <c r="S38" s="653">
        <f t="shared" si="11"/>
        <v>203.55254472620106</v>
      </c>
      <c r="T38" s="653">
        <f t="shared" si="11"/>
        <v>210.80694105632972</v>
      </c>
      <c r="U38" s="653">
        <f t="shared" si="11"/>
        <v>215.39793274617625</v>
      </c>
      <c r="V38" s="653">
        <f t="shared" si="11"/>
        <v>220.08890788339227</v>
      </c>
      <c r="W38" s="653">
        <f t="shared" si="11"/>
        <v>268.81246478299306</v>
      </c>
      <c r="X38" s="653">
        <f t="shared" si="11"/>
        <v>266.4086939385536</v>
      </c>
      <c r="Y38" s="653">
        <f t="shared" si="11"/>
        <v>263.55803449804216</v>
      </c>
      <c r="Z38" s="653">
        <f t="shared" si="11"/>
        <v>260.73787803821665</v>
      </c>
      <c r="AA38" s="653">
        <f t="shared" si="11"/>
        <v>257.94789816728951</v>
      </c>
      <c r="AB38" s="653">
        <f t="shared" si="11"/>
        <v>259.23964810502139</v>
      </c>
      <c r="AC38" s="654">
        <f t="shared" si="11"/>
        <v>256.46569978036246</v>
      </c>
    </row>
    <row r="39" spans="2:29" x14ac:dyDescent="0.35">
      <c r="B39" s="156" t="s">
        <v>904</v>
      </c>
      <c r="D39">
        <f>D37/D36</f>
        <v>0.66248515691263787</v>
      </c>
      <c r="E39">
        <f t="shared" ref="E39:P39" si="12">E37/E36</f>
        <v>0.68084349423751456</v>
      </c>
      <c r="F39">
        <f t="shared" si="12"/>
        <v>0.67783040364583336</v>
      </c>
      <c r="G39">
        <f t="shared" si="12"/>
        <v>0.6726558483290489</v>
      </c>
      <c r="H39">
        <f t="shared" si="12"/>
        <v>0.66327533429998387</v>
      </c>
      <c r="I39">
        <f t="shared" si="12"/>
        <v>0.70607978898780077</v>
      </c>
      <c r="J39">
        <f t="shared" si="12"/>
        <v>0.77411944402016186</v>
      </c>
      <c r="K39">
        <f t="shared" si="12"/>
        <v>0.70186767047922394</v>
      </c>
      <c r="L39">
        <f t="shared" si="12"/>
        <v>0.73751732271856119</v>
      </c>
      <c r="M39">
        <f t="shared" si="12"/>
        <v>0.72319846678023847</v>
      </c>
      <c r="N39">
        <f t="shared" si="12"/>
        <v>0.70759532760472621</v>
      </c>
      <c r="O39">
        <f t="shared" si="12"/>
        <v>0.72554530874097822</v>
      </c>
      <c r="P39">
        <f t="shared" si="12"/>
        <v>0.74344295302013419</v>
      </c>
      <c r="Q39" s="301">
        <v>10</v>
      </c>
      <c r="R39" s="301"/>
      <c r="S39" s="301"/>
      <c r="T39" s="301"/>
      <c r="U39" s="301"/>
      <c r="V39" s="301"/>
      <c r="W39" s="301"/>
    </row>
    <row r="40" spans="2:29" x14ac:dyDescent="0.35">
      <c r="B40" s="656" t="s">
        <v>498</v>
      </c>
      <c r="C40" s="657"/>
      <c r="D40" s="660">
        <v>589.5</v>
      </c>
      <c r="E40" s="661">
        <v>598.79999999999995</v>
      </c>
      <c r="F40" s="661">
        <v>614.5</v>
      </c>
      <c r="G40" s="661">
        <v>622.4</v>
      </c>
      <c r="H40" s="661">
        <v>620.5</v>
      </c>
      <c r="I40" s="661">
        <v>606.20000000000005</v>
      </c>
      <c r="J40" s="661">
        <v>654.20000000000005</v>
      </c>
      <c r="K40" s="661">
        <v>690.4</v>
      </c>
      <c r="L40" s="661">
        <v>678.3</v>
      </c>
      <c r="M40" s="661">
        <v>695.9</v>
      </c>
      <c r="N40" s="661">
        <v>730.5</v>
      </c>
      <c r="O40" s="661">
        <v>775</v>
      </c>
      <c r="P40" s="661">
        <v>782.9</v>
      </c>
      <c r="Q40" s="661">
        <v>791</v>
      </c>
      <c r="R40" s="675">
        <v>812.6</v>
      </c>
      <c r="S40" s="655">
        <v>831.14052360907749</v>
      </c>
      <c r="T40" s="655">
        <v>849.24125225616854</v>
      </c>
      <c r="U40" s="655">
        <v>867.73618184551765</v>
      </c>
      <c r="V40" s="655">
        <v>886.63389735654243</v>
      </c>
      <c r="W40" s="655">
        <v>905.94317073389482</v>
      </c>
      <c r="X40" s="655">
        <v>896.95382397944809</v>
      </c>
      <c r="Y40" s="655">
        <v>888.05367526488078</v>
      </c>
      <c r="Z40" s="655">
        <v>879.24183951027169</v>
      </c>
      <c r="AA40" s="655">
        <v>870.51744041802772</v>
      </c>
      <c r="AB40" s="655">
        <v>861.87961038574008</v>
      </c>
      <c r="AC40" s="637">
        <v>853.32749041990542</v>
      </c>
    </row>
    <row r="41" spans="2:29" x14ac:dyDescent="0.35">
      <c r="B41" s="636" t="s">
        <v>207</v>
      </c>
      <c r="C41" s="284"/>
      <c r="D41" s="658">
        <v>390.86599999999999</v>
      </c>
      <c r="E41" s="674">
        <v>408.75599999999997</v>
      </c>
      <c r="F41" s="674">
        <v>413.34399999999999</v>
      </c>
      <c r="G41" s="674">
        <v>418.529</v>
      </c>
      <c r="H41" s="674">
        <v>413.80599999999998</v>
      </c>
      <c r="I41" s="674">
        <v>428.11799999999999</v>
      </c>
      <c r="J41" s="674">
        <v>502.49</v>
      </c>
      <c r="K41" s="674">
        <v>481.71699999999998</v>
      </c>
      <c r="L41" s="674">
        <v>507.83699999999993</v>
      </c>
      <c r="M41" s="674">
        <v>511.34500000000003</v>
      </c>
      <c r="N41" s="674">
        <v>520.72900000000004</v>
      </c>
      <c r="O41" s="674">
        <v>530.82100000000003</v>
      </c>
      <c r="P41" s="674">
        <v>541.83299999999997</v>
      </c>
      <c r="Q41" s="674">
        <v>578.14700000000005</v>
      </c>
      <c r="R41" s="670">
        <v>576.01</v>
      </c>
      <c r="S41" s="643">
        <v>589.15241570768478</v>
      </c>
      <c r="T41" s="643">
        <v>599.03838010823131</v>
      </c>
      <c r="U41" s="643">
        <v>612.08434629508997</v>
      </c>
      <c r="V41" s="643">
        <v>625.41442989312009</v>
      </c>
      <c r="W41" s="643">
        <v>593.73765992599408</v>
      </c>
      <c r="X41" s="643">
        <v>587.35256237575231</v>
      </c>
      <c r="Y41" s="643">
        <v>581.52447511722005</v>
      </c>
      <c r="Z41" s="643">
        <v>575.75421786279253</v>
      </c>
      <c r="AA41" s="643">
        <v>570.04121678623369</v>
      </c>
      <c r="AB41" s="643">
        <v>560.13928900535416</v>
      </c>
      <c r="AC41" s="643">
        <v>554.5812292259759</v>
      </c>
    </row>
    <row r="42" spans="2:29" x14ac:dyDescent="0.35">
      <c r="B42" s="150" t="s">
        <v>499</v>
      </c>
      <c r="C42" s="291"/>
      <c r="D42" s="662">
        <v>198.63400000000001</v>
      </c>
      <c r="E42" s="322">
        <v>190.04399999999998</v>
      </c>
      <c r="F42" s="322">
        <v>201.15600000000001</v>
      </c>
      <c r="G42" s="322">
        <v>203.87099999999998</v>
      </c>
      <c r="H42" s="322">
        <v>206.69400000000002</v>
      </c>
      <c r="I42" s="322">
        <v>178.08200000000005</v>
      </c>
      <c r="J42" s="322">
        <v>151.71000000000004</v>
      </c>
      <c r="K42" s="322">
        <v>208.68299999999999</v>
      </c>
      <c r="L42" s="322">
        <v>170.46300000000002</v>
      </c>
      <c r="M42" s="322">
        <v>184.55499999999995</v>
      </c>
      <c r="N42" s="322">
        <v>209.77099999999996</v>
      </c>
      <c r="O42" s="322">
        <v>244.17899999999997</v>
      </c>
      <c r="P42" s="322">
        <v>241.06700000000001</v>
      </c>
      <c r="Q42" s="322">
        <v>212.85299999999995</v>
      </c>
      <c r="R42" s="671">
        <v>236.59000000000003</v>
      </c>
      <c r="S42" s="653">
        <v>241.98810790139271</v>
      </c>
      <c r="T42" s="653">
        <v>250.20287214793723</v>
      </c>
      <c r="U42" s="653">
        <v>255.65183555042768</v>
      </c>
      <c r="V42" s="653">
        <v>261.21946746342235</v>
      </c>
      <c r="W42" s="653">
        <v>312.20551080790074</v>
      </c>
      <c r="X42" s="653">
        <v>309.60126160369578</v>
      </c>
      <c r="Y42" s="653">
        <v>306.52920014766073</v>
      </c>
      <c r="Z42" s="653">
        <v>303.48762164747916</v>
      </c>
      <c r="AA42" s="653">
        <v>300.47622363179403</v>
      </c>
      <c r="AB42" s="653">
        <v>301.74032138038592</v>
      </c>
      <c r="AC42" s="654">
        <v>298.74626119392951</v>
      </c>
    </row>
    <row r="43" spans="2:29" x14ac:dyDescent="0.35">
      <c r="B43" s="156" t="s">
        <v>904</v>
      </c>
      <c r="D43">
        <f>D41/D40</f>
        <v>0.6630466497031382</v>
      </c>
      <c r="E43">
        <f t="shared" ref="E43:P43" si="13">E41/E40</f>
        <v>0.68262525050100198</v>
      </c>
      <c r="F43">
        <f t="shared" si="13"/>
        <v>0.6726509357200976</v>
      </c>
      <c r="G43">
        <f t="shared" si="13"/>
        <v>0.67244376606683809</v>
      </c>
      <c r="H43">
        <f t="shared" si="13"/>
        <v>0.66689121676067686</v>
      </c>
      <c r="I43">
        <f t="shared" si="13"/>
        <v>0.70623226657868687</v>
      </c>
      <c r="J43">
        <f t="shared" si="13"/>
        <v>0.76809844084377865</v>
      </c>
      <c r="K43">
        <f t="shared" si="13"/>
        <v>0.69773609501738121</v>
      </c>
      <c r="L43">
        <f t="shared" si="13"/>
        <v>0.7486908447589562</v>
      </c>
      <c r="M43">
        <f t="shared" si="13"/>
        <v>0.7347966661876707</v>
      </c>
      <c r="N43">
        <f t="shared" si="13"/>
        <v>0.71283915126625608</v>
      </c>
      <c r="O43">
        <f t="shared" si="13"/>
        <v>0.68493032258064523</v>
      </c>
      <c r="P43">
        <f t="shared" si="13"/>
        <v>0.69208455741474006</v>
      </c>
      <c r="Q43" s="301">
        <v>10</v>
      </c>
      <c r="R43" s="301"/>
      <c r="S43" s="301">
        <v>-10</v>
      </c>
      <c r="T43" s="301"/>
      <c r="U43" s="301"/>
      <c r="V43" s="301"/>
      <c r="W43" s="301"/>
    </row>
    <row r="44" spans="2:29" x14ac:dyDescent="0.35">
      <c r="D44" s="628">
        <f>D36-D40</f>
        <v>0</v>
      </c>
      <c r="E44" s="628">
        <f t="shared" ref="E44:AA46" si="14">E36-E40</f>
        <v>-9.9999999999909051E-2</v>
      </c>
      <c r="F44" s="628">
        <f t="shared" si="14"/>
        <v>-0.10000000000002274</v>
      </c>
      <c r="G44" s="628">
        <f t="shared" si="14"/>
        <v>0</v>
      </c>
      <c r="H44" s="628">
        <f t="shared" si="14"/>
        <v>0.20000000000004547</v>
      </c>
      <c r="I44" s="628">
        <f t="shared" si="14"/>
        <v>0.39999999999997726</v>
      </c>
      <c r="J44" s="628">
        <f t="shared" si="14"/>
        <v>0.5</v>
      </c>
      <c r="K44" s="628">
        <f t="shared" si="14"/>
        <v>0.30000000000006821</v>
      </c>
      <c r="L44" s="628">
        <f t="shared" si="14"/>
        <v>0</v>
      </c>
      <c r="M44" s="628">
        <f t="shared" si="14"/>
        <v>8.5</v>
      </c>
      <c r="N44" s="628">
        <f t="shared" si="14"/>
        <v>14.299999999999955</v>
      </c>
      <c r="O44" s="628">
        <f t="shared" si="14"/>
        <v>-26.799999999999955</v>
      </c>
      <c r="P44" s="628">
        <f t="shared" si="14"/>
        <v>-37.899999999999977</v>
      </c>
      <c r="Q44" s="628">
        <f t="shared" si="14"/>
        <v>-27.899999999999977</v>
      </c>
      <c r="R44" s="628">
        <f t="shared" si="14"/>
        <v>-23.100000000000023</v>
      </c>
      <c r="S44" s="628">
        <f t="shared" si="14"/>
        <v>-25.077755583117209</v>
      </c>
      <c r="T44" s="628">
        <f t="shared" si="14"/>
        <v>-25.623903479885598</v>
      </c>
      <c r="U44" s="628">
        <f t="shared" si="14"/>
        <v>-26.181945484328594</v>
      </c>
      <c r="V44" s="628">
        <f t="shared" si="14"/>
        <v>-26.752140628474422</v>
      </c>
      <c r="W44" s="628">
        <f t="shared" si="14"/>
        <v>-27.334753585597582</v>
      </c>
      <c r="X44" s="628">
        <f t="shared" si="14"/>
        <v>-27.746801890105871</v>
      </c>
      <c r="Y44" s="628">
        <f t="shared" si="14"/>
        <v>-28.147450257818832</v>
      </c>
      <c r="Z44" s="628">
        <f t="shared" si="14"/>
        <v>-28.536890039796731</v>
      </c>
      <c r="AA44" s="628">
        <f t="shared" si="14"/>
        <v>-28.915309851267466</v>
      </c>
      <c r="AB44" s="628">
        <f t="shared" ref="AB44:AB46" si="15">AB40-AB36</f>
        <v>29.282895607730325</v>
      </c>
    </row>
    <row r="45" spans="2:29" x14ac:dyDescent="0.35">
      <c r="D45" s="628">
        <f t="shared" ref="D45:S46" si="16">D37-D41</f>
        <v>-0.33099999999996044</v>
      </c>
      <c r="E45" s="628">
        <f t="shared" si="16"/>
        <v>-1.1349999999999909</v>
      </c>
      <c r="F45" s="628">
        <f t="shared" si="16"/>
        <v>3.1150000000000091</v>
      </c>
      <c r="G45" s="628">
        <f t="shared" si="16"/>
        <v>0.132000000000005</v>
      </c>
      <c r="H45" s="628">
        <f t="shared" si="16"/>
        <v>-2.11099999999999</v>
      </c>
      <c r="I45" s="628">
        <f t="shared" si="16"/>
        <v>0.18999999999994088</v>
      </c>
      <c r="J45" s="628">
        <f t="shared" si="16"/>
        <v>4.3260000000000218</v>
      </c>
      <c r="K45" s="628">
        <f t="shared" si="16"/>
        <v>3.063000000000045</v>
      </c>
      <c r="L45" s="628">
        <f t="shared" si="16"/>
        <v>-7.578999999999894</v>
      </c>
      <c r="M45" s="628">
        <f t="shared" si="16"/>
        <v>-1.9240000000000919</v>
      </c>
      <c r="N45" s="628">
        <f t="shared" si="16"/>
        <v>6.2880000000000109</v>
      </c>
      <c r="O45" s="628">
        <f t="shared" si="16"/>
        <v>12.031999999999925</v>
      </c>
      <c r="P45" s="628">
        <f t="shared" si="16"/>
        <v>12.032000000000039</v>
      </c>
      <c r="Q45" s="628">
        <f t="shared" si="16"/>
        <v>14.120000000000005</v>
      </c>
      <c r="R45" s="628">
        <f t="shared" si="16"/>
        <v>14.120000000000005</v>
      </c>
      <c r="S45" s="628">
        <f t="shared" si="16"/>
        <v>13.357807592074437</v>
      </c>
      <c r="T45" s="628">
        <f t="shared" si="14"/>
        <v>13.77202761172191</v>
      </c>
      <c r="U45" s="628">
        <f t="shared" si="14"/>
        <v>14.071957319922831</v>
      </c>
      <c r="V45" s="628">
        <f t="shared" si="14"/>
        <v>14.378418951555659</v>
      </c>
      <c r="W45" s="628">
        <f t="shared" si="14"/>
        <v>16.058292439310094</v>
      </c>
      <c r="X45" s="628">
        <f t="shared" si="14"/>
        <v>15.445765775036307</v>
      </c>
      <c r="Y45" s="628">
        <f t="shared" si="14"/>
        <v>14.823715391799738</v>
      </c>
      <c r="Z45" s="628">
        <f t="shared" si="14"/>
        <v>14.212853569465778</v>
      </c>
      <c r="AA45" s="628">
        <f t="shared" si="14"/>
        <v>13.613015613237053</v>
      </c>
      <c r="AB45" s="628">
        <f t="shared" si="15"/>
        <v>-13.217777667634209</v>
      </c>
    </row>
    <row r="46" spans="2:29" x14ac:dyDescent="0.35">
      <c r="D46" s="628">
        <f t="shared" si="16"/>
        <v>0.33099999999996044</v>
      </c>
      <c r="E46" s="628">
        <f t="shared" si="14"/>
        <v>1.0350000000000819</v>
      </c>
      <c r="F46" s="628">
        <f t="shared" si="14"/>
        <v>-3.2150000000000318</v>
      </c>
      <c r="G46" s="628">
        <f t="shared" si="14"/>
        <v>-0.132000000000005</v>
      </c>
      <c r="H46" s="628">
        <f t="shared" si="14"/>
        <v>2.3110000000000355</v>
      </c>
      <c r="I46" s="628">
        <f t="shared" si="14"/>
        <v>0.21000000000003638</v>
      </c>
      <c r="J46" s="628">
        <f t="shared" si="14"/>
        <v>-3.8260000000000218</v>
      </c>
      <c r="K46" s="628">
        <f t="shared" si="14"/>
        <v>-2.7629999999999768</v>
      </c>
      <c r="L46" s="628">
        <f t="shared" si="14"/>
        <v>7.578999999999894</v>
      </c>
      <c r="M46" s="628">
        <f t="shared" si="14"/>
        <v>10.424000000000092</v>
      </c>
      <c r="N46" s="628">
        <f t="shared" si="14"/>
        <v>8.0119999999999436</v>
      </c>
      <c r="O46" s="628">
        <f t="shared" si="14"/>
        <v>-38.83199999999988</v>
      </c>
      <c r="P46" s="628">
        <f t="shared" si="14"/>
        <v>-49.932000000000016</v>
      </c>
      <c r="Q46" s="628">
        <f t="shared" si="14"/>
        <v>-42.019999999999982</v>
      </c>
      <c r="R46" s="628">
        <f t="shared" si="14"/>
        <v>-37.220000000000027</v>
      </c>
      <c r="S46" s="628">
        <f t="shared" si="14"/>
        <v>-38.435563175191646</v>
      </c>
      <c r="T46" s="628">
        <f t="shared" si="14"/>
        <v>-39.395931091607508</v>
      </c>
      <c r="U46" s="628">
        <f t="shared" si="14"/>
        <v>-40.253902804251425</v>
      </c>
      <c r="V46" s="628">
        <f t="shared" si="14"/>
        <v>-41.130559580030081</v>
      </c>
      <c r="W46" s="628">
        <f t="shared" si="14"/>
        <v>-43.393046024907676</v>
      </c>
      <c r="X46" s="628">
        <f t="shared" si="14"/>
        <v>-43.192567665142178</v>
      </c>
      <c r="Y46" s="628">
        <f t="shared" si="14"/>
        <v>-42.97116564961857</v>
      </c>
      <c r="Z46" s="628">
        <f t="shared" si="14"/>
        <v>-42.749743609262509</v>
      </c>
      <c r="AA46" s="628">
        <f t="shared" si="14"/>
        <v>-42.528325464504519</v>
      </c>
      <c r="AB46" s="628">
        <f t="shared" si="15"/>
        <v>42.500673275364534</v>
      </c>
    </row>
    <row r="47" spans="2:29" x14ac:dyDescent="0.35">
      <c r="H47" s="301"/>
      <c r="I47" s="301"/>
      <c r="J47" s="301"/>
      <c r="K47" s="301"/>
      <c r="L47" s="301"/>
      <c r="M47" s="640"/>
      <c r="N47" s="301"/>
      <c r="O47" s="301"/>
    </row>
    <row r="48" spans="2:29" ht="14.5" customHeight="1" x14ac:dyDescent="0.35">
      <c r="H48" s="301"/>
      <c r="I48" s="301"/>
      <c r="J48" s="301"/>
      <c r="K48" s="301"/>
      <c r="L48" s="301"/>
      <c r="M48" s="640"/>
      <c r="N48" s="301"/>
      <c r="O48" s="301"/>
    </row>
    <row r="49" spans="2:17" ht="14.5" customHeight="1" x14ac:dyDescent="0.35">
      <c r="B49" s="644" t="s">
        <v>500</v>
      </c>
      <c r="C49" s="645"/>
      <c r="D49" s="645"/>
      <c r="E49" s="646"/>
      <c r="F49" s="647">
        <v>2021</v>
      </c>
      <c r="G49" s="647">
        <v>2022</v>
      </c>
      <c r="H49" s="647">
        <v>2023</v>
      </c>
      <c r="I49" s="647">
        <v>2024</v>
      </c>
      <c r="J49" s="647">
        <v>2025</v>
      </c>
      <c r="K49" s="647">
        <v>2025</v>
      </c>
      <c r="L49" s="647">
        <v>2027</v>
      </c>
      <c r="M49" s="647">
        <v>2028</v>
      </c>
      <c r="N49" s="647">
        <v>2029</v>
      </c>
      <c r="O49" s="647">
        <v>2030</v>
      </c>
      <c r="P49" s="648">
        <v>2031</v>
      </c>
    </row>
    <row r="50" spans="2:17" ht="15" customHeight="1" x14ac:dyDescent="0.35">
      <c r="B50" s="1338" t="s">
        <v>501</v>
      </c>
      <c r="C50" s="1339"/>
      <c r="D50" s="1339"/>
      <c r="E50" s="1340"/>
      <c r="F50" s="144">
        <v>287</v>
      </c>
      <c r="G50" s="144">
        <v>534</v>
      </c>
      <c r="H50" s="144">
        <v>247</v>
      </c>
      <c r="I50" s="144">
        <v>63</v>
      </c>
      <c r="J50" s="144"/>
      <c r="K50" s="144"/>
      <c r="L50" s="144"/>
      <c r="M50" s="144"/>
      <c r="N50" s="144"/>
      <c r="O50" s="144"/>
      <c r="P50" s="155"/>
    </row>
    <row r="51" spans="2:17" ht="15" customHeight="1" x14ac:dyDescent="0.35">
      <c r="B51" s="1322" t="s">
        <v>502</v>
      </c>
      <c r="C51" s="1323"/>
      <c r="D51" s="1323"/>
      <c r="E51" s="1324"/>
      <c r="F51" s="144">
        <v>0</v>
      </c>
      <c r="G51" s="144">
        <v>0</v>
      </c>
      <c r="H51" s="144">
        <v>756</v>
      </c>
      <c r="I51" s="144">
        <v>1249</v>
      </c>
      <c r="J51" s="144">
        <v>1417</v>
      </c>
      <c r="K51" s="144">
        <v>1522</v>
      </c>
      <c r="L51" s="144">
        <v>1107</v>
      </c>
      <c r="M51" s="144"/>
      <c r="N51" s="144"/>
      <c r="O51" s="144"/>
      <c r="P51" s="155"/>
    </row>
    <row r="52" spans="2:17" x14ac:dyDescent="0.35">
      <c r="B52" s="1322" t="s">
        <v>503</v>
      </c>
      <c r="C52" s="1323"/>
      <c r="D52" s="1323"/>
      <c r="E52" s="1324"/>
      <c r="F52" s="144">
        <v>0</v>
      </c>
      <c r="G52" s="144">
        <v>5</v>
      </c>
      <c r="H52" s="144">
        <v>77</v>
      </c>
      <c r="I52" s="144">
        <v>307</v>
      </c>
      <c r="J52" s="144">
        <v>332</v>
      </c>
      <c r="K52" s="144">
        <v>270</v>
      </c>
      <c r="L52" s="144">
        <v>25</v>
      </c>
      <c r="M52" s="144">
        <v>32</v>
      </c>
      <c r="N52" s="144">
        <v>40</v>
      </c>
      <c r="O52" s="144">
        <v>49</v>
      </c>
      <c r="P52" s="155">
        <v>58</v>
      </c>
    </row>
    <row r="53" spans="2:17" ht="32.65" customHeight="1" x14ac:dyDescent="0.35">
      <c r="B53" s="1335" t="s">
        <v>504</v>
      </c>
      <c r="C53" s="1336"/>
      <c r="D53" s="1336"/>
      <c r="E53" s="1337"/>
      <c r="F53" s="144">
        <v>0</v>
      </c>
      <c r="G53" s="144">
        <v>0</v>
      </c>
      <c r="H53" s="144">
        <v>3768</v>
      </c>
      <c r="I53" s="144">
        <v>3428</v>
      </c>
      <c r="J53" s="144">
        <v>2176</v>
      </c>
      <c r="K53" s="144">
        <v>2304</v>
      </c>
      <c r="L53" s="144">
        <v>2129</v>
      </c>
      <c r="M53" s="144">
        <v>1335</v>
      </c>
      <c r="N53" s="144">
        <v>478</v>
      </c>
      <c r="O53" s="144">
        <v>531</v>
      </c>
      <c r="P53" s="155">
        <v>212</v>
      </c>
    </row>
    <row r="54" spans="2:17" ht="32.65" customHeight="1" x14ac:dyDescent="0.35">
      <c r="B54" s="1335" t="s">
        <v>505</v>
      </c>
      <c r="C54" s="1336"/>
      <c r="D54" s="1336"/>
      <c r="E54" s="1337"/>
      <c r="F54" s="144">
        <v>38</v>
      </c>
      <c r="G54" s="144">
        <v>81</v>
      </c>
      <c r="H54" s="144">
        <v>43</v>
      </c>
      <c r="I54" s="144"/>
      <c r="J54" s="144"/>
      <c r="K54" s="144"/>
      <c r="L54" s="144"/>
      <c r="M54" s="144"/>
      <c r="N54" s="144"/>
      <c r="O54" s="144"/>
      <c r="P54" s="155"/>
    </row>
    <row r="55" spans="2:17" x14ac:dyDescent="0.35">
      <c r="B55" s="1322" t="s">
        <v>506</v>
      </c>
      <c r="C55" s="1323"/>
      <c r="D55" s="1323"/>
      <c r="E55" s="1324"/>
      <c r="F55" s="144"/>
      <c r="G55" s="144"/>
      <c r="H55" s="144"/>
      <c r="I55" s="144">
        <v>-184</v>
      </c>
      <c r="J55" s="144">
        <v>-1830</v>
      </c>
      <c r="K55" s="144">
        <v>-2406</v>
      </c>
      <c r="L55" s="144">
        <v>-2419</v>
      </c>
      <c r="M55" s="144">
        <v>-2467</v>
      </c>
      <c r="N55" s="144">
        <v>-2531</v>
      </c>
      <c r="O55" s="144">
        <v>-2667</v>
      </c>
      <c r="P55" s="155">
        <v>-2809</v>
      </c>
    </row>
    <row r="56" spans="2:17" ht="15.75" customHeight="1" x14ac:dyDescent="0.35">
      <c r="B56" s="1329" t="s">
        <v>507</v>
      </c>
      <c r="C56" s="1330"/>
      <c r="D56" s="1330"/>
      <c r="E56" s="1331"/>
      <c r="F56" s="144">
        <v>6524</v>
      </c>
      <c r="G56" s="144">
        <v>6143</v>
      </c>
      <c r="H56" s="144"/>
      <c r="I56" s="144"/>
      <c r="J56" s="144"/>
      <c r="K56" s="144"/>
      <c r="L56" s="144"/>
      <c r="M56" s="144"/>
      <c r="N56" s="144"/>
      <c r="O56" s="144"/>
      <c r="P56" s="155"/>
    </row>
    <row r="57" spans="2:17" x14ac:dyDescent="0.35">
      <c r="B57" s="1322" t="s">
        <v>508</v>
      </c>
      <c r="C57" s="1323"/>
      <c r="D57" s="1323"/>
      <c r="E57" s="1324"/>
      <c r="F57" s="144">
        <v>50</v>
      </c>
      <c r="G57" s="144">
        <v>175</v>
      </c>
      <c r="H57" s="144">
        <v>25</v>
      </c>
      <c r="I57" s="144"/>
      <c r="J57" s="144"/>
      <c r="K57" s="144"/>
      <c r="L57" s="144"/>
      <c r="M57" s="144"/>
      <c r="N57" s="144"/>
      <c r="O57" s="144"/>
      <c r="P57" s="155"/>
    </row>
    <row r="58" spans="2:17" x14ac:dyDescent="0.35">
      <c r="B58" s="1322" t="s">
        <v>509</v>
      </c>
      <c r="C58" s="1323"/>
      <c r="D58" s="1323"/>
      <c r="E58" s="1324"/>
      <c r="F58" s="144">
        <v>829</v>
      </c>
      <c r="G58" s="144">
        <v>844</v>
      </c>
      <c r="H58" s="144"/>
      <c r="I58" s="144"/>
      <c r="J58" s="144"/>
      <c r="K58" s="144"/>
      <c r="L58" s="144"/>
      <c r="M58" s="144"/>
      <c r="N58" s="144"/>
      <c r="O58" s="144"/>
      <c r="P58" s="155"/>
    </row>
    <row r="59" spans="2:17" x14ac:dyDescent="0.35">
      <c r="B59" s="1332" t="s">
        <v>510</v>
      </c>
      <c r="C59" s="1333"/>
      <c r="D59" s="1333"/>
      <c r="E59" s="1334"/>
      <c r="F59" s="144">
        <f t="shared" ref="F59:P59" si="17">SUM(F50:F58)</f>
        <v>7728</v>
      </c>
      <c r="G59" s="144">
        <f t="shared" si="17"/>
        <v>7782</v>
      </c>
      <c r="H59" s="144">
        <f t="shared" si="17"/>
        <v>4916</v>
      </c>
      <c r="I59" s="144">
        <f t="shared" si="17"/>
        <v>4863</v>
      </c>
      <c r="J59" s="144">
        <f t="shared" si="17"/>
        <v>2095</v>
      </c>
      <c r="K59" s="144">
        <f t="shared" si="17"/>
        <v>1690</v>
      </c>
      <c r="L59" s="144">
        <f t="shared" si="17"/>
        <v>842</v>
      </c>
      <c r="M59" s="144">
        <f t="shared" si="17"/>
        <v>-1100</v>
      </c>
      <c r="N59" s="144">
        <f t="shared" si="17"/>
        <v>-2013</v>
      </c>
      <c r="O59" s="144">
        <f t="shared" si="17"/>
        <v>-2087</v>
      </c>
      <c r="P59" s="155">
        <f t="shared" si="17"/>
        <v>-2539</v>
      </c>
    </row>
    <row r="60" spans="2:17" x14ac:dyDescent="0.35">
      <c r="B60" s="1329" t="s">
        <v>511</v>
      </c>
      <c r="C60" s="1330"/>
      <c r="D60" s="1330"/>
      <c r="E60" s="1331"/>
      <c r="F60" s="144">
        <f t="shared" ref="F60:P60" si="18">F56+F54+F53</f>
        <v>6562</v>
      </c>
      <c r="G60" s="144">
        <f t="shared" si="18"/>
        <v>6224</v>
      </c>
      <c r="H60" s="144">
        <f t="shared" si="18"/>
        <v>3811</v>
      </c>
      <c r="I60" s="144">
        <f t="shared" si="18"/>
        <v>3428</v>
      </c>
      <c r="J60" s="144">
        <f t="shared" si="18"/>
        <v>2176</v>
      </c>
      <c r="K60" s="144">
        <f t="shared" si="18"/>
        <v>2304</v>
      </c>
      <c r="L60" s="144">
        <f t="shared" si="18"/>
        <v>2129</v>
      </c>
      <c r="M60" s="144">
        <f t="shared" si="18"/>
        <v>1335</v>
      </c>
      <c r="N60" s="144">
        <f t="shared" si="18"/>
        <v>478</v>
      </c>
      <c r="O60" s="144">
        <f t="shared" si="18"/>
        <v>531</v>
      </c>
      <c r="P60" s="155">
        <f t="shared" si="18"/>
        <v>212</v>
      </c>
      <c r="Q60" s="156" t="s">
        <v>512</v>
      </c>
    </row>
    <row r="61" spans="2:17" x14ac:dyDescent="0.35">
      <c r="B61" s="1322" t="s">
        <v>513</v>
      </c>
      <c r="C61" s="1323"/>
      <c r="D61" s="1323"/>
      <c r="E61" s="1324"/>
      <c r="F61" s="144">
        <f>(F60/1000)/M36</f>
        <v>9.315729699034641E-3</v>
      </c>
      <c r="G61" s="144">
        <f>(G60/F60)*F61</f>
        <v>8.8358886996024993E-3</v>
      </c>
      <c r="H61" s="144">
        <f>(H60/G60)*G61+H62</f>
        <v>5.4102782509937537E-3</v>
      </c>
      <c r="I61" s="144">
        <f>(I60/H60)*H61+I62</f>
        <v>4.8665530948324813E-3</v>
      </c>
      <c r="J61" s="144">
        <f>J62</f>
        <v>0</v>
      </c>
      <c r="K61" s="144">
        <f t="shared" ref="K61:L61" si="19">K62</f>
        <v>0</v>
      </c>
      <c r="L61" s="144">
        <f t="shared" si="19"/>
        <v>0</v>
      </c>
      <c r="M61" s="144"/>
      <c r="N61" s="144"/>
      <c r="O61" s="144"/>
      <c r="P61" s="155"/>
      <c r="Q61" s="156" t="s">
        <v>514</v>
      </c>
    </row>
    <row r="62" spans="2:17" ht="29.25" customHeight="1" x14ac:dyDescent="0.35">
      <c r="B62" s="629" t="s">
        <v>976</v>
      </c>
      <c r="C62" s="630"/>
      <c r="D62" s="630"/>
      <c r="E62" s="631"/>
      <c r="F62" s="144"/>
      <c r="G62" s="144"/>
      <c r="H62" s="144"/>
      <c r="I62" s="144"/>
      <c r="J62" s="144"/>
      <c r="K62" s="144"/>
      <c r="L62" s="144"/>
      <c r="M62" s="144"/>
      <c r="N62" s="144"/>
      <c r="O62" s="144"/>
      <c r="P62" s="144"/>
      <c r="Q62" s="156"/>
    </row>
    <row r="63" spans="2:17" x14ac:dyDescent="0.35">
      <c r="B63" s="1326"/>
      <c r="C63" s="1327"/>
      <c r="D63" s="1327"/>
      <c r="E63" s="1328"/>
      <c r="F63" s="158"/>
      <c r="G63" s="158"/>
      <c r="H63" s="158"/>
      <c r="I63" s="158"/>
      <c r="J63" s="158"/>
      <c r="K63" s="158"/>
      <c r="L63" s="158"/>
      <c r="M63" s="158"/>
      <c r="N63" s="158"/>
      <c r="O63" s="158"/>
      <c r="P63" s="162"/>
    </row>
  </sheetData>
  <mergeCells count="34">
    <mergeCell ref="B55:E55"/>
    <mergeCell ref="E8:H8"/>
    <mergeCell ref="B7:C9"/>
    <mergeCell ref="I8:L8"/>
    <mergeCell ref="B53:E53"/>
    <mergeCell ref="B54:E54"/>
    <mergeCell ref="D33:R33"/>
    <mergeCell ref="B52:E52"/>
    <mergeCell ref="B50:E50"/>
    <mergeCell ref="I34:L34"/>
    <mergeCell ref="B33:C35"/>
    <mergeCell ref="E34:H34"/>
    <mergeCell ref="M34:P34"/>
    <mergeCell ref="M8:P8"/>
    <mergeCell ref="Q34:R34"/>
    <mergeCell ref="Q8:R8"/>
    <mergeCell ref="B63:E63"/>
    <mergeCell ref="B56:E56"/>
    <mergeCell ref="B57:E57"/>
    <mergeCell ref="B58:E58"/>
    <mergeCell ref="B59:E59"/>
    <mergeCell ref="B60:E60"/>
    <mergeCell ref="B61:E61"/>
    <mergeCell ref="U34:X34"/>
    <mergeCell ref="B51:E51"/>
    <mergeCell ref="D7:R7"/>
    <mergeCell ref="S7:AC7"/>
    <mergeCell ref="B1:AC1"/>
    <mergeCell ref="S33:AC33"/>
    <mergeCell ref="V2:AB4"/>
    <mergeCell ref="B2:U4"/>
    <mergeCell ref="Y34:AB34"/>
    <mergeCell ref="Y8:AB8"/>
    <mergeCell ref="U8:X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9"/>
  <sheetViews>
    <sheetView topLeftCell="B1" zoomScale="90" zoomScaleNormal="90" workbookViewId="0">
      <selection activeCell="V10" sqref="V10"/>
    </sheetView>
  </sheetViews>
  <sheetFormatPr defaultColWidth="11.453125" defaultRowHeight="14.5" x14ac:dyDescent="0.35"/>
  <cols>
    <col min="2" max="2" width="42.7265625" customWidth="1"/>
    <col min="3" max="3" width="7.453125" customWidth="1"/>
    <col min="4" max="4" width="8.7265625" customWidth="1"/>
    <col min="5" max="5" width="9" customWidth="1"/>
    <col min="6" max="6" width="8.7265625" customWidth="1"/>
    <col min="7" max="7" width="9.54296875" customWidth="1"/>
    <col min="8" max="8" width="9.81640625" customWidth="1"/>
    <col min="9" max="9" width="10.26953125" customWidth="1"/>
    <col min="10" max="10" width="9.26953125" customWidth="1"/>
    <col min="11" max="11" width="9.81640625" customWidth="1"/>
    <col min="12" max="13" width="8.7265625" customWidth="1"/>
    <col min="14" max="14" width="9.1796875" customWidth="1"/>
    <col min="15" max="19" width="8.7265625" customWidth="1"/>
    <col min="20" max="22" width="9.1796875" customWidth="1"/>
  </cols>
  <sheetData>
    <row r="1" spans="2:29" x14ac:dyDescent="0.35">
      <c r="B1" s="1243" t="s">
        <v>55</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29" ht="14.25" customHeight="1" x14ac:dyDescent="0.35">
      <c r="B2" s="1317" t="s">
        <v>936</v>
      </c>
      <c r="C2" s="1317"/>
      <c r="D2" s="1317"/>
      <c r="E2" s="1317"/>
      <c r="F2" s="1317"/>
      <c r="G2" s="1317"/>
      <c r="H2" s="1317"/>
      <c r="I2" s="1317"/>
      <c r="J2" s="1317"/>
      <c r="K2" s="1317"/>
      <c r="L2" s="1317"/>
      <c r="M2" s="1317"/>
      <c r="N2" s="1317"/>
      <c r="O2" s="1317"/>
      <c r="P2" s="1317"/>
      <c r="Q2" s="1317"/>
      <c r="R2" s="1317"/>
      <c r="S2" s="667"/>
      <c r="T2" s="1341" t="s">
        <v>1007</v>
      </c>
      <c r="U2" s="1341"/>
      <c r="V2" s="1341"/>
      <c r="W2" s="1341"/>
      <c r="X2" s="1341"/>
      <c r="Y2" s="1341"/>
      <c r="Z2" s="1341"/>
      <c r="AA2" s="1341"/>
      <c r="AB2" s="1341"/>
      <c r="AC2" s="1341"/>
    </row>
    <row r="3" spans="2:29" x14ac:dyDescent="0.35">
      <c r="B3" s="1317"/>
      <c r="C3" s="1317"/>
      <c r="D3" s="1317"/>
      <c r="E3" s="1317"/>
      <c r="F3" s="1317"/>
      <c r="G3" s="1317"/>
      <c r="H3" s="1317"/>
      <c r="I3" s="1317"/>
      <c r="J3" s="1317"/>
      <c r="K3" s="1317"/>
      <c r="L3" s="1317"/>
      <c r="M3" s="1317"/>
      <c r="N3" s="1317"/>
      <c r="O3" s="1317"/>
      <c r="P3" s="1317"/>
      <c r="Q3" s="1317"/>
      <c r="R3" s="1317"/>
      <c r="S3" s="667"/>
      <c r="T3" s="1341"/>
      <c r="U3" s="1341"/>
      <c r="V3" s="1341"/>
      <c r="W3" s="1341"/>
      <c r="X3" s="1341"/>
      <c r="Y3" s="1341"/>
      <c r="Z3" s="1341"/>
      <c r="AA3" s="1341"/>
      <c r="AB3" s="1341"/>
      <c r="AC3" s="1341"/>
    </row>
    <row r="4" spans="2:29" ht="21" customHeight="1" x14ac:dyDescent="0.35">
      <c r="B4" s="1317"/>
      <c r="C4" s="1317"/>
      <c r="D4" s="1317"/>
      <c r="E4" s="1317"/>
      <c r="F4" s="1317"/>
      <c r="G4" s="1317"/>
      <c r="H4" s="1317"/>
      <c r="I4" s="1317"/>
      <c r="J4" s="1317"/>
      <c r="K4" s="1317"/>
      <c r="L4" s="1317"/>
      <c r="M4" s="1317"/>
      <c r="N4" s="1317"/>
      <c r="O4" s="1317"/>
      <c r="P4" s="1317"/>
      <c r="Q4" s="1317"/>
      <c r="R4" s="1317"/>
      <c r="S4" s="667"/>
      <c r="T4" s="1341"/>
      <c r="U4" s="1341"/>
      <c r="V4" s="1341"/>
      <c r="W4" s="1341"/>
      <c r="X4" s="1341"/>
      <c r="Y4" s="1341"/>
      <c r="Z4" s="1341"/>
      <c r="AA4" s="1341"/>
      <c r="AB4" s="1341"/>
      <c r="AC4" s="1341"/>
    </row>
    <row r="6" spans="2:29" x14ac:dyDescent="0.35">
      <c r="B6" s="181" t="s">
        <v>381</v>
      </c>
    </row>
    <row r="7" spans="2:29" ht="14.65" customHeight="1" x14ac:dyDescent="0.35">
      <c r="B7" s="1276" t="s">
        <v>465</v>
      </c>
      <c r="C7" s="1255"/>
      <c r="D7" s="1253" t="s">
        <v>325</v>
      </c>
      <c r="E7" s="1254"/>
      <c r="F7" s="1254"/>
      <c r="G7" s="1254"/>
      <c r="H7" s="1254"/>
      <c r="I7" s="1254"/>
      <c r="J7" s="1254"/>
      <c r="K7" s="1254"/>
      <c r="L7" s="1254"/>
      <c r="M7" s="1254"/>
      <c r="N7" s="1254"/>
      <c r="O7" s="1254"/>
      <c r="P7" s="1254"/>
      <c r="Q7" s="1254"/>
      <c r="R7" s="1284"/>
      <c r="S7" s="1286" t="s">
        <v>326</v>
      </c>
      <c r="T7" s="1286"/>
      <c r="U7" s="1286"/>
      <c r="V7" s="1286"/>
      <c r="W7" s="1286"/>
      <c r="X7" s="1286"/>
      <c r="Y7" s="1286"/>
      <c r="Z7" s="1286"/>
      <c r="AA7" s="1286"/>
      <c r="AB7" s="1286"/>
      <c r="AC7" s="1287"/>
    </row>
    <row r="8" spans="2:29" x14ac:dyDescent="0.35">
      <c r="B8" s="1277"/>
      <c r="C8" s="1307"/>
      <c r="D8" s="147">
        <v>2018</v>
      </c>
      <c r="E8" s="1244">
        <v>2019</v>
      </c>
      <c r="F8" s="1245"/>
      <c r="G8" s="1245"/>
      <c r="H8" s="1252"/>
      <c r="I8" s="1244">
        <v>2020</v>
      </c>
      <c r="J8" s="1245"/>
      <c r="K8" s="1245"/>
      <c r="L8" s="1245"/>
      <c r="M8" s="1244">
        <v>2021</v>
      </c>
      <c r="N8" s="1245"/>
      <c r="O8" s="1245"/>
      <c r="P8" s="1252"/>
      <c r="Q8" s="1282">
        <v>2022</v>
      </c>
      <c r="R8" s="1283"/>
      <c r="S8" s="317"/>
      <c r="T8" s="318"/>
      <c r="U8" s="1279">
        <v>2023</v>
      </c>
      <c r="V8" s="1280"/>
      <c r="W8" s="1280"/>
      <c r="X8" s="1280"/>
      <c r="Y8" s="1279">
        <v>2024</v>
      </c>
      <c r="Z8" s="1280"/>
      <c r="AA8" s="1280"/>
      <c r="AB8" s="1281"/>
      <c r="AC8" s="285">
        <v>2025</v>
      </c>
    </row>
    <row r="9" spans="2:29" x14ac:dyDescent="0.35">
      <c r="B9" s="1277"/>
      <c r="C9" s="1307"/>
      <c r="D9" s="154" t="s">
        <v>327</v>
      </c>
      <c r="E9" s="154" t="s">
        <v>328</v>
      </c>
      <c r="F9" s="153" t="s">
        <v>329</v>
      </c>
      <c r="G9" s="153" t="s">
        <v>238</v>
      </c>
      <c r="H9" s="224" t="s">
        <v>327</v>
      </c>
      <c r="I9" s="153" t="s">
        <v>328</v>
      </c>
      <c r="J9" s="153" t="s">
        <v>329</v>
      </c>
      <c r="K9" s="153" t="s">
        <v>238</v>
      </c>
      <c r="L9" s="153" t="s">
        <v>327</v>
      </c>
      <c r="M9" s="154" t="s">
        <v>328</v>
      </c>
      <c r="N9" s="153" t="s">
        <v>329</v>
      </c>
      <c r="O9" s="153" t="s">
        <v>238</v>
      </c>
      <c r="P9" s="224" t="s">
        <v>327</v>
      </c>
      <c r="Q9" s="154" t="s">
        <v>328</v>
      </c>
      <c r="R9" s="224" t="s">
        <v>329</v>
      </c>
      <c r="S9" s="429" t="s">
        <v>238</v>
      </c>
      <c r="T9" s="443" t="s">
        <v>327</v>
      </c>
      <c r="U9" s="428" t="s">
        <v>328</v>
      </c>
      <c r="V9" s="429" t="s">
        <v>329</v>
      </c>
      <c r="W9" s="429" t="s">
        <v>238</v>
      </c>
      <c r="X9" s="429" t="s">
        <v>327</v>
      </c>
      <c r="Y9" s="428" t="s">
        <v>328</v>
      </c>
      <c r="Z9" s="295" t="s">
        <v>329</v>
      </c>
      <c r="AA9" s="429" t="s">
        <v>238</v>
      </c>
      <c r="AB9" s="443" t="s">
        <v>327</v>
      </c>
      <c r="AC9" s="458" t="s">
        <v>328</v>
      </c>
    </row>
    <row r="10" spans="2:29" ht="14.5" customHeight="1" x14ac:dyDescent="0.35">
      <c r="B10" s="703" t="s">
        <v>515</v>
      </c>
      <c r="C10" s="36" t="s">
        <v>1002</v>
      </c>
      <c r="D10" s="660">
        <f>'Haver Pivoted'!GO12</f>
        <v>755.3</v>
      </c>
      <c r="E10" s="661">
        <f>'Haver Pivoted'!GP12</f>
        <v>772.6</v>
      </c>
      <c r="F10" s="661">
        <f>'Haver Pivoted'!GQ12</f>
        <v>785.8</v>
      </c>
      <c r="G10" s="661">
        <f>'Haver Pivoted'!GR12</f>
        <v>793.7</v>
      </c>
      <c r="H10" s="661">
        <f>'Haver Pivoted'!GS12</f>
        <v>796.3</v>
      </c>
      <c r="I10" s="661">
        <f>'Haver Pivoted'!GT12</f>
        <v>795.3</v>
      </c>
      <c r="J10" s="661">
        <f>'Haver Pivoted'!GU12</f>
        <v>808</v>
      </c>
      <c r="K10" s="661">
        <f>'Haver Pivoted'!GV12</f>
        <v>822.1</v>
      </c>
      <c r="L10" s="661">
        <f>'Haver Pivoted'!GW12</f>
        <v>837.5</v>
      </c>
      <c r="M10" s="661">
        <f>'Haver Pivoted'!GX12</f>
        <v>857.6</v>
      </c>
      <c r="N10" s="661">
        <f>'Haver Pivoted'!GY12</f>
        <v>875.4</v>
      </c>
      <c r="O10" s="661">
        <f>'Haver Pivoted'!GZ12</f>
        <v>889.5</v>
      </c>
      <c r="P10" s="661">
        <f>'Haver Pivoted'!HA12</f>
        <v>900</v>
      </c>
      <c r="Q10" s="661">
        <f>'Haver Pivoted'!HB12</f>
        <v>908</v>
      </c>
      <c r="R10" s="675">
        <f>'Haver Pivoted'!HC12</f>
        <v>911.8</v>
      </c>
      <c r="S10" s="655">
        <f>R10*(1+R12)+S13</f>
        <v>918.11049555908767</v>
      </c>
      <c r="T10" s="655">
        <f t="shared" ref="T10:AC10" si="0">S10*(1+S12)</f>
        <v>937.55463752799051</v>
      </c>
      <c r="U10" s="655">
        <f t="shared" si="0"/>
        <v>955.94003023756272</v>
      </c>
      <c r="V10" s="655">
        <f t="shared" si="0"/>
        <v>974.68595944448134</v>
      </c>
      <c r="W10" s="655">
        <f t="shared" si="0"/>
        <v>993.79949524879646</v>
      </c>
      <c r="X10" s="655">
        <f t="shared" si="0"/>
        <v>1013.2878463948152</v>
      </c>
      <c r="Y10" s="655">
        <f t="shared" si="0"/>
        <v>1037.7219544758268</v>
      </c>
      <c r="Z10" s="655">
        <f t="shared" si="0"/>
        <v>1062.7452590421597</v>
      </c>
      <c r="AA10" s="655">
        <f t="shared" si="0"/>
        <v>1088.3719677946704</v>
      </c>
      <c r="AB10" s="655">
        <f t="shared" si="0"/>
        <v>1114.6166310342967</v>
      </c>
      <c r="AC10" s="655">
        <f t="shared" si="0"/>
        <v>1141.4941499234094</v>
      </c>
    </row>
    <row r="11" spans="2:29" ht="28.5" customHeight="1" x14ac:dyDescent="0.35">
      <c r="B11" s="716" t="s">
        <v>1004</v>
      </c>
      <c r="C11" s="685" t="s">
        <v>588</v>
      </c>
      <c r="D11" s="717"/>
      <c r="E11" s="686"/>
      <c r="F11" s="686"/>
      <c r="G11" s="686"/>
      <c r="H11" s="686"/>
      <c r="I11" s="686"/>
      <c r="J11" s="687">
        <f>'Haver Pivoted'!GU46</f>
        <v>9.6</v>
      </c>
      <c r="K11" s="687">
        <f>'Haver Pivoted'!GV46</f>
        <v>14.4</v>
      </c>
      <c r="L11" s="687">
        <f>'Haver Pivoted'!GW46</f>
        <v>14.3</v>
      </c>
      <c r="M11" s="687">
        <f>'Haver Pivoted'!GX46</f>
        <v>15</v>
      </c>
      <c r="N11" s="687">
        <f>'Haver Pivoted'!GY46</f>
        <v>15.3</v>
      </c>
      <c r="O11" s="687">
        <f>'Haver Pivoted'!GZ46</f>
        <v>15.6</v>
      </c>
      <c r="P11" s="687">
        <f>'Haver Pivoted'!HA46</f>
        <v>15.7</v>
      </c>
      <c r="Q11" s="687">
        <f>'Haver Pivoted'!HB46</f>
        <v>15.8</v>
      </c>
      <c r="R11" s="718">
        <f>'Haver Pivoted'!HC46</f>
        <v>7.9</v>
      </c>
      <c r="S11" s="688">
        <v>15</v>
      </c>
      <c r="T11" s="688">
        <v>15</v>
      </c>
      <c r="U11" s="688">
        <v>15</v>
      </c>
      <c r="V11" s="688">
        <v>15</v>
      </c>
      <c r="W11" s="688">
        <v>15</v>
      </c>
      <c r="X11" s="688"/>
      <c r="Y11" s="688"/>
      <c r="Z11" s="688"/>
      <c r="AA11" s="688"/>
      <c r="AB11" s="688"/>
      <c r="AC11" s="719"/>
    </row>
    <row r="12" spans="2:29" x14ac:dyDescent="0.35">
      <c r="B12" s="704" t="s">
        <v>516</v>
      </c>
      <c r="C12" s="702"/>
      <c r="D12" s="662"/>
      <c r="E12" s="322"/>
      <c r="F12" s="322"/>
      <c r="G12" s="322"/>
      <c r="H12" s="322"/>
      <c r="I12" s="322"/>
      <c r="J12" s="634"/>
      <c r="K12" s="634"/>
      <c r="L12" s="634"/>
      <c r="M12" s="634"/>
      <c r="N12" s="634">
        <f>(1 + $E$30)^0.25-1</f>
        <v>0</v>
      </c>
      <c r="O12" s="634">
        <f>(1 + $E$30)^0.25-1</f>
        <v>0</v>
      </c>
      <c r="P12" s="634">
        <f>(1 + $F$30)^0.25-1</f>
        <v>2.1178433383513662E-2</v>
      </c>
      <c r="Q12" s="634">
        <f>(1 +$F$30)^0.25-1</f>
        <v>2.1178433383513662E-2</v>
      </c>
      <c r="R12" s="669">
        <f>(1 +$F$30)^0.25-1</f>
        <v>2.1178433383513662E-2</v>
      </c>
      <c r="S12" s="691">
        <f>(1 +$F$30)^0.25-1</f>
        <v>2.1178433383513662E-2</v>
      </c>
      <c r="T12" s="691">
        <f>(1 +$G$30)^0.25-1</f>
        <v>1.960994268883165E-2</v>
      </c>
      <c r="U12" s="691">
        <f>(1 +$G$30)^0.25-1</f>
        <v>1.960994268883165E-2</v>
      </c>
      <c r="V12" s="691">
        <f>(1 +$G$30)^0.25-1</f>
        <v>1.960994268883165E-2</v>
      </c>
      <c r="W12" s="691">
        <f>(1 +$G$30)^0.25-1</f>
        <v>1.960994268883165E-2</v>
      </c>
      <c r="X12" s="691">
        <f t="shared" ref="X12:AC12" si="1">(1 +$H$30)^0.25-1</f>
        <v>2.4113689084445111E-2</v>
      </c>
      <c r="Y12" s="691">
        <f t="shared" si="1"/>
        <v>2.4113689084445111E-2</v>
      </c>
      <c r="Z12" s="691">
        <f t="shared" si="1"/>
        <v>2.4113689084445111E-2</v>
      </c>
      <c r="AA12" s="691">
        <f t="shared" si="1"/>
        <v>2.4113689084445111E-2</v>
      </c>
      <c r="AB12" s="691">
        <f t="shared" si="1"/>
        <v>2.4113689084445111E-2</v>
      </c>
      <c r="AC12" s="698">
        <f t="shared" si="1"/>
        <v>2.4113689084445111E-2</v>
      </c>
    </row>
    <row r="13" spans="2:29" x14ac:dyDescent="0.35">
      <c r="B13" s="699" t="s">
        <v>971</v>
      </c>
      <c r="C13" s="640"/>
      <c r="D13" s="496"/>
      <c r="E13" s="496"/>
      <c r="F13" s="496"/>
      <c r="G13" s="496"/>
      <c r="H13" s="496"/>
      <c r="I13" s="496"/>
      <c r="J13" s="633"/>
      <c r="K13" s="633"/>
      <c r="L13" s="633"/>
      <c r="M13" s="633"/>
      <c r="N13" s="633"/>
      <c r="O13" s="633"/>
      <c r="P13" s="633"/>
      <c r="Q13" s="633"/>
      <c r="R13" s="633"/>
      <c r="S13" s="691">
        <v>-13</v>
      </c>
      <c r="T13" s="691"/>
      <c r="U13" s="691"/>
      <c r="V13" s="691"/>
      <c r="W13" s="691"/>
      <c r="X13" s="691"/>
      <c r="Y13" s="691"/>
      <c r="Z13" s="691"/>
      <c r="AA13" s="691"/>
      <c r="AB13" s="691"/>
      <c r="AC13" s="691"/>
    </row>
    <row r="14" spans="2:29" ht="15.75" customHeight="1" x14ac:dyDescent="0.35">
      <c r="B14" s="699"/>
      <c r="C14" s="640"/>
      <c r="D14" s="496"/>
      <c r="E14" s="496"/>
      <c r="F14" s="496"/>
      <c r="G14" s="496"/>
      <c r="H14" s="496"/>
      <c r="I14" s="496"/>
      <c r="J14" s="633"/>
      <c r="K14" s="633"/>
      <c r="L14" s="633"/>
      <c r="M14" s="633"/>
    </row>
    <row r="15" spans="2:29" x14ac:dyDescent="0.35">
      <c r="B15" s="677" t="s">
        <v>515</v>
      </c>
      <c r="C15" s="678" t="s">
        <v>1002</v>
      </c>
      <c r="D15" s="679">
        <v>754.2</v>
      </c>
      <c r="E15" s="680">
        <v>768.3</v>
      </c>
      <c r="F15" s="680">
        <v>781.1</v>
      </c>
      <c r="G15" s="680">
        <v>792.1</v>
      </c>
      <c r="H15" s="680">
        <v>801.3</v>
      </c>
      <c r="I15" s="680">
        <v>808.5</v>
      </c>
      <c r="J15" s="680">
        <v>821.6</v>
      </c>
      <c r="K15" s="680">
        <v>825.8</v>
      </c>
      <c r="L15" s="680">
        <v>821</v>
      </c>
      <c r="M15" s="680">
        <v>814.1</v>
      </c>
      <c r="N15" s="680">
        <v>815.3</v>
      </c>
      <c r="O15" s="680">
        <v>826.5</v>
      </c>
      <c r="P15" s="680">
        <v>847.9</v>
      </c>
      <c r="Q15" s="680">
        <v>862.1</v>
      </c>
      <c r="R15" s="681">
        <v>865.9</v>
      </c>
      <c r="S15" s="682">
        <v>871.23840546678446</v>
      </c>
      <c r="T15" s="682">
        <v>889.68986999812137</v>
      </c>
      <c r="U15" s="682">
        <v>906.73240106789979</v>
      </c>
      <c r="V15" s="682">
        <v>924.10139181206455</v>
      </c>
      <c r="W15" s="682">
        <v>941.80309575707611</v>
      </c>
      <c r="X15" s="682">
        <v>959.84388621936091</v>
      </c>
      <c r="Y15" s="682">
        <v>982.98926326126013</v>
      </c>
      <c r="Z15" s="682">
        <v>1006.6927607288899</v>
      </c>
      <c r="AA15" s="683">
        <v>1030.9678369646681</v>
      </c>
      <c r="AB15" s="655">
        <v>1055.8282748412969</v>
      </c>
      <c r="AC15" s="655">
        <v>1081.2881895873859</v>
      </c>
    </row>
    <row r="16" spans="2:29" ht="14.5" customHeight="1" x14ac:dyDescent="0.35">
      <c r="B16" s="684" t="s">
        <v>1004</v>
      </c>
      <c r="C16" s="685" t="s">
        <v>588</v>
      </c>
      <c r="D16" s="717"/>
      <c r="E16" s="686"/>
      <c r="F16" s="686"/>
      <c r="G16" s="686"/>
      <c r="H16" s="686"/>
      <c r="I16" s="686"/>
      <c r="J16" s="687">
        <v>9.6</v>
      </c>
      <c r="K16" s="687">
        <v>14.4</v>
      </c>
      <c r="L16" s="687">
        <v>14.3</v>
      </c>
      <c r="M16" s="687">
        <v>14.2</v>
      </c>
      <c r="N16" s="687">
        <v>14.1</v>
      </c>
      <c r="O16" s="687">
        <v>14.3</v>
      </c>
      <c r="P16" s="687">
        <v>14.6</v>
      </c>
      <c r="Q16" s="687">
        <v>14.8</v>
      </c>
      <c r="R16" s="718">
        <v>6.9</v>
      </c>
      <c r="S16" s="688">
        <v>15</v>
      </c>
      <c r="T16" s="688">
        <v>15</v>
      </c>
      <c r="U16" s="688">
        <v>15</v>
      </c>
      <c r="V16" s="688">
        <v>15</v>
      </c>
      <c r="W16" s="688">
        <v>15</v>
      </c>
      <c r="X16" s="688"/>
      <c r="Y16" s="688"/>
      <c r="Z16" s="688"/>
      <c r="AA16" s="689"/>
      <c r="AB16" s="688"/>
      <c r="AC16" s="719"/>
    </row>
    <row r="17" spans="2:29" x14ac:dyDescent="0.35">
      <c r="B17" s="690" t="s">
        <v>516</v>
      </c>
      <c r="C17" s="702"/>
      <c r="D17" s="662"/>
      <c r="E17" s="322"/>
      <c r="F17" s="322"/>
      <c r="G17" s="322"/>
      <c r="H17" s="322"/>
      <c r="I17" s="322"/>
      <c r="J17" s="634"/>
      <c r="K17" s="634"/>
      <c r="L17" s="634"/>
      <c r="M17" s="634"/>
      <c r="N17" s="634">
        <v>0</v>
      </c>
      <c r="O17" s="634">
        <v>0</v>
      </c>
      <c r="P17" s="634">
        <v>2.1178433383513662E-2</v>
      </c>
      <c r="Q17" s="634">
        <v>2.1178433383513662E-2</v>
      </c>
      <c r="R17" s="669">
        <v>2.1178433383513662E-2</v>
      </c>
      <c r="S17" s="691">
        <v>2.1178433383513662E-2</v>
      </c>
      <c r="T17" s="691">
        <v>1.9155586282908255E-2</v>
      </c>
      <c r="U17" s="691">
        <v>1.9155586282908255E-2</v>
      </c>
      <c r="V17" s="691">
        <v>1.9155586282908255E-2</v>
      </c>
      <c r="W17" s="691">
        <v>1.9155586282908255E-2</v>
      </c>
      <c r="X17" s="691">
        <v>2.4113689084445111E-2</v>
      </c>
      <c r="Y17" s="691">
        <v>2.4113689084445111E-2</v>
      </c>
      <c r="Z17" s="691">
        <v>2.4113689084445111E-2</v>
      </c>
      <c r="AA17" s="692">
        <v>2.4113689084445111E-2</v>
      </c>
      <c r="AB17" s="691">
        <v>2.4113689084445111E-2</v>
      </c>
      <c r="AC17" s="698">
        <v>2.4113689084445111E-2</v>
      </c>
    </row>
    <row r="18" spans="2:29" ht="15.75" customHeight="1" x14ac:dyDescent="0.35">
      <c r="B18" s="693" t="s">
        <v>971</v>
      </c>
      <c r="C18" s="694"/>
      <c r="D18" s="270"/>
      <c r="E18" s="270"/>
      <c r="F18" s="270"/>
      <c r="G18" s="270"/>
      <c r="H18" s="270"/>
      <c r="I18" s="270"/>
      <c r="J18" s="695"/>
      <c r="K18" s="695"/>
      <c r="L18" s="695"/>
      <c r="M18" s="695"/>
      <c r="N18" s="695"/>
      <c r="O18" s="695"/>
      <c r="P18" s="695"/>
      <c r="Q18" s="695"/>
      <c r="R18" s="695"/>
      <c r="S18" s="696">
        <v>-13</v>
      </c>
      <c r="T18" s="696"/>
      <c r="U18" s="696"/>
      <c r="V18" s="696"/>
      <c r="W18" s="696"/>
      <c r="X18" s="696"/>
      <c r="Y18" s="696"/>
      <c r="Z18" s="696"/>
      <c r="AA18" s="697"/>
      <c r="AB18" s="691"/>
      <c r="AC18" s="691"/>
    </row>
    <row r="19" spans="2:29" x14ac:dyDescent="0.35">
      <c r="B19" s="699"/>
      <c r="C19" s="640"/>
      <c r="D19" s="496">
        <f>D10-D15</f>
        <v>1.0999999999999091</v>
      </c>
      <c r="E19" s="496">
        <f t="shared" ref="E19:Z19" si="2">E10-E15</f>
        <v>4.3000000000000682</v>
      </c>
      <c r="F19" s="496">
        <f t="shared" si="2"/>
        <v>4.6999999999999318</v>
      </c>
      <c r="G19" s="496">
        <f t="shared" si="2"/>
        <v>1.6000000000000227</v>
      </c>
      <c r="H19" s="496">
        <f t="shared" si="2"/>
        <v>-5</v>
      </c>
      <c r="I19" s="496">
        <f t="shared" si="2"/>
        <v>-13.200000000000045</v>
      </c>
      <c r="J19" s="496">
        <f t="shared" si="2"/>
        <v>-13.600000000000023</v>
      </c>
      <c r="K19" s="496">
        <f t="shared" si="2"/>
        <v>-3.6999999999999318</v>
      </c>
      <c r="L19" s="496">
        <f t="shared" si="2"/>
        <v>16.5</v>
      </c>
      <c r="M19" s="496">
        <f t="shared" si="2"/>
        <v>43.5</v>
      </c>
      <c r="N19" s="496">
        <f t="shared" si="2"/>
        <v>60.100000000000023</v>
      </c>
      <c r="O19" s="496">
        <f t="shared" si="2"/>
        <v>63</v>
      </c>
      <c r="P19" s="496">
        <f t="shared" si="2"/>
        <v>52.100000000000023</v>
      </c>
      <c r="Q19" s="496">
        <f t="shared" si="2"/>
        <v>45.899999999999977</v>
      </c>
      <c r="R19" s="496">
        <f t="shared" si="2"/>
        <v>45.899999999999977</v>
      </c>
      <c r="S19" s="496">
        <f t="shared" si="2"/>
        <v>46.87209009230321</v>
      </c>
      <c r="T19" s="496">
        <f t="shared" si="2"/>
        <v>47.864767529869141</v>
      </c>
      <c r="U19" s="496">
        <f t="shared" si="2"/>
        <v>49.207629169662937</v>
      </c>
      <c r="V19" s="496">
        <f t="shared" si="2"/>
        <v>50.584567632416793</v>
      </c>
      <c r="W19" s="496">
        <f t="shared" si="2"/>
        <v>51.996399491720354</v>
      </c>
      <c r="X19" s="496">
        <f t="shared" si="2"/>
        <v>53.443960175454322</v>
      </c>
      <c r="Y19" s="496">
        <f t="shared" si="2"/>
        <v>54.732691214566671</v>
      </c>
      <c r="Z19" s="496">
        <f t="shared" si="2"/>
        <v>56.05249831326978</v>
      </c>
    </row>
    <row r="20" spans="2:29" x14ac:dyDescent="0.35">
      <c r="B20" s="699"/>
      <c r="C20" s="640"/>
      <c r="D20" s="496"/>
      <c r="E20" s="496"/>
      <c r="F20" s="496"/>
      <c r="G20" s="496"/>
      <c r="H20" s="496"/>
      <c r="I20" s="496"/>
      <c r="J20" s="633"/>
      <c r="K20" s="633"/>
      <c r="L20" s="633"/>
      <c r="M20" s="633"/>
    </row>
    <row r="21" spans="2:29" x14ac:dyDescent="0.35">
      <c r="B21" s="699"/>
      <c r="C21" s="640"/>
      <c r="D21" s="496"/>
      <c r="E21" s="496"/>
      <c r="F21" s="496"/>
      <c r="G21" s="496"/>
      <c r="H21" s="496"/>
      <c r="I21" s="496"/>
      <c r="J21" s="633"/>
      <c r="K21" s="633"/>
      <c r="L21" s="633"/>
      <c r="M21" s="633"/>
    </row>
    <row r="22" spans="2:29" ht="14.5" customHeight="1" x14ac:dyDescent="0.35">
      <c r="B22" s="181" t="s">
        <v>400</v>
      </c>
    </row>
    <row r="23" spans="2:29" x14ac:dyDescent="0.35">
      <c r="B23" s="709" t="s">
        <v>493</v>
      </c>
      <c r="C23" s="709">
        <v>2019</v>
      </c>
      <c r="D23" s="710">
        <v>2020</v>
      </c>
      <c r="E23" s="710">
        <v>2021</v>
      </c>
      <c r="F23" s="710">
        <v>2022</v>
      </c>
      <c r="G23" s="710">
        <v>2023</v>
      </c>
      <c r="H23" s="711">
        <v>2024</v>
      </c>
      <c r="I23" s="711">
        <v>2025</v>
      </c>
      <c r="J23" s="711">
        <v>2026</v>
      </c>
    </row>
    <row r="24" spans="2:29" ht="21" customHeight="1" x14ac:dyDescent="0.35">
      <c r="B24" s="701" t="s">
        <v>974</v>
      </c>
      <c r="C24" s="713"/>
      <c r="D24" s="705"/>
      <c r="E24" s="297">
        <v>867.67600000000004</v>
      </c>
      <c r="F24" s="297">
        <v>941.351</v>
      </c>
      <c r="G24" s="297">
        <v>1008.7670000000001</v>
      </c>
      <c r="H24" s="297">
        <v>1085.711</v>
      </c>
      <c r="I24" s="297">
        <v>1165.28</v>
      </c>
      <c r="J24" s="715">
        <v>1262.203</v>
      </c>
      <c r="K24" s="705"/>
      <c r="L24" s="705"/>
      <c r="M24" s="705"/>
      <c r="N24" s="705"/>
      <c r="O24" s="705"/>
      <c r="P24" s="432"/>
      <c r="Q24" s="432"/>
      <c r="R24" s="432"/>
      <c r="S24" s="432"/>
      <c r="T24" s="432"/>
      <c r="U24" s="432"/>
      <c r="V24" s="432"/>
      <c r="W24" s="432"/>
      <c r="X24" s="432"/>
      <c r="Y24" s="432"/>
      <c r="Z24" s="432"/>
      <c r="AA24" s="432"/>
      <c r="AB24" s="432"/>
      <c r="AC24" s="432"/>
    </row>
    <row r="25" spans="2:29" ht="21" customHeight="1" x14ac:dyDescent="0.35">
      <c r="B25" s="701"/>
      <c r="C25" s="713"/>
      <c r="D25" s="705"/>
      <c r="E25" s="297">
        <f>AVERAGE(L10:O10)</f>
        <v>865</v>
      </c>
      <c r="F25" s="297">
        <f>AVERAGE(P10:S10)</f>
        <v>909.47762388977196</v>
      </c>
      <c r="G25" s="297">
        <f>AVERAGE(T10:W10)</f>
        <v>965.49503061470784</v>
      </c>
      <c r="H25" s="297">
        <f>AVERAGE(X10:AA10)</f>
        <v>1050.531756926868</v>
      </c>
      <c r="I25" s="297">
        <f>AVERAGE(AB10:AE10)</f>
        <v>1128.055390478853</v>
      </c>
      <c r="J25" s="327"/>
      <c r="K25" s="705"/>
      <c r="L25" s="705"/>
      <c r="M25" s="705"/>
      <c r="N25" s="705"/>
      <c r="O25" s="705"/>
      <c r="P25" s="432"/>
      <c r="Q25" s="432"/>
      <c r="R25" s="432"/>
      <c r="S25" s="432"/>
      <c r="T25" s="432"/>
      <c r="U25" s="432"/>
      <c r="V25" s="432"/>
      <c r="W25" s="432"/>
      <c r="X25" s="432"/>
      <c r="Y25" s="432"/>
      <c r="Z25" s="432"/>
      <c r="AA25" s="432"/>
      <c r="AB25" s="432"/>
      <c r="AC25" s="432"/>
    </row>
    <row r="26" spans="2:29" ht="21" customHeight="1" x14ac:dyDescent="0.35">
      <c r="B26" s="179" t="s">
        <v>517</v>
      </c>
      <c r="C26" s="179"/>
      <c r="D26" s="156">
        <v>47</v>
      </c>
      <c r="E26" s="156">
        <v>48</v>
      </c>
      <c r="F26" s="36">
        <v>-50</v>
      </c>
      <c r="G26" s="36">
        <v>-45</v>
      </c>
      <c r="H26" s="36"/>
      <c r="I26" s="36"/>
      <c r="J26" s="707">
        <f>SUM(D26:G26)</f>
        <v>0</v>
      </c>
      <c r="M26" s="705"/>
      <c r="N26" s="705"/>
      <c r="O26" s="705"/>
      <c r="P26" s="432"/>
      <c r="Q26" s="432"/>
      <c r="R26" s="432"/>
      <c r="S26" s="432"/>
      <c r="T26" s="432"/>
      <c r="U26" s="432"/>
      <c r="V26" s="432"/>
      <c r="W26" s="432"/>
      <c r="X26" s="432"/>
      <c r="Y26" s="432"/>
      <c r="Z26" s="432"/>
      <c r="AA26" s="432"/>
      <c r="AB26" s="432"/>
      <c r="AC26" s="432"/>
    </row>
    <row r="27" spans="2:29" ht="21" customHeight="1" x14ac:dyDescent="0.35">
      <c r="B27" s="701" t="s">
        <v>1294</v>
      </c>
      <c r="C27" s="179"/>
      <c r="D27" s="156"/>
      <c r="E27" s="156"/>
      <c r="F27" s="36"/>
      <c r="G27" s="720">
        <f>'IRA and CHIPS'!E175</f>
        <v>-0.41499999999999998</v>
      </c>
      <c r="H27" s="720">
        <f>'IRA and CHIPS'!F175</f>
        <v>2.7679999999999998</v>
      </c>
      <c r="I27" s="720">
        <f>'IRA and CHIPS'!G175</f>
        <v>-12.473000000000001</v>
      </c>
      <c r="J27" s="720">
        <f>'IRA and CHIPS'!H175</f>
        <v>-5.3739999999999997</v>
      </c>
      <c r="M27" s="705"/>
      <c r="N27" s="705"/>
      <c r="O27" s="705"/>
      <c r="P27" s="432"/>
      <c r="Q27" s="432"/>
      <c r="R27" s="432"/>
      <c r="S27" s="432"/>
      <c r="T27" s="432"/>
      <c r="U27" s="432"/>
      <c r="V27" s="432"/>
      <c r="W27" s="432"/>
      <c r="X27" s="432"/>
      <c r="Y27" s="432"/>
      <c r="Z27" s="432"/>
      <c r="AA27" s="432"/>
      <c r="AB27" s="432"/>
      <c r="AC27" s="432"/>
    </row>
    <row r="28" spans="2:29" x14ac:dyDescent="0.35">
      <c r="B28" s="179" t="s">
        <v>1488</v>
      </c>
      <c r="C28" s="713"/>
      <c r="D28" s="180"/>
      <c r="E28" s="180">
        <f>E24-E26</f>
        <v>819.67600000000004</v>
      </c>
      <c r="F28" s="180">
        <f>F24+F26</f>
        <v>891.351</v>
      </c>
      <c r="G28" s="180">
        <f>G24+G26+G27</f>
        <v>963.35200000000009</v>
      </c>
      <c r="H28" s="180">
        <f>H24+H26+H27</f>
        <v>1088.479</v>
      </c>
      <c r="I28" s="180">
        <f>I24+I26+I27</f>
        <v>1152.807</v>
      </c>
      <c r="J28" s="707"/>
      <c r="N28" s="708"/>
      <c r="O28" s="640"/>
      <c r="P28" s="432"/>
      <c r="Q28" s="432"/>
      <c r="R28" s="432"/>
      <c r="S28" s="432"/>
      <c r="T28" s="432"/>
      <c r="U28" s="432"/>
      <c r="V28" s="432"/>
      <c r="W28" s="432"/>
      <c r="X28" s="432"/>
      <c r="Y28" s="432"/>
      <c r="Z28" s="432"/>
      <c r="AA28" s="432"/>
      <c r="AB28" s="432"/>
      <c r="AC28" s="432"/>
    </row>
    <row r="29" spans="2:29" x14ac:dyDescent="0.35">
      <c r="B29" s="179" t="s">
        <v>519</v>
      </c>
      <c r="C29" s="714">
        <f>AVERAGE(D10:G10)</f>
        <v>776.84999999999991</v>
      </c>
      <c r="D29" s="301">
        <f>AVERAGE(H10:K10)</f>
        <v>805.42499999999995</v>
      </c>
      <c r="E29" s="180">
        <f>AVERAGE(L10:O10)</f>
        <v>865</v>
      </c>
      <c r="F29" s="36"/>
      <c r="G29" s="36"/>
      <c r="H29" s="36"/>
      <c r="I29" s="36"/>
      <c r="J29" s="707"/>
      <c r="K29" s="156" t="s">
        <v>518</v>
      </c>
      <c r="P29" s="432"/>
      <c r="Q29" s="432"/>
      <c r="R29" s="432"/>
      <c r="S29" s="432"/>
      <c r="T29" s="432"/>
      <c r="U29" s="432"/>
      <c r="V29" s="432"/>
      <c r="W29" s="432"/>
      <c r="X29" s="432"/>
      <c r="Y29" s="432"/>
      <c r="Z29" s="432"/>
      <c r="AA29" s="432"/>
      <c r="AB29" s="432"/>
      <c r="AC29" s="432"/>
    </row>
    <row r="30" spans="2:29" x14ac:dyDescent="0.35">
      <c r="B30" s="712" t="s">
        <v>1018</v>
      </c>
      <c r="C30" s="150"/>
      <c r="D30" s="291"/>
      <c r="E30" s="291"/>
      <c r="F30" s="291">
        <f>F28/E28-1</f>
        <v>8.7443087268628039E-2</v>
      </c>
      <c r="G30" s="291">
        <f t="shared" ref="G30:J30" si="3">G28/F28-1</f>
        <v>8.0777381749726151E-2</v>
      </c>
      <c r="H30" s="291">
        <v>0.1</v>
      </c>
      <c r="I30" s="291">
        <f t="shared" si="3"/>
        <v>5.9098981238958181E-2</v>
      </c>
      <c r="J30" s="700">
        <f t="shared" si="3"/>
        <v>-1</v>
      </c>
      <c r="P30" s="156"/>
      <c r="Q30" s="156"/>
      <c r="R30" s="156"/>
      <c r="S30" s="156"/>
      <c r="T30" s="156"/>
      <c r="U30" s="156"/>
      <c r="V30" s="156"/>
      <c r="W30" s="156"/>
      <c r="X30" s="156"/>
      <c r="Y30" s="156"/>
      <c r="Z30" s="156"/>
      <c r="AA30" s="156"/>
      <c r="AB30" s="156"/>
      <c r="AC30" s="156"/>
    </row>
    <row r="31" spans="2:29" x14ac:dyDescent="0.35">
      <c r="P31" s="156"/>
      <c r="Q31" s="156"/>
      <c r="R31" s="156"/>
      <c r="S31" s="156"/>
      <c r="T31" s="156"/>
      <c r="U31" s="156"/>
      <c r="V31" s="156"/>
      <c r="W31" s="156"/>
      <c r="X31" s="156"/>
      <c r="Y31" s="156"/>
      <c r="Z31" s="156"/>
      <c r="AA31" s="156"/>
      <c r="AB31" s="156"/>
      <c r="AC31" s="156"/>
    </row>
    <row r="32" spans="2:29" x14ac:dyDescent="0.35">
      <c r="C32" s="706"/>
      <c r="D32" s="706"/>
      <c r="E32" s="706"/>
      <c r="F32" s="706"/>
      <c r="G32" s="706"/>
      <c r="H32" s="706"/>
      <c r="I32" s="706"/>
      <c r="J32" s="706"/>
      <c r="P32" s="156"/>
      <c r="Q32" s="156"/>
      <c r="R32" s="156"/>
      <c r="S32" s="156"/>
      <c r="T32" s="156"/>
      <c r="U32" s="156"/>
      <c r="V32" s="156"/>
      <c r="W32" s="156"/>
      <c r="X32" s="156"/>
      <c r="Y32" s="156"/>
      <c r="Z32" s="156"/>
      <c r="AA32" s="156"/>
      <c r="AB32" s="156"/>
      <c r="AC32" s="156"/>
    </row>
    <row r="33" spans="6:32" x14ac:dyDescent="0.35">
      <c r="K33" s="706"/>
      <c r="L33" s="706"/>
      <c r="M33" s="706"/>
      <c r="N33" s="706"/>
      <c r="P33" s="156"/>
      <c r="Q33" s="156"/>
      <c r="R33" s="156"/>
      <c r="S33" s="156"/>
      <c r="T33" s="156"/>
      <c r="U33" s="156"/>
      <c r="V33" s="156"/>
      <c r="W33" s="156"/>
      <c r="X33" s="156"/>
      <c r="Y33" s="156"/>
      <c r="Z33" s="156"/>
      <c r="AA33" s="156"/>
      <c r="AB33" s="156"/>
      <c r="AC33" s="156"/>
    </row>
    <row r="34" spans="6:32" x14ac:dyDescent="0.35">
      <c r="P34" s="156"/>
      <c r="Q34" s="156"/>
      <c r="R34" s="156"/>
      <c r="S34" s="156"/>
      <c r="T34" s="156"/>
      <c r="U34" s="156"/>
      <c r="V34" s="156"/>
      <c r="W34" s="156"/>
      <c r="X34" s="156"/>
      <c r="Y34" s="156"/>
      <c r="Z34" s="156"/>
      <c r="AA34" s="156"/>
      <c r="AB34" s="156"/>
      <c r="AC34" s="156"/>
    </row>
    <row r="35" spans="6:32" x14ac:dyDescent="0.35">
      <c r="S35" s="156"/>
      <c r="T35" s="156"/>
      <c r="U35" s="156"/>
      <c r="V35" s="156"/>
      <c r="W35" s="156"/>
      <c r="X35" s="156"/>
      <c r="Y35" s="156"/>
      <c r="Z35" s="156"/>
      <c r="AA35" s="156"/>
      <c r="AB35" s="156"/>
      <c r="AC35" s="156"/>
      <c r="AD35" s="156"/>
      <c r="AE35" s="156"/>
      <c r="AF35" s="156"/>
    </row>
    <row r="36" spans="6:32" x14ac:dyDescent="0.35">
      <c r="P36" s="156"/>
      <c r="Q36" s="156"/>
      <c r="R36" s="156"/>
      <c r="S36" s="156"/>
      <c r="T36" s="156"/>
      <c r="U36" s="156"/>
      <c r="V36" s="156"/>
      <c r="W36" s="156"/>
      <c r="X36" s="156"/>
      <c r="Y36" s="156"/>
      <c r="Z36" s="156"/>
      <c r="AA36" s="156"/>
      <c r="AB36" s="156"/>
      <c r="AC36" s="156"/>
    </row>
    <row r="37" spans="6:32" x14ac:dyDescent="0.35">
      <c r="F37" s="36"/>
      <c r="G37" s="36"/>
      <c r="P37" s="156"/>
      <c r="Q37" s="156"/>
      <c r="R37" s="156"/>
      <c r="S37" s="156"/>
      <c r="T37" s="156"/>
      <c r="U37" s="156"/>
      <c r="V37" s="156"/>
      <c r="W37" s="156"/>
      <c r="X37" s="156"/>
      <c r="Y37" s="156"/>
      <c r="Z37" s="156"/>
      <c r="AA37" s="156"/>
      <c r="AB37" s="156"/>
      <c r="AC37" s="156"/>
    </row>
    <row r="38" spans="6:32" x14ac:dyDescent="0.35">
      <c r="P38" s="156"/>
      <c r="Q38" s="156"/>
      <c r="R38" s="156"/>
      <c r="S38" s="156"/>
      <c r="T38" s="156"/>
      <c r="U38" s="156"/>
      <c r="V38" s="156"/>
      <c r="W38" s="156"/>
      <c r="X38" s="156"/>
      <c r="Y38" s="156"/>
      <c r="Z38" s="156"/>
      <c r="AA38" s="156"/>
      <c r="AB38" s="156"/>
      <c r="AC38" s="156"/>
    </row>
    <row r="39" spans="6:32" x14ac:dyDescent="0.35">
      <c r="P39" s="156"/>
      <c r="Q39" s="156"/>
      <c r="R39" s="156"/>
      <c r="S39" s="156"/>
      <c r="T39" s="156"/>
      <c r="U39" s="156"/>
      <c r="V39" s="156"/>
      <c r="W39" s="156"/>
      <c r="X39" s="156"/>
      <c r="Y39" s="156"/>
      <c r="Z39" s="156"/>
      <c r="AA39" s="156"/>
      <c r="AB39" s="156"/>
      <c r="AC39" s="15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53125" defaultRowHeight="14.5" x14ac:dyDescent="0.35"/>
  <cols>
    <col min="1" max="1" width="44.1796875" customWidth="1"/>
    <col min="2" max="2" width="58.7265625" customWidth="1"/>
    <col min="3" max="3" width="56.453125" customWidth="1"/>
    <col min="5" max="5" width="42.7265625" customWidth="1"/>
    <col min="6" max="6" width="21.453125" customWidth="1"/>
  </cols>
  <sheetData>
    <row r="1" spans="1:7" ht="47.65" customHeight="1" x14ac:dyDescent="0.35">
      <c r="A1" s="25" t="s">
        <v>33</v>
      </c>
      <c r="B1" s="26" t="s">
        <v>34</v>
      </c>
      <c r="C1" s="26" t="s">
        <v>35</v>
      </c>
      <c r="D1" s="27" t="s">
        <v>36</v>
      </c>
      <c r="E1" s="15"/>
      <c r="F1" s="15"/>
    </row>
    <row r="2" spans="1:7" ht="16.5" customHeight="1" x14ac:dyDescent="0.35">
      <c r="A2" s="1215" t="s">
        <v>37</v>
      </c>
      <c r="B2" s="1216"/>
      <c r="C2" s="1216"/>
      <c r="D2" s="1217"/>
      <c r="E2" s="15"/>
      <c r="F2" s="15"/>
    </row>
    <row r="3" spans="1:7" ht="158.65" customHeight="1" x14ac:dyDescent="0.35">
      <c r="A3" s="18" t="s">
        <v>914</v>
      </c>
      <c r="B3" s="14" t="s">
        <v>915</v>
      </c>
      <c r="C3" s="14" t="s">
        <v>939</v>
      </c>
      <c r="D3" s="22" t="s">
        <v>1020</v>
      </c>
      <c r="E3" s="14"/>
      <c r="F3" s="14"/>
    </row>
    <row r="4" spans="1:7" ht="99.4" customHeight="1" x14ac:dyDescent="0.35">
      <c r="A4" s="18" t="s">
        <v>916</v>
      </c>
      <c r="B4" s="14" t="s">
        <v>38</v>
      </c>
      <c r="C4" s="14" t="s">
        <v>39</v>
      </c>
      <c r="D4" s="22" t="s">
        <v>1020</v>
      </c>
      <c r="E4" s="14"/>
      <c r="F4" s="14"/>
    </row>
    <row r="5" spans="1:7" ht="85.5" customHeight="1" x14ac:dyDescent="0.35">
      <c r="A5" s="18" t="s">
        <v>917</v>
      </c>
      <c r="B5" s="14" t="s">
        <v>40</v>
      </c>
      <c r="C5" s="14" t="s">
        <v>1019</v>
      </c>
      <c r="D5" s="22" t="s">
        <v>1020</v>
      </c>
      <c r="E5" s="14"/>
      <c r="F5" s="14"/>
    </row>
    <row r="6" spans="1:7" ht="61.5" customHeight="1" x14ac:dyDescent="0.35">
      <c r="A6" s="18" t="s">
        <v>918</v>
      </c>
      <c r="B6" s="14" t="s">
        <v>897</v>
      </c>
      <c r="C6" s="14" t="s">
        <v>898</v>
      </c>
      <c r="D6" s="22" t="s">
        <v>1020</v>
      </c>
      <c r="E6" s="14"/>
      <c r="F6" s="14"/>
    </row>
    <row r="7" spans="1:7" ht="100.15" customHeight="1" x14ac:dyDescent="0.35">
      <c r="A7" s="18" t="s">
        <v>42</v>
      </c>
      <c r="B7" s="14" t="s">
        <v>43</v>
      </c>
      <c r="C7" s="28" t="s">
        <v>44</v>
      </c>
      <c r="D7" s="22" t="s">
        <v>1020</v>
      </c>
      <c r="E7" s="16"/>
      <c r="F7" s="14"/>
      <c r="G7" s="29"/>
    </row>
    <row r="8" spans="1:7" ht="78" customHeight="1" x14ac:dyDescent="0.35">
      <c r="A8" s="18" t="s">
        <v>45</v>
      </c>
      <c r="B8" s="14" t="s">
        <v>46</v>
      </c>
      <c r="C8" s="14" t="s">
        <v>945</v>
      </c>
      <c r="D8" s="22" t="s">
        <v>1020</v>
      </c>
      <c r="E8" s="14"/>
      <c r="F8" s="14"/>
    </row>
    <row r="9" spans="1:7" ht="67.5" customHeight="1" x14ac:dyDescent="0.35">
      <c r="A9" s="18" t="s">
        <v>887</v>
      </c>
      <c r="B9" s="14" t="s">
        <v>899</v>
      </c>
      <c r="C9" s="14" t="s">
        <v>959</v>
      </c>
      <c r="D9" s="22" t="s">
        <v>1020</v>
      </c>
      <c r="E9" s="14"/>
      <c r="F9" s="14"/>
    </row>
    <row r="10" spans="1:7" ht="63.4" customHeight="1" x14ac:dyDescent="0.35">
      <c r="A10" s="18" t="s">
        <v>47</v>
      </c>
      <c r="B10" s="14" t="s">
        <v>48</v>
      </c>
      <c r="C10" s="14" t="s">
        <v>919</v>
      </c>
      <c r="D10" s="23" t="s">
        <v>1017</v>
      </c>
      <c r="E10" s="14"/>
      <c r="F10" s="14"/>
    </row>
    <row r="11" spans="1:7" ht="15" customHeight="1" x14ac:dyDescent="0.35">
      <c r="A11" s="1215" t="s">
        <v>920</v>
      </c>
      <c r="B11" s="1216"/>
      <c r="C11" s="1216"/>
      <c r="D11" s="1217"/>
      <c r="E11" s="15"/>
      <c r="F11" s="14"/>
    </row>
    <row r="12" spans="1:7" ht="29.65" customHeight="1" x14ac:dyDescent="0.35">
      <c r="A12" s="19" t="s">
        <v>9</v>
      </c>
      <c r="B12" s="1221" t="s">
        <v>922</v>
      </c>
      <c r="C12" s="1221"/>
      <c r="D12" s="24"/>
      <c r="E12" s="15"/>
      <c r="F12" s="14"/>
    </row>
    <row r="13" spans="1:7" ht="48.4" customHeight="1" x14ac:dyDescent="0.35">
      <c r="A13" s="17" t="s">
        <v>921</v>
      </c>
      <c r="B13" s="1221" t="s">
        <v>932</v>
      </c>
      <c r="C13" s="1221"/>
      <c r="D13" s="22"/>
      <c r="E13" s="15"/>
      <c r="F13" s="14"/>
    </row>
    <row r="14" spans="1:7" ht="48.4" customHeight="1" x14ac:dyDescent="0.35">
      <c r="A14" s="17" t="s">
        <v>923</v>
      </c>
      <c r="B14" s="1221" t="s">
        <v>924</v>
      </c>
      <c r="C14" s="1221"/>
      <c r="D14" s="23"/>
      <c r="E14" s="15"/>
      <c r="F14" s="14"/>
    </row>
    <row r="15" spans="1:7" x14ac:dyDescent="0.35">
      <c r="A15" s="1218" t="s">
        <v>59</v>
      </c>
      <c r="B15" s="1219"/>
      <c r="C15" s="1219"/>
      <c r="D15" s="1220"/>
      <c r="E15" s="14"/>
      <c r="F15" s="14"/>
    </row>
    <row r="16" spans="1:7" ht="36.65" customHeight="1" x14ac:dyDescent="0.35">
      <c r="A16" s="1213" t="s">
        <v>925</v>
      </c>
      <c r="B16" s="1214"/>
      <c r="C16" s="1214"/>
      <c r="D16" s="24"/>
      <c r="E16" s="14"/>
      <c r="F16" s="14"/>
    </row>
    <row r="17" spans="1:6" ht="145.5" customHeight="1" x14ac:dyDescent="0.35">
      <c r="A17" s="18" t="s">
        <v>60</v>
      </c>
      <c r="B17" s="14" t="s">
        <v>946</v>
      </c>
      <c r="C17" s="14" t="s">
        <v>953</v>
      </c>
      <c r="D17" s="22"/>
      <c r="E17" s="14"/>
      <c r="F17" s="14"/>
    </row>
    <row r="18" spans="1:6" ht="63.4" customHeight="1" x14ac:dyDescent="0.35">
      <c r="A18" s="18" t="s">
        <v>61</v>
      </c>
      <c r="B18" s="14" t="s">
        <v>947</v>
      </c>
      <c r="C18" s="14" t="s">
        <v>948</v>
      </c>
      <c r="D18" s="22"/>
      <c r="E18" s="14"/>
      <c r="F18" s="14"/>
    </row>
    <row r="19" spans="1:6" ht="63.4" customHeight="1" x14ac:dyDescent="0.35">
      <c r="A19" s="18" t="s">
        <v>949</v>
      </c>
      <c r="B19" s="14" t="s">
        <v>950</v>
      </c>
      <c r="C19" s="14" t="s">
        <v>951</v>
      </c>
      <c r="D19" s="22"/>
      <c r="E19" s="14"/>
      <c r="F19" s="14"/>
    </row>
    <row r="20" spans="1:6" ht="34.15" customHeight="1" x14ac:dyDescent="0.35">
      <c r="A20" s="1213" t="s">
        <v>894</v>
      </c>
      <c r="B20" s="1214"/>
      <c r="C20" s="1214"/>
      <c r="D20" s="23"/>
      <c r="E20" s="14"/>
      <c r="F20" s="14"/>
    </row>
    <row r="21" spans="1:6" x14ac:dyDescent="0.35">
      <c r="A21" s="1218" t="s">
        <v>62</v>
      </c>
      <c r="B21" s="1219"/>
      <c r="C21" s="1219"/>
      <c r="D21" s="1220"/>
      <c r="E21" s="14"/>
      <c r="F21" s="14"/>
    </row>
    <row r="22" spans="1:6" ht="28.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8.9" customHeight="1" x14ac:dyDescent="0.35">
      <c r="A24" s="18" t="s">
        <v>68</v>
      </c>
      <c r="B24" s="14" t="s">
        <v>69</v>
      </c>
      <c r="C24" s="14" t="s">
        <v>938</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B21" sqref="B21:AD25"/>
    </sheetView>
  </sheetViews>
  <sheetFormatPr defaultColWidth="11.453125" defaultRowHeight="14.5" x14ac:dyDescent="0.35"/>
  <cols>
    <col min="1" max="1" width="6" customWidth="1"/>
    <col min="2" max="2" width="29.453125" customWidth="1"/>
    <col min="3" max="7" width="10.453125" customWidth="1"/>
  </cols>
  <sheetData>
    <row r="1" spans="1:29" x14ac:dyDescent="0.35">
      <c r="B1" s="1243" t="s">
        <v>56</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1:29" ht="14.65" customHeight="1" x14ac:dyDescent="0.35">
      <c r="B2" s="1275" t="s">
        <v>520</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1:29"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1:29"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1:29" x14ac:dyDescent="0.35">
      <c r="B5" s="426"/>
      <c r="C5" s="156"/>
      <c r="D5" s="156"/>
      <c r="E5" s="156"/>
      <c r="F5" s="156"/>
      <c r="G5" s="156"/>
      <c r="H5" s="156"/>
      <c r="I5" s="156"/>
      <c r="J5" s="156"/>
      <c r="K5" s="156"/>
      <c r="L5" s="156"/>
      <c r="M5" s="156"/>
      <c r="N5" s="156"/>
      <c r="O5" s="156"/>
      <c r="P5" s="156"/>
      <c r="Q5" s="156"/>
      <c r="R5" s="156"/>
      <c r="S5" s="156"/>
      <c r="T5" s="156"/>
      <c r="U5" s="156"/>
      <c r="V5" s="156"/>
      <c r="W5" s="156"/>
      <c r="X5" s="156"/>
      <c r="Y5" s="156"/>
    </row>
    <row r="6" spans="1:29" x14ac:dyDescent="0.35">
      <c r="B6" s="1276" t="s">
        <v>465</v>
      </c>
      <c r="C6" s="1256"/>
      <c r="D6" s="1253" t="s">
        <v>325</v>
      </c>
      <c r="E6" s="1254"/>
      <c r="F6" s="1254"/>
      <c r="G6" s="1254"/>
      <c r="H6" s="1254"/>
      <c r="I6" s="1254"/>
      <c r="J6" s="1254"/>
      <c r="K6" s="1254"/>
      <c r="L6" s="1254"/>
      <c r="M6" s="1254"/>
      <c r="N6" s="1254"/>
      <c r="O6" s="1254"/>
      <c r="P6" s="1254"/>
      <c r="Q6" s="1254"/>
      <c r="R6" s="1284"/>
      <c r="S6" s="1285" t="s">
        <v>326</v>
      </c>
      <c r="T6" s="1286"/>
      <c r="U6" s="1286"/>
      <c r="V6" s="1286"/>
      <c r="W6" s="1286"/>
      <c r="X6" s="1286"/>
      <c r="Y6" s="1286"/>
      <c r="Z6" s="1286"/>
      <c r="AA6" s="1286"/>
      <c r="AB6" s="1286"/>
      <c r="AC6" s="1287"/>
    </row>
    <row r="7" spans="1:29" x14ac:dyDescent="0.35">
      <c r="B7" s="1277"/>
      <c r="C7" s="1278"/>
      <c r="D7" s="147">
        <v>2018</v>
      </c>
      <c r="E7" s="1244">
        <v>2019</v>
      </c>
      <c r="F7" s="1245"/>
      <c r="G7" s="1245"/>
      <c r="H7" s="1252"/>
      <c r="I7" s="1244">
        <v>2020</v>
      </c>
      <c r="J7" s="1245"/>
      <c r="K7" s="1245"/>
      <c r="L7" s="1245"/>
      <c r="M7" s="1244">
        <v>2021</v>
      </c>
      <c r="N7" s="1245"/>
      <c r="O7" s="1245"/>
      <c r="P7" s="1252"/>
      <c r="Q7" s="1282">
        <v>2022</v>
      </c>
      <c r="R7" s="1283"/>
      <c r="S7" s="317"/>
      <c r="T7" s="318"/>
      <c r="U7" s="1279">
        <v>2023</v>
      </c>
      <c r="V7" s="1280"/>
      <c r="W7" s="1280"/>
      <c r="X7" s="1280"/>
      <c r="Y7" s="1279">
        <v>2024</v>
      </c>
      <c r="Z7" s="1280"/>
      <c r="AA7" s="1280"/>
      <c r="AB7" s="1281"/>
      <c r="AC7" s="285">
        <v>2025</v>
      </c>
    </row>
    <row r="8" spans="1:29" x14ac:dyDescent="0.35">
      <c r="B8" s="1289"/>
      <c r="C8" s="1290"/>
      <c r="D8" s="154" t="s">
        <v>327</v>
      </c>
      <c r="E8" s="154" t="s">
        <v>328</v>
      </c>
      <c r="F8" s="153" t="s">
        <v>329</v>
      </c>
      <c r="G8" s="153" t="s">
        <v>238</v>
      </c>
      <c r="H8" s="224" t="s">
        <v>327</v>
      </c>
      <c r="I8" s="153" t="s">
        <v>328</v>
      </c>
      <c r="J8" s="153" t="s">
        <v>329</v>
      </c>
      <c r="K8" s="153" t="s">
        <v>238</v>
      </c>
      <c r="L8" s="153" t="s">
        <v>327</v>
      </c>
      <c r="M8" s="154" t="s">
        <v>328</v>
      </c>
      <c r="N8" s="153" t="s">
        <v>329</v>
      </c>
      <c r="O8" s="153" t="s">
        <v>238</v>
      </c>
      <c r="P8" s="224" t="s">
        <v>327</v>
      </c>
      <c r="Q8" s="154" t="s">
        <v>328</v>
      </c>
      <c r="R8" s="224" t="s">
        <v>329</v>
      </c>
      <c r="S8" s="429" t="s">
        <v>238</v>
      </c>
      <c r="T8" s="443" t="s">
        <v>327</v>
      </c>
      <c r="U8" s="428" t="s">
        <v>328</v>
      </c>
      <c r="V8" s="429" t="s">
        <v>329</v>
      </c>
      <c r="W8" s="429" t="s">
        <v>238</v>
      </c>
      <c r="X8" s="429" t="s">
        <v>327</v>
      </c>
      <c r="Y8" s="428" t="s">
        <v>328</v>
      </c>
      <c r="Z8" s="295" t="s">
        <v>329</v>
      </c>
      <c r="AA8" s="429" t="s">
        <v>238</v>
      </c>
      <c r="AB8" s="443" t="s">
        <v>327</v>
      </c>
      <c r="AC8" s="458" t="s">
        <v>328</v>
      </c>
    </row>
    <row r="9" spans="1:29" x14ac:dyDescent="0.35">
      <c r="B9" s="635" t="s">
        <v>56</v>
      </c>
      <c r="C9" s="537" t="s">
        <v>521</v>
      </c>
      <c r="D9" s="635"/>
      <c r="E9" s="537"/>
      <c r="F9" s="537"/>
      <c r="G9" s="537"/>
      <c r="H9" s="537"/>
      <c r="I9" s="537"/>
      <c r="J9" s="311">
        <f>'Haver Pivoted'!GU45</f>
        <v>1078.0999999999999</v>
      </c>
      <c r="K9" s="311">
        <f>'Haver Pivoted'!GV45</f>
        <v>15.6</v>
      </c>
      <c r="L9" s="311">
        <f>'Haver Pivoted'!GW45</f>
        <v>5</v>
      </c>
      <c r="M9" s="311">
        <f>'Haver Pivoted'!GX45</f>
        <v>1933.7</v>
      </c>
      <c r="N9" s="311">
        <f>'Haver Pivoted'!GY45</f>
        <v>290.10000000000002</v>
      </c>
      <c r="O9" s="311">
        <f>'Haver Pivoted'!GZ45</f>
        <v>38.9</v>
      </c>
      <c r="P9" s="311">
        <f>'Haver Pivoted'!HA45</f>
        <v>14.2</v>
      </c>
      <c r="Q9" s="311">
        <f>'Haver Pivoted'!HB45</f>
        <v>0</v>
      </c>
      <c r="R9" s="311">
        <f>'Haver Pivoted'!HC45</f>
        <v>0</v>
      </c>
      <c r="S9" s="275"/>
      <c r="T9" s="275"/>
      <c r="U9" s="275"/>
      <c r="V9" s="275"/>
      <c r="W9" s="275"/>
      <c r="X9" s="275"/>
      <c r="Y9" s="275"/>
      <c r="Z9" s="275"/>
      <c r="AA9" s="275"/>
      <c r="AB9" s="275"/>
      <c r="AC9" s="276"/>
    </row>
    <row r="10" spans="1:29" x14ac:dyDescent="0.35">
      <c r="B10" s="636" t="s">
        <v>214</v>
      </c>
      <c r="C10" s="284"/>
      <c r="D10" s="636"/>
      <c r="E10" s="284"/>
      <c r="F10" s="284"/>
      <c r="G10" s="284"/>
      <c r="H10" s="284"/>
      <c r="I10" s="284"/>
      <c r="J10" s="730"/>
      <c r="K10" s="730"/>
      <c r="L10" s="730"/>
      <c r="M10" s="730">
        <f t="shared" ref="M10:R10" si="0">M9-M11</f>
        <v>1348.1</v>
      </c>
      <c r="N10" s="730">
        <f t="shared" si="0"/>
        <v>290.10000000000002</v>
      </c>
      <c r="O10" s="730">
        <f t="shared" si="0"/>
        <v>38.9</v>
      </c>
      <c r="P10" s="730">
        <f t="shared" si="0"/>
        <v>14.2</v>
      </c>
      <c r="Q10" s="730">
        <f t="shared" si="0"/>
        <v>0</v>
      </c>
      <c r="R10" s="730">
        <f t="shared" si="0"/>
        <v>0</v>
      </c>
      <c r="S10" s="727"/>
      <c r="T10" s="727"/>
      <c r="U10" s="727"/>
      <c r="V10" s="727"/>
      <c r="W10" s="727"/>
      <c r="X10" s="727"/>
      <c r="Y10" s="727"/>
      <c r="Z10" s="727"/>
      <c r="AA10" s="727"/>
      <c r="AB10" s="727"/>
      <c r="AC10" s="729"/>
    </row>
    <row r="11" spans="1:29" x14ac:dyDescent="0.35">
      <c r="B11" s="610" t="s">
        <v>522</v>
      </c>
      <c r="C11" s="613"/>
      <c r="D11" s="610"/>
      <c r="E11" s="613"/>
      <c r="F11" s="613"/>
      <c r="G11" s="613"/>
      <c r="H11" s="613"/>
      <c r="I11" s="613"/>
      <c r="J11" s="728">
        <f t="shared" ref="J11:L11" si="1">J9-J10</f>
        <v>1078.0999999999999</v>
      </c>
      <c r="K11" s="728">
        <f t="shared" si="1"/>
        <v>15.6</v>
      </c>
      <c r="L11" s="728">
        <f t="shared" si="1"/>
        <v>5</v>
      </c>
      <c r="M11" s="728">
        <f>SUM(C17:D17)/12*4</f>
        <v>585.6</v>
      </c>
      <c r="N11" s="728">
        <v>0</v>
      </c>
      <c r="O11" s="728">
        <v>0</v>
      </c>
      <c r="P11" s="728">
        <v>0</v>
      </c>
      <c r="Q11" s="728">
        <v>0</v>
      </c>
      <c r="R11" s="728">
        <v>0</v>
      </c>
      <c r="S11" s="727"/>
      <c r="T11" s="727"/>
      <c r="U11" s="727"/>
      <c r="V11" s="727"/>
      <c r="W11" s="727"/>
      <c r="X11" s="727"/>
      <c r="Y11" s="727"/>
      <c r="Z11" s="727"/>
      <c r="AA11" s="727"/>
      <c r="AB11" s="727"/>
      <c r="AC11" s="729"/>
    </row>
    <row r="12" spans="1:29" x14ac:dyDescent="0.35">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36"/>
      <c r="AA12" s="36"/>
      <c r="AB12" s="36"/>
      <c r="AC12" s="36"/>
    </row>
    <row r="13" spans="1:29" x14ac:dyDescent="0.35">
      <c r="A13" s="77"/>
      <c r="B13" s="77"/>
      <c r="C13" s="77"/>
      <c r="D13" s="77"/>
      <c r="E13" s="77"/>
      <c r="F13" s="77"/>
      <c r="G13" s="77"/>
      <c r="H13" s="77"/>
      <c r="I13" s="77"/>
      <c r="J13" s="77"/>
      <c r="K13" s="77"/>
      <c r="L13" s="114"/>
      <c r="M13" s="114"/>
      <c r="N13" s="114"/>
    </row>
    <row r="14" spans="1:29" x14ac:dyDescent="0.35">
      <c r="A14" s="77"/>
      <c r="N14" s="36"/>
    </row>
    <row r="15" spans="1:29" x14ac:dyDescent="0.35">
      <c r="A15" s="85"/>
      <c r="B15" s="1342" t="s">
        <v>523</v>
      </c>
      <c r="C15" s="1262">
        <v>2021</v>
      </c>
      <c r="D15" s="1263"/>
      <c r="E15" s="1263"/>
      <c r="F15" s="1263"/>
      <c r="G15" s="48"/>
      <c r="K15" s="1344"/>
      <c r="L15" s="1344"/>
      <c r="M15" s="36"/>
      <c r="N15" s="36"/>
    </row>
    <row r="16" spans="1:29" x14ac:dyDescent="0.35">
      <c r="B16" s="1343"/>
      <c r="C16" s="723" t="s">
        <v>234</v>
      </c>
      <c r="D16" s="724" t="s">
        <v>235</v>
      </c>
      <c r="E16" s="724" t="s">
        <v>236</v>
      </c>
      <c r="F16" s="724" t="s">
        <v>237</v>
      </c>
      <c r="G16" s="250"/>
      <c r="H16" s="85"/>
      <c r="I16" s="85"/>
      <c r="J16" s="85"/>
      <c r="K16" s="85"/>
      <c r="L16" s="85"/>
      <c r="M16" s="85"/>
      <c r="N16" s="85"/>
    </row>
    <row r="17" spans="2:29" ht="16.149999999999999" customHeight="1" x14ac:dyDescent="0.35">
      <c r="B17" s="722" t="s">
        <v>524</v>
      </c>
      <c r="C17" s="725">
        <v>1660.9</v>
      </c>
      <c r="D17" s="725">
        <v>95.9</v>
      </c>
      <c r="E17" s="725">
        <v>4044.2</v>
      </c>
      <c r="F17" s="726">
        <v>688</v>
      </c>
      <c r="G17" s="721"/>
      <c r="H17" s="721"/>
      <c r="I17" s="721"/>
      <c r="J17" s="721"/>
      <c r="K17" s="721"/>
      <c r="L17" s="721"/>
      <c r="M17" s="156"/>
      <c r="N17" s="156"/>
    </row>
    <row r="18" spans="2:29" x14ac:dyDescent="0.35">
      <c r="B18" s="163" t="s">
        <v>525</v>
      </c>
      <c r="C18" s="156"/>
      <c r="D18" s="156"/>
      <c r="E18" s="156"/>
      <c r="F18" s="156"/>
      <c r="G18" s="156"/>
      <c r="H18" s="156"/>
      <c r="I18" s="156"/>
      <c r="J18" s="156"/>
      <c r="K18" s="156"/>
      <c r="L18" s="156"/>
      <c r="M18" s="156"/>
      <c r="N18" s="156"/>
    </row>
    <row r="19" spans="2:29" x14ac:dyDescent="0.35">
      <c r="B19" s="156"/>
      <c r="C19" s="156"/>
      <c r="D19" s="156"/>
      <c r="E19" s="156"/>
      <c r="F19" s="156"/>
      <c r="G19" s="156"/>
      <c r="H19" s="156"/>
      <c r="I19" s="156"/>
      <c r="J19" s="156"/>
      <c r="K19" s="156"/>
      <c r="L19" s="156"/>
      <c r="M19" s="156"/>
      <c r="N19" s="156"/>
    </row>
    <row r="20" spans="2:29" x14ac:dyDescent="0.35">
      <c r="B20" s="163"/>
      <c r="C20" s="156"/>
      <c r="D20" s="156"/>
      <c r="E20" s="156"/>
      <c r="F20" s="156"/>
      <c r="G20" s="156"/>
      <c r="H20" s="156"/>
      <c r="I20" s="156"/>
      <c r="J20" s="156"/>
      <c r="K20" s="156"/>
      <c r="L20" s="156"/>
      <c r="M20" s="156"/>
      <c r="N20" s="156"/>
    </row>
    <row r="21" spans="2:29" x14ac:dyDescent="0.35">
      <c r="B21" s="635" t="s">
        <v>56</v>
      </c>
      <c r="C21" s="537" t="s">
        <v>521</v>
      </c>
      <c r="D21" s="635"/>
      <c r="E21" s="537"/>
      <c r="F21" s="537"/>
      <c r="G21" s="537"/>
      <c r="H21" s="537"/>
      <c r="I21" s="537"/>
      <c r="J21" s="311">
        <v>1078.0999999999999</v>
      </c>
      <c r="K21" s="311">
        <v>15.6</v>
      </c>
      <c r="L21" s="311">
        <v>5</v>
      </c>
      <c r="M21" s="311">
        <v>1933.7</v>
      </c>
      <c r="N21" s="311">
        <v>290.10000000000002</v>
      </c>
      <c r="O21" s="311">
        <v>38.9</v>
      </c>
      <c r="P21" s="311">
        <v>14.2</v>
      </c>
      <c r="Q21" s="311">
        <v>0</v>
      </c>
      <c r="R21" s="311">
        <v>0</v>
      </c>
      <c r="S21" s="1169"/>
      <c r="T21" s="1169"/>
      <c r="U21" s="1169"/>
      <c r="V21" s="1169"/>
      <c r="W21" s="1169"/>
      <c r="X21" s="1169"/>
      <c r="Y21" s="1169"/>
      <c r="Z21" s="1169"/>
      <c r="AA21" s="1169"/>
      <c r="AB21" s="1169"/>
      <c r="AC21" s="1170"/>
    </row>
    <row r="22" spans="2:29" x14ac:dyDescent="0.35">
      <c r="B22" s="636" t="s">
        <v>214</v>
      </c>
      <c r="C22" s="284"/>
      <c r="D22" s="636"/>
      <c r="E22" s="284"/>
      <c r="F22" s="284"/>
      <c r="G22" s="284"/>
      <c r="H22" s="284"/>
      <c r="I22" s="284"/>
      <c r="J22" s="730"/>
      <c r="K22" s="730"/>
      <c r="L22" s="730"/>
      <c r="M22" s="730">
        <v>1348.1</v>
      </c>
      <c r="N22" s="730">
        <v>290.10000000000002</v>
      </c>
      <c r="O22" s="730">
        <v>38.9</v>
      </c>
      <c r="P22" s="730">
        <v>14.2</v>
      </c>
      <c r="Q22" s="730">
        <v>0</v>
      </c>
      <c r="R22" s="730">
        <v>0</v>
      </c>
      <c r="S22" s="727"/>
      <c r="T22" s="727"/>
      <c r="U22" s="727"/>
      <c r="V22" s="727"/>
      <c r="W22" s="727"/>
      <c r="X22" s="727"/>
      <c r="Y22" s="727"/>
      <c r="Z22" s="727"/>
      <c r="AA22" s="727"/>
      <c r="AB22" s="727"/>
      <c r="AC22" s="729"/>
    </row>
    <row r="23" spans="2:29" x14ac:dyDescent="0.35">
      <c r="B23" s="610" t="s">
        <v>522</v>
      </c>
      <c r="C23" s="613"/>
      <c r="D23" s="610"/>
      <c r="E23" s="613"/>
      <c r="F23" s="613"/>
      <c r="G23" s="613"/>
      <c r="H23" s="613"/>
      <c r="I23" s="613"/>
      <c r="J23" s="728">
        <v>1078.0999999999999</v>
      </c>
      <c r="K23" s="728">
        <v>15.6</v>
      </c>
      <c r="L23" s="728">
        <v>5</v>
      </c>
      <c r="M23" s="728">
        <v>585.6</v>
      </c>
      <c r="N23" s="728">
        <v>0</v>
      </c>
      <c r="O23" s="728">
        <v>0</v>
      </c>
      <c r="P23" s="728">
        <v>0</v>
      </c>
      <c r="Q23" s="728">
        <v>0</v>
      </c>
      <c r="R23" s="728">
        <v>0</v>
      </c>
      <c r="S23" s="727"/>
      <c r="T23" s="727"/>
      <c r="U23" s="727"/>
      <c r="V23" s="727"/>
      <c r="W23" s="727"/>
      <c r="X23" s="727"/>
      <c r="Y23" s="727"/>
      <c r="Z23" s="727"/>
      <c r="AA23" s="727"/>
      <c r="AB23" s="727"/>
      <c r="AC23" s="729"/>
    </row>
    <row r="24" spans="2:29" x14ac:dyDescent="0.35">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36"/>
      <c r="AA24" s="36"/>
      <c r="AB24" s="36"/>
      <c r="AC24" s="36"/>
    </row>
    <row r="25" spans="2:29" x14ac:dyDescent="0.35">
      <c r="B25" s="77"/>
      <c r="C25" s="77"/>
      <c r="D25" s="77"/>
      <c r="E25" s="77"/>
      <c r="F25" s="77"/>
      <c r="G25" s="77"/>
      <c r="H25" s="77"/>
      <c r="I25" s="77"/>
      <c r="J25" s="77"/>
      <c r="K25" s="77"/>
      <c r="L25" s="1168"/>
      <c r="M25" s="1168"/>
      <c r="N25" s="1168"/>
    </row>
    <row r="26" spans="2:29" x14ac:dyDescent="0.35">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row>
    <row r="27" spans="2:29" x14ac:dyDescent="0.35">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row>
    <row r="28" spans="2:29" x14ac:dyDescent="0.35">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row>
    <row r="29" spans="2:29" x14ac:dyDescent="0.35">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row>
    <row r="30" spans="2:29" x14ac:dyDescent="0.35">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row>
    <row r="31" spans="2:29" x14ac:dyDescent="0.35">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row>
    <row r="32" spans="2:29" x14ac:dyDescent="0.35">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row>
    <row r="33" spans="2:25" x14ac:dyDescent="0.35">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row>
    <row r="34" spans="2:25" x14ac:dyDescent="0.35">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row>
    <row r="35" spans="2:25" x14ac:dyDescent="0.35">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row>
    <row r="36" spans="2:25" x14ac:dyDescent="0.35">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row>
    <row r="37" spans="2:25" x14ac:dyDescent="0.35">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row>
    <row r="38" spans="2:25" x14ac:dyDescent="0.35">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row>
    <row r="39" spans="2:25" x14ac:dyDescent="0.35">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row>
    <row r="40" spans="2:25" x14ac:dyDescent="0.35">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row>
    <row r="41" spans="2:25" x14ac:dyDescent="0.35">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row>
    <row r="42" spans="2:25" x14ac:dyDescent="0.35">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row>
    <row r="43" spans="2:25" x14ac:dyDescent="0.35">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row>
    <row r="44" spans="2:25" x14ac:dyDescent="0.35">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row>
    <row r="45" spans="2:25" x14ac:dyDescent="0.35">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row>
    <row r="46" spans="2:25" x14ac:dyDescent="0.35">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row>
    <row r="47" spans="2:25" x14ac:dyDescent="0.35">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row>
    <row r="48" spans="2:25" x14ac:dyDescent="0.35">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row>
    <row r="49" spans="2:25" x14ac:dyDescent="0.35">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row>
    <row r="50" spans="2:25" x14ac:dyDescent="0.35">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row>
    <row r="51" spans="2:25" x14ac:dyDescent="0.35">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row>
    <row r="52" spans="2:25" x14ac:dyDescent="0.35">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row>
    <row r="53" spans="2:25" x14ac:dyDescent="0.35">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row>
    <row r="54" spans="2:25" x14ac:dyDescent="0.35">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row>
    <row r="55" spans="2:25" x14ac:dyDescent="0.35">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row>
  </sheetData>
  <mergeCells count="14">
    <mergeCell ref="B15:B16"/>
    <mergeCell ref="K15:L15"/>
    <mergeCell ref="C15:F15"/>
    <mergeCell ref="Y7:AB7"/>
    <mergeCell ref="M7:P7"/>
    <mergeCell ref="Q7:R7"/>
    <mergeCell ref="B1:AC1"/>
    <mergeCell ref="B2:AC4"/>
    <mergeCell ref="B6:C8"/>
    <mergeCell ref="I7:L7"/>
    <mergeCell ref="U7:X7"/>
    <mergeCell ref="E7:H7"/>
    <mergeCell ref="D6:R6"/>
    <mergeCell ref="S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topLeftCell="O1" workbookViewId="0">
      <selection activeCell="Y11" sqref="Y11"/>
    </sheetView>
  </sheetViews>
  <sheetFormatPr defaultColWidth="11.453125" defaultRowHeight="14.5" x14ac:dyDescent="0.35"/>
  <sheetData>
    <row r="1" spans="2:32" x14ac:dyDescent="0.35">
      <c r="B1" s="1243" t="s">
        <v>1499</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2" x14ac:dyDescent="0.35">
      <c r="B2" s="1275" t="s">
        <v>1503</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2:32"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2:32"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2:32" x14ac:dyDescent="0.35">
      <c r="B5" s="426"/>
      <c r="C5" s="156"/>
      <c r="D5" s="156"/>
      <c r="E5" s="156"/>
      <c r="F5" s="156"/>
      <c r="G5" s="156"/>
      <c r="H5" s="156"/>
      <c r="I5" s="156"/>
      <c r="J5" s="156"/>
      <c r="K5" s="156"/>
      <c r="L5" s="156"/>
      <c r="M5" s="156"/>
      <c r="N5" s="156"/>
      <c r="O5" s="156"/>
      <c r="P5" s="156"/>
      <c r="Q5" s="156"/>
      <c r="R5" s="156"/>
      <c r="S5" s="156"/>
      <c r="T5" s="156"/>
      <c r="U5" s="156"/>
      <c r="V5" s="156"/>
      <c r="W5" s="156"/>
      <c r="X5" s="156"/>
      <c r="Y5" s="156"/>
    </row>
    <row r="6" spans="2:32" x14ac:dyDescent="0.35">
      <c r="B6" s="1276" t="s">
        <v>1500</v>
      </c>
      <c r="C6" s="1256"/>
      <c r="D6" s="1253" t="s">
        <v>325</v>
      </c>
      <c r="E6" s="1254"/>
      <c r="F6" s="1254"/>
      <c r="G6" s="1254"/>
      <c r="H6" s="1254"/>
      <c r="I6" s="1254"/>
      <c r="J6" s="1254"/>
      <c r="K6" s="1254"/>
      <c r="L6" s="1254"/>
      <c r="M6" s="1254"/>
      <c r="N6" s="1254"/>
      <c r="O6" s="1254"/>
      <c r="P6" s="1254"/>
      <c r="Q6" s="1254"/>
      <c r="R6" s="1284"/>
      <c r="S6" s="1345" t="s">
        <v>326</v>
      </c>
      <c r="T6" s="1346"/>
      <c r="U6" s="1346"/>
      <c r="V6" s="1346"/>
      <c r="W6" s="1346"/>
      <c r="X6" s="1346"/>
      <c r="Y6" s="1346"/>
      <c r="Z6" s="1346"/>
      <c r="AA6" s="1346"/>
      <c r="AB6" s="1346"/>
      <c r="AC6" s="1346"/>
      <c r="AD6" s="1346"/>
      <c r="AE6" s="1346"/>
      <c r="AF6" s="1347"/>
    </row>
    <row r="7" spans="2:32" x14ac:dyDescent="0.35">
      <c r="B7" s="1277"/>
      <c r="C7" s="1278"/>
      <c r="D7" s="147">
        <v>2018</v>
      </c>
      <c r="E7" s="1244">
        <v>2019</v>
      </c>
      <c r="F7" s="1245"/>
      <c r="G7" s="1245"/>
      <c r="H7" s="1252"/>
      <c r="I7" s="1244">
        <v>2020</v>
      </c>
      <c r="J7" s="1245"/>
      <c r="K7" s="1245"/>
      <c r="L7" s="1245"/>
      <c r="M7" s="1244">
        <v>2021</v>
      </c>
      <c r="N7" s="1245"/>
      <c r="O7" s="1245"/>
      <c r="P7" s="1252"/>
      <c r="Q7" s="1282">
        <v>2022</v>
      </c>
      <c r="R7" s="1283"/>
      <c r="S7" s="317"/>
      <c r="T7" s="318"/>
      <c r="U7" s="1279">
        <v>2023</v>
      </c>
      <c r="V7" s="1280"/>
      <c r="W7" s="1280"/>
      <c r="X7" s="1280"/>
      <c r="Y7" s="1279">
        <v>2024</v>
      </c>
      <c r="Z7" s="1280"/>
      <c r="AA7" s="1280"/>
      <c r="AB7" s="1281"/>
      <c r="AC7" s="1279">
        <v>2025</v>
      </c>
      <c r="AD7" s="1280"/>
      <c r="AE7" s="1280"/>
      <c r="AF7" s="1281"/>
    </row>
    <row r="8" spans="2:32" x14ac:dyDescent="0.35">
      <c r="B8" s="1289"/>
      <c r="C8" s="1290"/>
      <c r="D8" s="154" t="s">
        <v>327</v>
      </c>
      <c r="E8" s="154" t="s">
        <v>328</v>
      </c>
      <c r="F8" s="153" t="s">
        <v>329</v>
      </c>
      <c r="G8" s="153" t="s">
        <v>238</v>
      </c>
      <c r="H8" s="224" t="s">
        <v>327</v>
      </c>
      <c r="I8" s="153" t="s">
        <v>328</v>
      </c>
      <c r="J8" s="153" t="s">
        <v>329</v>
      </c>
      <c r="K8" s="153" t="s">
        <v>238</v>
      </c>
      <c r="L8" s="153" t="s">
        <v>327</v>
      </c>
      <c r="M8" s="154" t="s">
        <v>328</v>
      </c>
      <c r="N8" s="153" t="s">
        <v>329</v>
      </c>
      <c r="O8" s="153" t="s">
        <v>238</v>
      </c>
      <c r="P8" s="224" t="s">
        <v>327</v>
      </c>
      <c r="Q8" s="175" t="s">
        <v>328</v>
      </c>
      <c r="R8" s="157" t="s">
        <v>329</v>
      </c>
      <c r="S8" s="303" t="s">
        <v>238</v>
      </c>
      <c r="T8" s="304" t="s">
        <v>327</v>
      </c>
      <c r="U8" s="302" t="s">
        <v>328</v>
      </c>
      <c r="V8" s="303" t="s">
        <v>329</v>
      </c>
      <c r="W8" s="303" t="s">
        <v>238</v>
      </c>
      <c r="X8" s="303" t="s">
        <v>327</v>
      </c>
      <c r="Y8" s="302" t="s">
        <v>328</v>
      </c>
      <c r="Z8" s="298" t="s">
        <v>329</v>
      </c>
      <c r="AA8" s="303" t="s">
        <v>238</v>
      </c>
      <c r="AB8" s="304" t="s">
        <v>327</v>
      </c>
      <c r="AC8" s="306" t="s">
        <v>328</v>
      </c>
      <c r="AD8" s="303" t="s">
        <v>329</v>
      </c>
      <c r="AE8" s="303" t="s">
        <v>238</v>
      </c>
      <c r="AF8" s="304" t="s">
        <v>327</v>
      </c>
    </row>
    <row r="9" spans="2:32" x14ac:dyDescent="0.35">
      <c r="B9" s="530" t="s">
        <v>1502</v>
      </c>
      <c r="C9" s="731"/>
      <c r="D9" s="732"/>
      <c r="E9" s="731"/>
      <c r="F9" s="731"/>
      <c r="G9" s="731"/>
      <c r="H9" s="731"/>
      <c r="I9" s="731"/>
      <c r="J9" s="733"/>
      <c r="K9" s="733"/>
      <c r="L9" s="733"/>
      <c r="M9" s="733"/>
      <c r="N9" s="733"/>
      <c r="O9" s="733"/>
      <c r="P9" s="733"/>
      <c r="Q9" s="734"/>
      <c r="R9" s="735">
        <v>0</v>
      </c>
      <c r="S9" s="735">
        <v>0</v>
      </c>
      <c r="T9" s="735">
        <v>0</v>
      </c>
      <c r="U9" s="735">
        <v>-7.7999999999999999E-4</v>
      </c>
      <c r="V9" s="735">
        <v>-7.7999999999999999E-4</v>
      </c>
      <c r="W9" s="735">
        <v>-7.7999999999999999E-4</v>
      </c>
      <c r="X9" s="735">
        <v>-7.7999999999999999E-4</v>
      </c>
      <c r="Y9" s="735">
        <v>-9.5E-4</v>
      </c>
      <c r="Z9" s="735">
        <v>-9.5E-4</v>
      </c>
      <c r="AA9" s="735">
        <v>-9.5E-4</v>
      </c>
      <c r="AB9" s="735">
        <v>-9.5E-4</v>
      </c>
      <c r="AC9" s="735">
        <v>-9.3999999999999997E-4</v>
      </c>
      <c r="AD9" s="735">
        <v>-9.3999999999999997E-4</v>
      </c>
      <c r="AE9" s="735">
        <v>-9.3999999999999997E-4</v>
      </c>
      <c r="AF9" s="736">
        <v>-9.3999999999999997E-4</v>
      </c>
    </row>
    <row r="10" spans="2:32" x14ac:dyDescent="0.35">
      <c r="B10" s="72" t="s">
        <v>1501</v>
      </c>
      <c r="C10" s="284"/>
      <c r="D10" s="636"/>
      <c r="E10" s="284"/>
      <c r="F10" s="284"/>
      <c r="G10" s="284"/>
      <c r="H10" s="284"/>
      <c r="I10" s="284"/>
      <c r="J10" s="730"/>
      <c r="K10" s="730"/>
      <c r="L10" s="730"/>
      <c r="M10" s="730"/>
      <c r="N10" s="730"/>
      <c r="O10" s="730"/>
      <c r="P10" s="730"/>
      <c r="Q10" s="730"/>
      <c r="R10" s="73"/>
      <c r="S10" s="73"/>
      <c r="T10" s="73"/>
      <c r="U10" s="73">
        <v>26095</v>
      </c>
      <c r="V10" s="73">
        <v>26404</v>
      </c>
      <c r="W10" s="73">
        <v>26686</v>
      </c>
      <c r="X10" s="73">
        <v>26931</v>
      </c>
      <c r="Y10" s="73">
        <v>27174</v>
      </c>
      <c r="Z10" s="73">
        <v>27411</v>
      </c>
      <c r="AA10" s="73">
        <v>27647</v>
      </c>
      <c r="AB10" s="73">
        <v>27893</v>
      </c>
      <c r="AC10" s="73">
        <v>28143</v>
      </c>
      <c r="AD10" s="73">
        <v>28400</v>
      </c>
      <c r="AE10" s="73">
        <v>28649</v>
      </c>
      <c r="AF10" s="737">
        <v>28910</v>
      </c>
    </row>
    <row r="11" spans="2:32" x14ac:dyDescent="0.35">
      <c r="B11" s="72" t="s">
        <v>360</v>
      </c>
      <c r="C11" s="613"/>
      <c r="D11" s="610"/>
      <c r="E11" s="613"/>
      <c r="F11" s="613"/>
      <c r="G11" s="613"/>
      <c r="H11" s="613"/>
      <c r="I11" s="613"/>
      <c r="J11" s="728"/>
      <c r="K11" s="728"/>
      <c r="L11" s="728"/>
      <c r="M11" s="728"/>
      <c r="N11" s="728"/>
      <c r="O11" s="728"/>
      <c r="P11" s="728"/>
      <c r="Q11" s="728"/>
      <c r="R11" s="738">
        <f>R9*R10</f>
        <v>0</v>
      </c>
      <c r="S11" s="738">
        <f t="shared" ref="S11:T11" si="0">S9*S10</f>
        <v>0</v>
      </c>
      <c r="T11" s="738">
        <f t="shared" si="0"/>
        <v>0</v>
      </c>
      <c r="U11" s="739">
        <f>U9*U10*-1</f>
        <v>20.354099999999999</v>
      </c>
      <c r="V11" s="739">
        <f t="shared" ref="V11:AF11" si="1">V9*V10*-1</f>
        <v>20.595119999999998</v>
      </c>
      <c r="W11" s="739">
        <f t="shared" si="1"/>
        <v>20.815079999999998</v>
      </c>
      <c r="X11" s="739">
        <f t="shared" si="1"/>
        <v>21.006180000000001</v>
      </c>
      <c r="Y11" s="739">
        <f t="shared" si="1"/>
        <v>25.815300000000001</v>
      </c>
      <c r="Z11" s="739">
        <f t="shared" si="1"/>
        <v>26.04045</v>
      </c>
      <c r="AA11" s="739">
        <f t="shared" si="1"/>
        <v>26.26465</v>
      </c>
      <c r="AB11" s="739">
        <f t="shared" si="1"/>
        <v>26.498349999999999</v>
      </c>
      <c r="AC11" s="739">
        <f t="shared" si="1"/>
        <v>26.454419999999999</v>
      </c>
      <c r="AD11" s="739">
        <f t="shared" si="1"/>
        <v>26.695999999999998</v>
      </c>
      <c r="AE11" s="739">
        <f t="shared" si="1"/>
        <v>26.930059999999997</v>
      </c>
      <c r="AF11" s="739">
        <f t="shared" si="1"/>
        <v>27.1754</v>
      </c>
    </row>
    <row r="12" spans="2:32" x14ac:dyDescent="0.35">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36"/>
      <c r="AA12" s="36"/>
      <c r="AB12" s="36"/>
      <c r="AC12" s="36"/>
    </row>
  </sheetData>
  <mergeCells count="12">
    <mergeCell ref="Y7:AB7"/>
    <mergeCell ref="AC7:AF7"/>
    <mergeCell ref="S6:AF6"/>
    <mergeCell ref="B1:AC1"/>
    <mergeCell ref="B2:AC4"/>
    <mergeCell ref="B6:C8"/>
    <mergeCell ref="D6:R6"/>
    <mergeCell ref="E7:H7"/>
    <mergeCell ref="I7:L7"/>
    <mergeCell ref="M7:P7"/>
    <mergeCell ref="Q7:R7"/>
    <mergeCell ref="U7:X7"/>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90"/>
  <sheetViews>
    <sheetView topLeftCell="C7" zoomScale="70" zoomScaleNormal="70" workbookViewId="0">
      <selection activeCell="R23" sqref="R23"/>
    </sheetView>
  </sheetViews>
  <sheetFormatPr defaultColWidth="11.453125" defaultRowHeight="14.5" x14ac:dyDescent="0.35"/>
  <cols>
    <col min="2" max="2" width="37.1796875" customWidth="1"/>
    <col min="6" max="6" width="12.1796875" customWidth="1"/>
    <col min="7" max="7" width="10.453125" customWidth="1"/>
    <col min="9" max="9" width="12" bestFit="1" customWidth="1"/>
  </cols>
  <sheetData>
    <row r="1" spans="2:29" ht="18" customHeight="1" x14ac:dyDescent="0.35">
      <c r="B1" s="1348" t="s">
        <v>526</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29" ht="34.5" customHeight="1" x14ac:dyDescent="0.35">
      <c r="B2" s="1275" t="s">
        <v>937</v>
      </c>
      <c r="C2" s="1242"/>
      <c r="D2" s="1242"/>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2:29" ht="3" customHeight="1" x14ac:dyDescent="0.35">
      <c r="B3" s="1242"/>
      <c r="C3" s="1242"/>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2:29" ht="10.15" customHeight="1" x14ac:dyDescent="0.35">
      <c r="B4" s="1242"/>
      <c r="C4" s="1242"/>
      <c r="D4" s="1242"/>
      <c r="E4" s="1242"/>
      <c r="F4" s="1242"/>
      <c r="G4" s="1242"/>
      <c r="H4" s="1242"/>
      <c r="I4" s="1242"/>
      <c r="J4" s="1242"/>
      <c r="K4" s="1242"/>
      <c r="L4" s="1242"/>
      <c r="M4" s="1242"/>
      <c r="N4" s="1242"/>
      <c r="O4" s="1242"/>
      <c r="P4" s="1242"/>
      <c r="Q4" s="1242"/>
      <c r="R4" s="1242"/>
      <c r="S4" s="1242"/>
      <c r="T4" s="1242"/>
      <c r="U4" s="1242"/>
      <c r="V4" s="1242"/>
      <c r="W4" s="1242"/>
      <c r="X4" s="1242"/>
      <c r="Y4" s="1242"/>
      <c r="Z4" s="1242"/>
      <c r="AA4" s="1242"/>
      <c r="AB4" s="1242"/>
      <c r="AC4" s="1242"/>
    </row>
    <row r="5" spans="2:29" ht="14.25" customHeight="1" x14ac:dyDescent="0.35">
      <c r="B5" s="1242"/>
      <c r="C5" s="1242"/>
      <c r="D5" s="1242"/>
      <c r="E5" s="1242"/>
      <c r="F5" s="1242"/>
      <c r="G5" s="1242"/>
      <c r="H5" s="1242"/>
      <c r="I5" s="1242"/>
      <c r="J5" s="1242"/>
      <c r="K5" s="1242"/>
      <c r="L5" s="1242"/>
      <c r="M5" s="1242"/>
      <c r="N5" s="1242"/>
      <c r="O5" s="1242"/>
      <c r="P5" s="1242"/>
      <c r="Q5" s="1242"/>
      <c r="R5" s="1242"/>
      <c r="S5" s="1242"/>
      <c r="T5" s="1242"/>
      <c r="U5" s="1242"/>
      <c r="V5" s="1242"/>
      <c r="W5" s="1242"/>
      <c r="X5" s="1242"/>
      <c r="Y5" s="1242"/>
      <c r="Z5" s="1242"/>
      <c r="AA5" s="1242"/>
      <c r="AB5" s="1242"/>
      <c r="AC5" s="1242"/>
    </row>
    <row r="6" spans="2:29" ht="14.25" customHeight="1" x14ac:dyDescent="0.35">
      <c r="B6" s="1242"/>
      <c r="C6" s="1242"/>
      <c r="D6" s="1242"/>
      <c r="E6" s="1242"/>
      <c r="F6" s="1242"/>
      <c r="G6" s="1242"/>
      <c r="H6" s="1242"/>
      <c r="I6" s="1242"/>
      <c r="J6" s="1242"/>
      <c r="K6" s="1242"/>
      <c r="L6" s="1242"/>
      <c r="M6" s="1242"/>
      <c r="N6" s="1242"/>
      <c r="O6" s="1242"/>
      <c r="P6" s="1242"/>
      <c r="Q6" s="1242"/>
      <c r="R6" s="1242"/>
      <c r="S6" s="1242"/>
      <c r="T6" s="1242"/>
      <c r="U6" s="1242"/>
      <c r="V6" s="1242"/>
      <c r="W6" s="1242"/>
      <c r="X6" s="1242"/>
      <c r="Y6" s="1242"/>
      <c r="Z6" s="1242"/>
      <c r="AA6" s="1242"/>
      <c r="AB6" s="1242"/>
      <c r="AC6" s="1242"/>
    </row>
    <row r="7" spans="2:29" x14ac:dyDescent="0.35">
      <c r="B7" s="752" t="s">
        <v>381</v>
      </c>
      <c r="C7" s="296"/>
      <c r="D7" s="296"/>
      <c r="E7" s="296"/>
      <c r="F7" s="296"/>
      <c r="G7" s="296"/>
      <c r="H7" s="297"/>
      <c r="I7" s="297"/>
      <c r="J7" s="297"/>
      <c r="K7" s="297"/>
      <c r="L7" s="297"/>
      <c r="M7" s="297"/>
      <c r="N7" s="297"/>
      <c r="O7" s="297"/>
      <c r="P7" s="297"/>
      <c r="Q7" s="297"/>
      <c r="R7" s="297"/>
      <c r="S7" s="297"/>
      <c r="T7" s="297"/>
      <c r="U7" s="297"/>
    </row>
    <row r="8" spans="2:29" ht="14.65" customHeight="1" x14ac:dyDescent="0.35">
      <c r="B8" s="1276" t="s">
        <v>352</v>
      </c>
      <c r="C8" s="1256"/>
      <c r="D8" s="1253" t="s">
        <v>325</v>
      </c>
      <c r="E8" s="1254"/>
      <c r="F8" s="1254"/>
      <c r="G8" s="1254"/>
      <c r="H8" s="1254"/>
      <c r="I8" s="1254"/>
      <c r="J8" s="1254"/>
      <c r="K8" s="1254"/>
      <c r="L8" s="1254"/>
      <c r="M8" s="1254"/>
      <c r="N8" s="1254"/>
      <c r="O8" s="1254"/>
      <c r="P8" s="1254"/>
      <c r="Q8" s="1254"/>
      <c r="R8" s="1284"/>
      <c r="S8" s="1285" t="s">
        <v>326</v>
      </c>
      <c r="T8" s="1286"/>
      <c r="U8" s="1286"/>
      <c r="V8" s="1286"/>
      <c r="W8" s="1286"/>
      <c r="X8" s="1286"/>
      <c r="Y8" s="1286"/>
      <c r="Z8" s="1286"/>
      <c r="AA8" s="1286"/>
      <c r="AB8" s="1286"/>
      <c r="AC8" s="1287"/>
    </row>
    <row r="9" spans="2:29" ht="14.65" customHeight="1" x14ac:dyDescent="0.35">
      <c r="B9" s="1277"/>
      <c r="C9" s="1307"/>
      <c r="D9" s="147">
        <v>2018</v>
      </c>
      <c r="E9" s="1244">
        <v>2019</v>
      </c>
      <c r="F9" s="1245"/>
      <c r="G9" s="1245"/>
      <c r="H9" s="1252"/>
      <c r="I9" s="1244">
        <v>2020</v>
      </c>
      <c r="J9" s="1245"/>
      <c r="K9" s="1245"/>
      <c r="L9" s="1245"/>
      <c r="M9" s="1244">
        <v>2021</v>
      </c>
      <c r="N9" s="1245"/>
      <c r="O9" s="1245"/>
      <c r="P9" s="1245"/>
      <c r="Q9" s="1282">
        <v>2022</v>
      </c>
      <c r="R9" s="1283"/>
      <c r="S9" s="317"/>
      <c r="T9" s="318"/>
      <c r="U9" s="1279">
        <v>2023</v>
      </c>
      <c r="V9" s="1280"/>
      <c r="W9" s="1280"/>
      <c r="X9" s="1280"/>
      <c r="Y9" s="1279">
        <v>2024</v>
      </c>
      <c r="Z9" s="1280"/>
      <c r="AA9" s="1280"/>
      <c r="AB9" s="1281"/>
      <c r="AC9" s="285">
        <v>2025</v>
      </c>
    </row>
    <row r="10" spans="2:29" x14ac:dyDescent="0.35">
      <c r="B10" s="1277"/>
      <c r="C10" s="1307"/>
      <c r="D10" s="154" t="s">
        <v>327</v>
      </c>
      <c r="E10" s="154" t="s">
        <v>328</v>
      </c>
      <c r="F10" s="153" t="s">
        <v>329</v>
      </c>
      <c r="G10" s="153" t="s">
        <v>238</v>
      </c>
      <c r="H10" s="224" t="s">
        <v>327</v>
      </c>
      <c r="I10" s="153" t="s">
        <v>328</v>
      </c>
      <c r="J10" s="153" t="s">
        <v>329</v>
      </c>
      <c r="K10" s="153" t="s">
        <v>238</v>
      </c>
      <c r="L10" s="153" t="s">
        <v>327</v>
      </c>
      <c r="M10" s="154" t="s">
        <v>328</v>
      </c>
      <c r="N10" s="153" t="s">
        <v>329</v>
      </c>
      <c r="O10" s="153" t="s">
        <v>238</v>
      </c>
      <c r="P10" s="153" t="s">
        <v>327</v>
      </c>
      <c r="Q10" s="154" t="s">
        <v>328</v>
      </c>
      <c r="R10" s="224" t="s">
        <v>329</v>
      </c>
      <c r="S10" s="429" t="s">
        <v>238</v>
      </c>
      <c r="T10" s="443" t="s">
        <v>327</v>
      </c>
      <c r="U10" s="428" t="s">
        <v>328</v>
      </c>
      <c r="V10" s="429" t="s">
        <v>329</v>
      </c>
      <c r="W10" s="429" t="s">
        <v>238</v>
      </c>
      <c r="X10" s="429" t="s">
        <v>327</v>
      </c>
      <c r="Y10" s="428" t="s">
        <v>328</v>
      </c>
      <c r="Z10" s="295" t="s">
        <v>329</v>
      </c>
      <c r="AA10" s="429" t="s">
        <v>238</v>
      </c>
      <c r="AB10" s="443" t="s">
        <v>327</v>
      </c>
      <c r="AC10" s="458" t="s">
        <v>328</v>
      </c>
    </row>
    <row r="11" spans="2:29" x14ac:dyDescent="0.35">
      <c r="B11" s="1349" t="s">
        <v>527</v>
      </c>
      <c r="C11" s="1350"/>
      <c r="D11" s="740"/>
      <c r="E11" s="741"/>
      <c r="F11" s="741"/>
      <c r="G11" s="741"/>
      <c r="H11" s="311"/>
      <c r="I11" s="311"/>
      <c r="J11" s="311"/>
      <c r="K11" s="311"/>
      <c r="L11" s="311"/>
      <c r="M11" s="641"/>
      <c r="N11" s="641"/>
      <c r="O11" s="641"/>
      <c r="P11" s="311"/>
      <c r="Q11" s="311"/>
      <c r="R11" s="776"/>
      <c r="S11" s="275"/>
      <c r="T11" s="275"/>
      <c r="U11" s="275"/>
      <c r="V11" s="275"/>
      <c r="W11" s="275"/>
      <c r="X11" s="275"/>
      <c r="Y11" s="275"/>
      <c r="Z11" s="275"/>
      <c r="AA11" s="275"/>
      <c r="AB11" s="275"/>
      <c r="AC11" s="276"/>
    </row>
    <row r="12" spans="2:29" ht="16.899999999999999" customHeight="1" x14ac:dyDescent="0.35">
      <c r="B12" s="547" t="s">
        <v>528</v>
      </c>
      <c r="C12" s="156" t="s">
        <v>529</v>
      </c>
      <c r="D12" s="659">
        <f>'Haver Pivoted'!GO31</f>
        <v>2224.3000000000002</v>
      </c>
      <c r="E12" s="496">
        <f>'Haver Pivoted'!GP31</f>
        <v>2303.4</v>
      </c>
      <c r="F12" s="496">
        <f>'Haver Pivoted'!GQ31</f>
        <v>2319.4</v>
      </c>
      <c r="G12" s="496">
        <f>'Haver Pivoted'!GR31</f>
        <v>2333.8000000000002</v>
      </c>
      <c r="H12" s="496">
        <f>'Haver Pivoted'!GS31</f>
        <v>2346.4</v>
      </c>
      <c r="I12" s="496">
        <f>'Haver Pivoted'!GT31</f>
        <v>2407.5</v>
      </c>
      <c r="J12" s="496">
        <f>'Haver Pivoted'!GU31</f>
        <v>4698.7</v>
      </c>
      <c r="K12" s="496">
        <f>'Haver Pivoted'!GV31</f>
        <v>3492.4</v>
      </c>
      <c r="L12" s="496">
        <f>'Haver Pivoted'!GW31</f>
        <v>2881.6</v>
      </c>
      <c r="M12" s="496">
        <f>'Haver Pivoted'!GX31</f>
        <v>5094.8</v>
      </c>
      <c r="N12" s="496">
        <f>'Haver Pivoted'!GY31</f>
        <v>3395.6</v>
      </c>
      <c r="O12" s="496">
        <f>'Haver Pivoted'!GZ31</f>
        <v>3146.3</v>
      </c>
      <c r="P12" s="496">
        <f>'Haver Pivoted'!HA31</f>
        <v>2937.4</v>
      </c>
      <c r="Q12" s="496">
        <f>'Haver Pivoted'!HB31</f>
        <v>2863</v>
      </c>
      <c r="R12" s="578">
        <f>'Haver Pivoted'!HC31</f>
        <v>2846.5</v>
      </c>
      <c r="S12" s="506">
        <f>SUM(S14:S25)-S24</f>
        <v>2790.2404516994384</v>
      </c>
      <c r="T12" s="506">
        <f t="shared" ref="T12:AC12" si="0">SUM(T14:T25)-T24</f>
        <v>2742.6351930835458</v>
      </c>
      <c r="U12" s="506">
        <f>SUM(U14:U25)-U24</f>
        <v>2805.8516680153407</v>
      </c>
      <c r="V12" s="506">
        <f t="shared" si="0"/>
        <v>2831.3059305555921</v>
      </c>
      <c r="W12" s="506">
        <f t="shared" si="0"/>
        <v>2857.4729385821292</v>
      </c>
      <c r="X12" s="506">
        <f t="shared" si="0"/>
        <v>2876.3435119503711</v>
      </c>
      <c r="Y12" s="506">
        <f t="shared" si="0"/>
        <v>2946.0095189202716</v>
      </c>
      <c r="Z12" s="506">
        <f t="shared" si="0"/>
        <v>2979.7342123754934</v>
      </c>
      <c r="AA12" s="506">
        <f t="shared" si="0"/>
        <v>3012.5991155724482</v>
      </c>
      <c r="AB12" s="506">
        <f t="shared" si="0"/>
        <v>3044.4413065898525</v>
      </c>
      <c r="AC12" s="767">
        <f t="shared" si="0"/>
        <v>3104.5034710345208</v>
      </c>
    </row>
    <row r="13" spans="2:29" x14ac:dyDescent="0.35">
      <c r="B13" s="547"/>
      <c r="C13" s="156"/>
      <c r="D13" s="659"/>
      <c r="E13" s="496"/>
      <c r="F13" s="496"/>
      <c r="G13" s="496"/>
      <c r="H13" s="496"/>
      <c r="I13" s="496"/>
      <c r="J13" s="496"/>
      <c r="K13" s="496"/>
      <c r="L13" s="496"/>
      <c r="M13" s="496"/>
      <c r="N13" s="496"/>
      <c r="O13" s="496"/>
      <c r="P13" s="156"/>
      <c r="Q13" s="144"/>
      <c r="R13" s="155"/>
      <c r="S13" s="429"/>
      <c r="T13" s="429"/>
      <c r="U13" s="429"/>
      <c r="V13" s="429"/>
      <c r="W13" s="429"/>
      <c r="X13" s="429"/>
      <c r="Y13" s="429"/>
      <c r="Z13" s="429"/>
      <c r="AA13" s="429"/>
      <c r="AB13" s="429"/>
      <c r="AC13" s="443"/>
    </row>
    <row r="14" spans="2:29" ht="35.65" customHeight="1" x14ac:dyDescent="0.35">
      <c r="B14" s="299" t="s">
        <v>530</v>
      </c>
      <c r="C14" s="156"/>
      <c r="D14" s="659">
        <f>'Unemployment Insurance'!D20+'Unemployment Insurance'!D19</f>
        <v>27.8</v>
      </c>
      <c r="E14" s="496">
        <f>'Unemployment Insurance'!E20+'Unemployment Insurance'!E19</f>
        <v>29.4</v>
      </c>
      <c r="F14" s="496">
        <f>'Unemployment Insurance'!F20+'Unemployment Insurance'!F19</f>
        <v>26.9</v>
      </c>
      <c r="G14" s="496">
        <f>'Unemployment Insurance'!G20+'Unemployment Insurance'!G19</f>
        <v>26.4</v>
      </c>
      <c r="H14" s="496">
        <f>'Unemployment Insurance'!H20+'Unemployment Insurance'!H19</f>
        <v>27.7</v>
      </c>
      <c r="I14" s="496">
        <f>'Unemployment Insurance'!I20+'Unemployment Insurance'!I19</f>
        <v>40.700000000000003</v>
      </c>
      <c r="J14" s="496">
        <f>'Unemployment Insurance'!J20+'Unemployment Insurance'!J19</f>
        <v>1007.5</v>
      </c>
      <c r="K14" s="496">
        <f>'Unemployment Insurance'!K20+'Unemployment Insurance'!K19</f>
        <v>792.89999999999986</v>
      </c>
      <c r="L14" s="496">
        <f>'Unemployment Insurance'!L20+'Unemployment Insurance'!L19</f>
        <v>308.5</v>
      </c>
      <c r="M14" s="496">
        <f>'Unemployment Insurance'!M20+'Unemployment Insurance'!M19</f>
        <v>556.20000000000005</v>
      </c>
      <c r="N14" s="496">
        <f>'Unemployment Insurance'!N20+'Unemployment Insurance'!N19</f>
        <v>448.6</v>
      </c>
      <c r="O14" s="496">
        <f>'Unemployment Insurance'!O20+'Unemployment Insurance'!O19</f>
        <v>245.1</v>
      </c>
      <c r="P14" s="496">
        <f>'Unemployment Insurance'!P20+'Unemployment Insurance'!P19</f>
        <v>33.799999999999997</v>
      </c>
      <c r="Q14" s="496">
        <f>'Unemployment Insurance'!Q20+'Unemployment Insurance'!Q19</f>
        <v>23.6</v>
      </c>
      <c r="R14" s="578">
        <f>'Unemployment Insurance'!R20+'Unemployment Insurance'!R19</f>
        <v>18.600000000000001</v>
      </c>
      <c r="S14" s="506">
        <f>'Unemployment Insurance'!S20+'Unemployment Insurance'!S19</f>
        <v>18.083333333333336</v>
      </c>
      <c r="T14" s="506">
        <f>'Unemployment Insurance'!T20+'Unemployment Insurance'!T19</f>
        <v>17.743055555555557</v>
      </c>
      <c r="U14" s="506">
        <f>'Unemployment Insurance'!U20+'Unemployment Insurance'!U19</f>
        <v>17.402777777777779</v>
      </c>
      <c r="V14" s="506">
        <f>'Unemployment Insurance'!V20+'Unemployment Insurance'!V19</f>
        <v>17.111111111111111</v>
      </c>
      <c r="W14" s="506">
        <f>'Unemployment Insurance'!W20+'Unemployment Insurance'!W19</f>
        <v>17.164583333333333</v>
      </c>
      <c r="X14" s="506">
        <f>'Unemployment Insurance'!X20+'Unemployment Insurance'!X19</f>
        <v>17.261805555555554</v>
      </c>
      <c r="Y14" s="506">
        <f>'Unemployment Insurance'!Y20+'Unemployment Insurance'!Y19</f>
        <v>17.606944444444441</v>
      </c>
      <c r="Z14" s="506">
        <f>'Unemployment Insurance'!Z20+'Unemployment Insurance'!Z19</f>
        <v>19.30833333333333</v>
      </c>
      <c r="AA14" s="506">
        <f>'Unemployment Insurance'!AA20+'Unemployment Insurance'!AA19</f>
        <v>19.546527777777772</v>
      </c>
      <c r="AB14" s="506">
        <f>'Unemployment Insurance'!AB20+'Unemployment Insurance'!AB19</f>
        <v>19.843055555555551</v>
      </c>
      <c r="AC14" s="767">
        <f>'Unemployment Insurance'!AC20+'Unemployment Insurance'!AC19</f>
        <v>20.129861111111108</v>
      </c>
    </row>
    <row r="15" spans="2:29" ht="17.649999999999999" customHeight="1" x14ac:dyDescent="0.35">
      <c r="B15" s="299" t="s">
        <v>55</v>
      </c>
      <c r="C15" s="156"/>
      <c r="D15" s="659">
        <f>Medicare!D10</f>
        <v>755.3</v>
      </c>
      <c r="E15" s="496">
        <f>Medicare!E10</f>
        <v>772.6</v>
      </c>
      <c r="F15" s="496">
        <f>Medicare!F10</f>
        <v>785.8</v>
      </c>
      <c r="G15" s="496">
        <f>Medicare!G10</f>
        <v>793.7</v>
      </c>
      <c r="H15" s="496">
        <f>Medicare!H10</f>
        <v>796.3</v>
      </c>
      <c r="I15" s="496">
        <f>Medicare!I10</f>
        <v>795.3</v>
      </c>
      <c r="J15" s="496">
        <f>Medicare!J10</f>
        <v>808</v>
      </c>
      <c r="K15" s="496">
        <f>Medicare!K10</f>
        <v>822.1</v>
      </c>
      <c r="L15" s="496">
        <f>Medicare!L10</f>
        <v>837.5</v>
      </c>
      <c r="M15" s="496">
        <f>Medicare!M10</f>
        <v>857.6</v>
      </c>
      <c r="N15" s="496">
        <f>Medicare!N10</f>
        <v>875.4</v>
      </c>
      <c r="O15" s="496">
        <f>Medicare!O10</f>
        <v>889.5</v>
      </c>
      <c r="P15" s="496">
        <f>Medicare!P10</f>
        <v>900</v>
      </c>
      <c r="Q15" s="496">
        <f>Medicare!Q10</f>
        <v>908</v>
      </c>
      <c r="R15" s="578">
        <f>Medicare!R10</f>
        <v>911.8</v>
      </c>
      <c r="S15" s="506">
        <f>Medicare!S10</f>
        <v>918.11049555908767</v>
      </c>
      <c r="T15" s="506">
        <f>Medicare!T10</f>
        <v>937.55463752799051</v>
      </c>
      <c r="U15" s="506">
        <f>Medicare!U10</f>
        <v>955.94003023756272</v>
      </c>
      <c r="V15" s="506">
        <f>Medicare!V10</f>
        <v>974.68595944448134</v>
      </c>
      <c r="W15" s="506">
        <f>Medicare!W10</f>
        <v>993.79949524879646</v>
      </c>
      <c r="X15" s="506">
        <f>Medicare!X10</f>
        <v>1013.2878463948152</v>
      </c>
      <c r="Y15" s="506">
        <f>Medicare!Y10</f>
        <v>1037.7219544758268</v>
      </c>
      <c r="Z15" s="506">
        <f>Medicare!Z10</f>
        <v>1062.7452590421597</v>
      </c>
      <c r="AA15" s="506">
        <f>Medicare!AA10</f>
        <v>1088.3719677946704</v>
      </c>
      <c r="AB15" s="506">
        <f>Medicare!AB10</f>
        <v>1114.6166310342967</v>
      </c>
      <c r="AC15" s="767">
        <f>Medicare!AC10</f>
        <v>1141.4941499234094</v>
      </c>
    </row>
    <row r="16" spans="2:29" ht="18" customHeight="1" x14ac:dyDescent="0.35">
      <c r="B16" s="547" t="s">
        <v>531</v>
      </c>
      <c r="C16" s="156"/>
      <c r="D16" s="312"/>
      <c r="E16" s="144"/>
      <c r="F16" s="144"/>
      <c r="G16" s="144"/>
      <c r="H16" s="496">
        <f>'Rebate Checks'!H10 +'Rebate Checks'!H11</f>
        <v>0</v>
      </c>
      <c r="I16" s="496">
        <f>'Rebate Checks'!I10 +'Rebate Checks'!I11</f>
        <v>0</v>
      </c>
      <c r="J16" s="496">
        <f>'Rebate Checks'!J10 +'Rebate Checks'!J11</f>
        <v>1078.0999999999999</v>
      </c>
      <c r="K16" s="496">
        <f>'Rebate Checks'!K10 +'Rebate Checks'!K11</f>
        <v>15.6</v>
      </c>
      <c r="L16" s="496">
        <f>'Rebate Checks'!L10 +'Rebate Checks'!L11</f>
        <v>5</v>
      </c>
      <c r="M16" s="496">
        <f>'Rebate Checks'!M10 +'Rebate Checks'!M11</f>
        <v>1933.6999999999998</v>
      </c>
      <c r="N16" s="496">
        <f>'Rebate Checks'!N10 +'Rebate Checks'!N11</f>
        <v>290.10000000000002</v>
      </c>
      <c r="O16" s="496">
        <f>'Rebate Checks'!O10 +'Rebate Checks'!O11</f>
        <v>38.9</v>
      </c>
      <c r="P16" s="496">
        <f>'Rebate Checks'!P10 +'Rebate Checks'!P11</f>
        <v>14.2</v>
      </c>
      <c r="Q16" s="496">
        <f>'Rebate Checks'!Q10 +'Rebate Checks'!Q11</f>
        <v>0</v>
      </c>
      <c r="R16" s="578">
        <f>'Rebate Checks'!Q10 +'Rebate Checks'!R11</f>
        <v>0</v>
      </c>
      <c r="S16" s="506">
        <f>'Rebate Checks'!S10 +'Rebate Checks'!S11</f>
        <v>0</v>
      </c>
      <c r="T16" s="506">
        <f>'Rebate Checks'!T10 +'Rebate Checks'!T11</f>
        <v>0</v>
      </c>
      <c r="U16" s="506">
        <f>'Rebate Checks'!U10 +'Rebate Checks'!U11</f>
        <v>0</v>
      </c>
      <c r="V16" s="506">
        <f>'Rebate Checks'!V10 +'Rebate Checks'!V11</f>
        <v>0</v>
      </c>
      <c r="W16" s="506">
        <f>'Rebate Checks'!W10 +'Rebate Checks'!W11</f>
        <v>0</v>
      </c>
      <c r="X16" s="506">
        <f>'Rebate Checks'!X10 +'Rebate Checks'!X11</f>
        <v>0</v>
      </c>
      <c r="Y16" s="506">
        <f>'Rebate Checks'!Y10 +'Rebate Checks'!Y11</f>
        <v>0</v>
      </c>
      <c r="Z16" s="506">
        <f>'Rebate Checks'!Z10 +'Rebate Checks'!Z11</f>
        <v>0</v>
      </c>
      <c r="AA16" s="506">
        <f>'Rebate Checks'!AA10 +'Rebate Checks'!AA11</f>
        <v>0</v>
      </c>
      <c r="AB16" s="506">
        <f>'Rebate Checks'!AB10 +'Rebate Checks'!AB11</f>
        <v>0</v>
      </c>
      <c r="AC16" s="767">
        <f>'Rebate Checks'!AC10 +'Rebate Checks'!AC11</f>
        <v>0</v>
      </c>
    </row>
    <row r="17" spans="2:101" ht="19.899999999999999" customHeight="1" x14ac:dyDescent="0.35">
      <c r="B17" s="300" t="s">
        <v>534</v>
      </c>
      <c r="C17" s="284"/>
      <c r="D17" s="760"/>
      <c r="E17" s="730"/>
      <c r="F17" s="730"/>
      <c r="G17" s="730"/>
      <c r="H17" s="674"/>
      <c r="I17" s="674"/>
      <c r="J17" s="674"/>
      <c r="K17" s="674"/>
      <c r="L17" s="674"/>
      <c r="M17" s="674">
        <f>'ARP Quarterly'!C5</f>
        <v>0</v>
      </c>
      <c r="N17" s="674">
        <f>'ARP Quarterly'!D5</f>
        <v>33.921840000000024</v>
      </c>
      <c r="O17" s="674">
        <f>'ARP Quarterly'!E5</f>
        <v>44.966160000000031</v>
      </c>
      <c r="P17" s="674">
        <f>'ARP Quarterly'!F5</f>
        <v>52.756999999999998</v>
      </c>
      <c r="Q17" s="674">
        <f>'ARP Quarterly'!G5</f>
        <v>52.756999999999998</v>
      </c>
      <c r="R17" s="670">
        <f>'ARP Quarterly'!H5</f>
        <v>52.756999999999998</v>
      </c>
      <c r="S17" s="643">
        <f>'ARP Quarterly'!I5</f>
        <v>52.756999999999998</v>
      </c>
      <c r="T17" s="643">
        <f>'ARP Quarterly'!J5</f>
        <v>12</v>
      </c>
      <c r="U17" s="643">
        <f>'ARP Quarterly'!K5</f>
        <v>12</v>
      </c>
      <c r="V17" s="643">
        <f>'ARP Quarterly'!L5</f>
        <v>12</v>
      </c>
      <c r="W17" s="643">
        <f>'ARP Quarterly'!M5</f>
        <v>12</v>
      </c>
      <c r="X17" s="643">
        <f>'ARP Quarterly'!N5</f>
        <v>4.2219999999999995</v>
      </c>
      <c r="Y17" s="643">
        <f>'ARP Quarterly'!O5</f>
        <v>4.2219999999999995</v>
      </c>
      <c r="Z17" s="643">
        <f>'ARP Quarterly'!P5</f>
        <v>4.2219999999999995</v>
      </c>
      <c r="AA17" s="643">
        <f>'ARP Quarterly'!Q5</f>
        <v>4.2219999999999995</v>
      </c>
      <c r="AB17" s="643">
        <f>'ARP Quarterly'!R5</f>
        <v>2.3719999999999999</v>
      </c>
      <c r="AC17" s="744">
        <f>'ARP Quarterly'!S5</f>
        <v>2.3719999999999999</v>
      </c>
    </row>
    <row r="18" spans="2:101" ht="22.15" customHeight="1" x14ac:dyDescent="0.35">
      <c r="B18" s="299" t="s">
        <v>218</v>
      </c>
      <c r="C18" s="753"/>
      <c r="D18" s="310"/>
      <c r="E18" s="151"/>
      <c r="F18" s="151"/>
      <c r="G18" s="151"/>
      <c r="H18" s="151"/>
      <c r="I18" s="151"/>
      <c r="J18" s="151"/>
      <c r="K18" s="151"/>
      <c r="L18" s="151"/>
      <c r="M18" s="496">
        <f>'ARP Quarterly'!C4</f>
        <v>0</v>
      </c>
      <c r="N18" s="496">
        <f>'ARP Quarterly'!D4</f>
        <v>0</v>
      </c>
      <c r="O18" s="496">
        <f>'ARP Quarterly'!E4</f>
        <v>3.1040000000000418</v>
      </c>
      <c r="P18" s="496">
        <f>'ARP Quarterly'!F4</f>
        <v>19.719000000000005</v>
      </c>
      <c r="Q18" s="496">
        <f>'ARP Quarterly'!G4</f>
        <v>19.719000000000005</v>
      </c>
      <c r="R18" s="578">
        <f>'ARP Quarterly'!H4</f>
        <v>19.719000000000005</v>
      </c>
      <c r="S18" s="506">
        <f>'ARP Quarterly'!I4</f>
        <v>19.719000000000005</v>
      </c>
      <c r="T18" s="506">
        <f>'ARP Quarterly'!J4</f>
        <v>1.4159999999999999</v>
      </c>
      <c r="U18" s="506">
        <f>'ARP Quarterly'!K4</f>
        <v>1.4159999999999999</v>
      </c>
      <c r="V18" s="506">
        <f>'ARP Quarterly'!L4</f>
        <v>1.4159999999999999</v>
      </c>
      <c r="W18" s="506">
        <f>'ARP Quarterly'!M4</f>
        <v>1.4159999999999999</v>
      </c>
      <c r="X18" s="506">
        <f>'ARP Quarterly'!N4</f>
        <v>1.4790000000000001</v>
      </c>
      <c r="Y18" s="506">
        <f>'ARP Quarterly'!O4</f>
        <v>1.4790000000000001</v>
      </c>
      <c r="Z18" s="506">
        <f>'ARP Quarterly'!P4</f>
        <v>1.4790000000000001</v>
      </c>
      <c r="AA18" s="506">
        <f>'ARP Quarterly'!Q4</f>
        <v>1.4790000000000001</v>
      </c>
      <c r="AB18" s="506">
        <f>'ARP Quarterly'!R4</f>
        <v>1.63</v>
      </c>
      <c r="AC18" s="767">
        <f>'ARP Quarterly'!S4</f>
        <v>1.63</v>
      </c>
      <c r="AD18" s="753"/>
      <c r="AE18" s="753"/>
      <c r="AF18" s="753"/>
      <c r="AG18" s="753"/>
      <c r="AH18" s="753"/>
      <c r="AI18" s="753"/>
      <c r="AJ18" s="753"/>
      <c r="AK18" s="753"/>
      <c r="AL18" s="753"/>
      <c r="AM18" s="753"/>
      <c r="AN18" s="753"/>
      <c r="AO18" s="753"/>
      <c r="AP18" s="753"/>
      <c r="AQ18" s="753"/>
      <c r="AR18" s="753"/>
      <c r="AS18" s="753"/>
      <c r="AT18" s="753"/>
      <c r="AU18" s="753"/>
      <c r="AV18" s="753"/>
      <c r="AW18" s="753"/>
      <c r="AX18" s="753"/>
      <c r="AY18" s="753"/>
      <c r="AZ18" s="753"/>
      <c r="BA18" s="753"/>
      <c r="BB18" s="753"/>
      <c r="BC18" s="753"/>
      <c r="BD18" s="753"/>
      <c r="BE18" s="753"/>
      <c r="BF18" s="753"/>
      <c r="BG18" s="753"/>
      <c r="BH18" s="753"/>
      <c r="BI18" s="753"/>
      <c r="BJ18" s="753"/>
      <c r="BK18" s="753"/>
      <c r="BL18" s="753"/>
      <c r="BM18" s="753"/>
      <c r="BN18" s="753"/>
      <c r="BO18" s="753"/>
      <c r="BP18" s="753"/>
      <c r="BQ18" s="753"/>
      <c r="BR18" s="753"/>
      <c r="BS18" s="753"/>
      <c r="BT18" s="753"/>
      <c r="BU18" s="753"/>
      <c r="BV18" s="753"/>
      <c r="BW18" s="753"/>
      <c r="BX18" s="753"/>
      <c r="BY18" s="753"/>
      <c r="BZ18" s="753"/>
      <c r="CA18" s="753"/>
      <c r="CB18" s="753"/>
      <c r="CC18" s="753"/>
      <c r="CD18" s="753"/>
      <c r="CE18" s="753"/>
      <c r="CF18" s="753"/>
      <c r="CG18" s="753"/>
      <c r="CH18" s="753"/>
      <c r="CI18" s="753"/>
      <c r="CJ18" s="753"/>
      <c r="CK18" s="753"/>
      <c r="CL18" s="753"/>
      <c r="CM18" s="753"/>
      <c r="CN18" s="753"/>
      <c r="CO18" s="753"/>
      <c r="CP18" s="753"/>
      <c r="CQ18" s="753"/>
      <c r="CR18" s="753"/>
      <c r="CS18" s="753"/>
      <c r="CT18" s="753"/>
      <c r="CU18" s="753"/>
      <c r="CV18" s="753"/>
      <c r="CW18" s="753"/>
    </row>
    <row r="19" spans="2:101" ht="19.5" customHeight="1" x14ac:dyDescent="0.35">
      <c r="B19" s="299" t="s">
        <v>49</v>
      </c>
      <c r="C19" s="753"/>
      <c r="D19" s="310">
        <f>'Provider Relief'!D11</f>
        <v>0</v>
      </c>
      <c r="E19" s="151">
        <f>'Provider Relief'!E11</f>
        <v>0</v>
      </c>
      <c r="F19" s="151">
        <f>'Provider Relief'!F11</f>
        <v>0</v>
      </c>
      <c r="G19" s="151">
        <f>'Provider Relief'!G11</f>
        <v>0</v>
      </c>
      <c r="H19" s="151">
        <f>'Provider Relief'!H11</f>
        <v>0</v>
      </c>
      <c r="I19" s="151">
        <f>'Provider Relief'!I11</f>
        <v>0</v>
      </c>
      <c r="J19" s="151">
        <f>'Provider Relief'!J11</f>
        <v>160.9</v>
      </c>
      <c r="K19" s="151">
        <f>'Provider Relief'!K11</f>
        <v>58.4</v>
      </c>
      <c r="L19" s="151">
        <f>'Provider Relief'!L11</f>
        <v>34.5</v>
      </c>
      <c r="M19" s="151">
        <f>'Provider Relief'!M11</f>
        <v>21.4</v>
      </c>
      <c r="N19" s="151">
        <f>'Provider Relief'!N11</f>
        <v>13.3</v>
      </c>
      <c r="O19" s="151">
        <f>'Provider Relief'!O11</f>
        <v>18.7</v>
      </c>
      <c r="P19" s="151">
        <f>'Provider Relief'!P11</f>
        <v>32.200000000000003</v>
      </c>
      <c r="Q19" s="151">
        <f>'Provider Relief'!Q11</f>
        <v>26.9</v>
      </c>
      <c r="R19" s="319">
        <f>'Provider Relief'!R11</f>
        <v>20</v>
      </c>
      <c r="S19" s="750">
        <f>'Provider Relief'!S11</f>
        <v>9.6491228070175428</v>
      </c>
      <c r="T19" s="750">
        <f>'Provider Relief'!T11</f>
        <v>0</v>
      </c>
      <c r="U19" s="750">
        <f>'Provider Relief'!U11</f>
        <v>0</v>
      </c>
      <c r="V19" s="750">
        <f>'Provider Relief'!V11</f>
        <v>0</v>
      </c>
      <c r="W19" s="750">
        <f>'Provider Relief'!W11</f>
        <v>0</v>
      </c>
      <c r="X19" s="750">
        <f>'Provider Relief'!X11</f>
        <v>0</v>
      </c>
      <c r="Y19" s="750">
        <f>'Provider Relief'!Y11</f>
        <v>0</v>
      </c>
      <c r="Z19" s="750">
        <f>'Provider Relief'!Z11</f>
        <v>0</v>
      </c>
      <c r="AA19" s="750">
        <f>'Provider Relief'!AA11</f>
        <v>0</v>
      </c>
      <c r="AB19" s="750">
        <f>'Provider Relief'!AB11</f>
        <v>0</v>
      </c>
      <c r="AC19" s="754">
        <f>'Provider Relief'!AC11</f>
        <v>0</v>
      </c>
      <c r="AD19" s="753"/>
      <c r="AE19" s="753"/>
      <c r="AF19" s="753"/>
      <c r="AG19" s="753"/>
      <c r="AH19" s="753"/>
      <c r="AI19" s="753"/>
      <c r="AJ19" s="753"/>
      <c r="AK19" s="753"/>
      <c r="AL19" s="753"/>
      <c r="AM19" s="753"/>
      <c r="AN19" s="753"/>
      <c r="AO19" s="753"/>
      <c r="AP19" s="753"/>
      <c r="AQ19" s="753"/>
      <c r="AR19" s="753"/>
      <c r="AS19" s="753"/>
      <c r="AT19" s="753"/>
      <c r="AU19" s="753"/>
      <c r="AV19" s="753"/>
      <c r="AW19" s="753"/>
      <c r="AX19" s="753"/>
      <c r="AY19" s="753"/>
      <c r="AZ19" s="753"/>
      <c r="BA19" s="753"/>
      <c r="BB19" s="753"/>
      <c r="BC19" s="753"/>
      <c r="BD19" s="753"/>
      <c r="BE19" s="753"/>
      <c r="BF19" s="753"/>
      <c r="BG19" s="753"/>
      <c r="BH19" s="753"/>
      <c r="BI19" s="753"/>
      <c r="BJ19" s="753"/>
      <c r="BK19" s="753"/>
      <c r="BL19" s="753"/>
      <c r="BM19" s="753"/>
      <c r="BN19" s="753"/>
      <c r="BO19" s="753"/>
      <c r="BP19" s="753"/>
      <c r="BQ19" s="753"/>
      <c r="BR19" s="753"/>
      <c r="BS19" s="753"/>
      <c r="BT19" s="753"/>
      <c r="BU19" s="753"/>
      <c r="BV19" s="753"/>
      <c r="BW19" s="753"/>
      <c r="BX19" s="753"/>
      <c r="BY19" s="753"/>
      <c r="BZ19" s="753"/>
      <c r="CA19" s="753"/>
      <c r="CB19" s="753"/>
      <c r="CC19" s="753"/>
      <c r="CD19" s="753"/>
      <c r="CE19" s="753"/>
      <c r="CF19" s="753"/>
      <c r="CG19" s="753"/>
      <c r="CH19" s="753"/>
      <c r="CI19" s="753"/>
      <c r="CJ19" s="753"/>
      <c r="CK19" s="753"/>
      <c r="CL19" s="753"/>
      <c r="CM19" s="753"/>
      <c r="CN19" s="753"/>
      <c r="CO19" s="753"/>
      <c r="CP19" s="753"/>
      <c r="CQ19" s="753"/>
      <c r="CR19" s="753"/>
      <c r="CS19" s="753"/>
      <c r="CT19" s="753"/>
      <c r="CU19" s="753"/>
      <c r="CV19" s="753"/>
      <c r="CW19" s="753"/>
    </row>
    <row r="20" spans="2:101" ht="36.4" customHeight="1" x14ac:dyDescent="0.35">
      <c r="B20" s="299" t="s">
        <v>868</v>
      </c>
      <c r="C20" s="156"/>
      <c r="D20" s="312">
        <f>D65</f>
        <v>0</v>
      </c>
      <c r="E20" s="144">
        <f t="shared" ref="E20:AC20" si="1">E65</f>
        <v>0</v>
      </c>
      <c r="F20" s="144">
        <f t="shared" si="1"/>
        <v>0</v>
      </c>
      <c r="G20" s="144">
        <f t="shared" si="1"/>
        <v>0</v>
      </c>
      <c r="H20" s="144">
        <f t="shared" si="1"/>
        <v>0</v>
      </c>
      <c r="I20" s="144">
        <f t="shared" si="1"/>
        <v>5.0234999999999914</v>
      </c>
      <c r="J20" s="144">
        <f t="shared" si="1"/>
        <v>45.406499999999987</v>
      </c>
      <c r="K20" s="144">
        <f t="shared" si="1"/>
        <v>50.178499999999993</v>
      </c>
      <c r="L20" s="144">
        <f t="shared" si="1"/>
        <v>60.014499999999991</v>
      </c>
      <c r="M20" s="144">
        <f t="shared" si="1"/>
        <v>86.04249999999999</v>
      </c>
      <c r="N20" s="144">
        <f t="shared" si="1"/>
        <v>100.69149999999999</v>
      </c>
      <c r="O20" s="144">
        <f t="shared" si="1"/>
        <v>95.460499999999996</v>
      </c>
      <c r="P20" s="144">
        <f t="shared" si="1"/>
        <v>100.72550000000001</v>
      </c>
      <c r="Q20" s="144">
        <f t="shared" si="1"/>
        <v>80.643499999999989</v>
      </c>
      <c r="R20" s="155">
        <f t="shared" si="1"/>
        <v>63.702499999999993</v>
      </c>
      <c r="S20" s="429">
        <f t="shared" si="1"/>
        <v>5</v>
      </c>
      <c r="T20" s="429">
        <f t="shared" si="1"/>
        <v>0</v>
      </c>
      <c r="U20" s="429">
        <f t="shared" si="1"/>
        <v>0</v>
      </c>
      <c r="V20" s="429">
        <f t="shared" si="1"/>
        <v>0</v>
      </c>
      <c r="W20" s="429">
        <f t="shared" si="1"/>
        <v>0</v>
      </c>
      <c r="X20" s="429">
        <f t="shared" si="1"/>
        <v>0</v>
      </c>
      <c r="Y20" s="429">
        <f t="shared" si="1"/>
        <v>0</v>
      </c>
      <c r="Z20" s="429">
        <f t="shared" si="1"/>
        <v>0</v>
      </c>
      <c r="AA20" s="429">
        <f t="shared" si="1"/>
        <v>0</v>
      </c>
      <c r="AB20" s="429">
        <f t="shared" si="1"/>
        <v>0</v>
      </c>
      <c r="AC20" s="443">
        <f t="shared" si="1"/>
        <v>0</v>
      </c>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c r="BO20" s="156"/>
      <c r="BP20" s="156"/>
      <c r="BQ20" s="156"/>
      <c r="BR20" s="156"/>
      <c r="BS20" s="156"/>
      <c r="BT20" s="156"/>
      <c r="BU20" s="156"/>
      <c r="BV20" s="156"/>
      <c r="BW20" s="156"/>
      <c r="BX20" s="156"/>
      <c r="BY20" s="156"/>
      <c r="BZ20" s="156"/>
      <c r="CA20" s="156"/>
      <c r="CB20" s="156"/>
      <c r="CC20" s="156"/>
      <c r="CD20" s="156"/>
      <c r="CE20" s="156"/>
      <c r="CF20" s="156"/>
      <c r="CG20" s="156"/>
      <c r="CH20" s="156"/>
      <c r="CI20" s="156"/>
      <c r="CJ20" s="156"/>
      <c r="CK20" s="156"/>
      <c r="CL20" s="156"/>
      <c r="CM20" s="156"/>
      <c r="CN20" s="156"/>
      <c r="CO20" s="156"/>
      <c r="CP20" s="156"/>
      <c r="CQ20" s="156"/>
      <c r="CR20" s="156"/>
      <c r="CS20" s="156"/>
      <c r="CT20" s="156"/>
      <c r="CU20" s="156"/>
      <c r="CV20" s="156"/>
    </row>
    <row r="21" spans="2:101" ht="15.4" customHeight="1" x14ac:dyDescent="0.35">
      <c r="B21" s="299" t="s">
        <v>866</v>
      </c>
      <c r="C21" s="156" t="s">
        <v>896</v>
      </c>
      <c r="D21" s="310">
        <v>30</v>
      </c>
      <c r="E21" s="151">
        <v>30</v>
      </c>
      <c r="F21" s="151">
        <v>30</v>
      </c>
      <c r="G21" s="151">
        <v>30</v>
      </c>
      <c r="H21" s="151">
        <v>30</v>
      </c>
      <c r="I21" s="151">
        <v>30</v>
      </c>
      <c r="J21" s="151">
        <v>30</v>
      </c>
      <c r="K21" s="149">
        <v>30.2</v>
      </c>
      <c r="L21" s="149">
        <v>30.2</v>
      </c>
      <c r="M21" s="149">
        <f>'Haver Pivoted'!GX89</f>
        <v>34.4</v>
      </c>
      <c r="N21" s="149">
        <f>'Haver Pivoted'!GY89</f>
        <v>34.4</v>
      </c>
      <c r="O21" s="149">
        <f>'Haver Pivoted'!GZ89</f>
        <v>218.933333333333</v>
      </c>
      <c r="P21" s="149">
        <f>'Haver Pivoted'!HA89</f>
        <v>223.13333333333301</v>
      </c>
      <c r="Q21" s="149">
        <f>'Haver Pivoted'!HB89</f>
        <v>94.3</v>
      </c>
      <c r="R21" s="535">
        <f>'Haver Pivoted'!HC89</f>
        <v>94.3</v>
      </c>
      <c r="S21" s="506">
        <f t="shared" ref="S21:T21" si="2">R21</f>
        <v>94.3</v>
      </c>
      <c r="T21" s="506">
        <f t="shared" si="2"/>
        <v>94.3</v>
      </c>
      <c r="U21" s="506">
        <v>34</v>
      </c>
      <c r="V21" s="506">
        <v>34</v>
      </c>
      <c r="W21" s="506">
        <v>34</v>
      </c>
      <c r="X21" s="506">
        <v>34</v>
      </c>
      <c r="Y21" s="506">
        <v>34</v>
      </c>
      <c r="Z21" s="506">
        <v>34</v>
      </c>
      <c r="AA21" s="506">
        <v>34</v>
      </c>
      <c r="AB21" s="506">
        <v>34</v>
      </c>
      <c r="AC21" s="767">
        <v>34</v>
      </c>
    </row>
    <row r="22" spans="2:101" ht="21.4" customHeight="1" x14ac:dyDescent="0.35">
      <c r="B22" s="299" t="s">
        <v>532</v>
      </c>
      <c r="C22" s="156"/>
      <c r="D22" s="312"/>
      <c r="E22" s="144"/>
      <c r="F22" s="144"/>
      <c r="G22" s="144"/>
      <c r="H22" s="496"/>
      <c r="I22" s="496"/>
      <c r="J22" s="496">
        <f>PPP!J53</f>
        <v>57.2</v>
      </c>
      <c r="K22" s="496">
        <f>PPP!K53</f>
        <v>81.2</v>
      </c>
      <c r="L22" s="496">
        <f>PPP!L53</f>
        <v>24.4</v>
      </c>
      <c r="M22" s="496">
        <f>PPP!M53</f>
        <v>11.7</v>
      </c>
      <c r="N22" s="496">
        <f>PPP!N53</f>
        <v>28.5</v>
      </c>
      <c r="O22" s="496">
        <f>PPP!O53</f>
        <v>18.8</v>
      </c>
      <c r="P22" s="496">
        <f>PPP!P53</f>
        <v>1.6</v>
      </c>
      <c r="Q22" s="496">
        <f>PPP!Q53</f>
        <v>0</v>
      </c>
      <c r="R22" s="578">
        <f>PPP!Q61</f>
        <v>0</v>
      </c>
      <c r="S22" s="506">
        <f>PPP!S53</f>
        <v>0</v>
      </c>
      <c r="T22" s="506">
        <f>PPP!T53</f>
        <v>0</v>
      </c>
      <c r="U22" s="506">
        <f>PPP!U53</f>
        <v>0</v>
      </c>
      <c r="V22" s="506">
        <f>PPP!V53</f>
        <v>0</v>
      </c>
      <c r="W22" s="506">
        <f>PPP!W53</f>
        <v>0</v>
      </c>
      <c r="X22" s="506">
        <f>PPP!X53</f>
        <v>0</v>
      </c>
      <c r="Y22" s="506">
        <f>PPP!Y53</f>
        <v>0</v>
      </c>
      <c r="Z22" s="506">
        <f>PPP!Z53</f>
        <v>0</v>
      </c>
      <c r="AA22" s="506">
        <f>PPP!AA53</f>
        <v>0</v>
      </c>
      <c r="AB22" s="506">
        <f>PPP!AB53</f>
        <v>0</v>
      </c>
      <c r="AC22" s="767">
        <f>PPP!AC53</f>
        <v>0</v>
      </c>
    </row>
    <row r="23" spans="2:101" ht="21.4" customHeight="1" x14ac:dyDescent="0.35">
      <c r="B23" s="547" t="s">
        <v>867</v>
      </c>
      <c r="C23" s="156"/>
      <c r="D23" s="659">
        <f t="shared" ref="D23:AC23" si="3">D78</f>
        <v>0</v>
      </c>
      <c r="E23" s="496">
        <f t="shared" si="3"/>
        <v>0</v>
      </c>
      <c r="F23" s="496">
        <f t="shared" si="3"/>
        <v>0</v>
      </c>
      <c r="G23" s="496">
        <f t="shared" si="3"/>
        <v>0</v>
      </c>
      <c r="H23" s="496">
        <f t="shared" si="3"/>
        <v>0</v>
      </c>
      <c r="I23" s="496">
        <f t="shared" si="3"/>
        <v>-5.0235000000002401</v>
      </c>
      <c r="J23" s="496">
        <f t="shared" si="3"/>
        <v>-36.906500000000278</v>
      </c>
      <c r="K23" s="496">
        <f t="shared" si="3"/>
        <v>86.321499999999787</v>
      </c>
      <c r="L23" s="496">
        <f t="shared" si="3"/>
        <v>18.985499999999547</v>
      </c>
      <c r="M23" s="496">
        <f t="shared" si="3"/>
        <v>6.8144999999999527</v>
      </c>
      <c r="N23" s="496">
        <f t="shared" si="3"/>
        <v>-23.256340000000137</v>
      </c>
      <c r="O23" s="496">
        <f t="shared" si="3"/>
        <v>-28.106993333332866</v>
      </c>
      <c r="P23" s="496">
        <f t="shared" si="3"/>
        <v>-48.677833333332956</v>
      </c>
      <c r="Q23" s="496">
        <f t="shared" si="3"/>
        <v>-29.785220000000209</v>
      </c>
      <c r="R23" s="578">
        <f t="shared" si="3"/>
        <v>-28.244220000000269</v>
      </c>
      <c r="S23" s="506">
        <f t="shared" si="3"/>
        <v>-28.244220000000269</v>
      </c>
      <c r="T23" s="506">
        <f t="shared" si="3"/>
        <v>-28.244220000000269</v>
      </c>
      <c r="U23" s="506">
        <f t="shared" si="3"/>
        <v>-28.244220000000269</v>
      </c>
      <c r="V23" s="506">
        <f t="shared" si="3"/>
        <v>-28.244220000000269</v>
      </c>
      <c r="W23" s="506">
        <f t="shared" si="3"/>
        <v>-28.244220000000269</v>
      </c>
      <c r="X23" s="506">
        <f t="shared" si="3"/>
        <v>-28.244220000000269</v>
      </c>
      <c r="Y23" s="506">
        <f t="shared" si="3"/>
        <v>-28.244220000000269</v>
      </c>
      <c r="Z23" s="506">
        <f t="shared" si="3"/>
        <v>-28.244220000000269</v>
      </c>
      <c r="AA23" s="506">
        <f t="shared" si="3"/>
        <v>-28.244220000000269</v>
      </c>
      <c r="AB23" s="506">
        <f t="shared" si="3"/>
        <v>-28.244220000000269</v>
      </c>
      <c r="AC23" s="767">
        <f t="shared" si="3"/>
        <v>-28.244220000000269</v>
      </c>
    </row>
    <row r="24" spans="2:101" ht="21" customHeight="1" x14ac:dyDescent="0.35">
      <c r="B24" s="300" t="s">
        <v>864</v>
      </c>
      <c r="C24" s="284"/>
      <c r="D24" s="760">
        <f t="shared" ref="D24:AC24" si="4">D18+D19</f>
        <v>0</v>
      </c>
      <c r="E24" s="730">
        <f t="shared" si="4"/>
        <v>0</v>
      </c>
      <c r="F24" s="730">
        <f t="shared" si="4"/>
        <v>0</v>
      </c>
      <c r="G24" s="730">
        <f t="shared" si="4"/>
        <v>0</v>
      </c>
      <c r="H24" s="730">
        <f t="shared" si="4"/>
        <v>0</v>
      </c>
      <c r="I24" s="730">
        <f t="shared" si="4"/>
        <v>0</v>
      </c>
      <c r="J24" s="730">
        <f t="shared" si="4"/>
        <v>160.9</v>
      </c>
      <c r="K24" s="730">
        <f t="shared" si="4"/>
        <v>58.4</v>
      </c>
      <c r="L24" s="730">
        <f t="shared" si="4"/>
        <v>34.5</v>
      </c>
      <c r="M24" s="730">
        <f t="shared" si="4"/>
        <v>21.4</v>
      </c>
      <c r="N24" s="730">
        <f t="shared" si="4"/>
        <v>13.3</v>
      </c>
      <c r="O24" s="730">
        <f t="shared" si="4"/>
        <v>21.804000000000041</v>
      </c>
      <c r="P24" s="674">
        <f>P18+P19</f>
        <v>51.919000000000011</v>
      </c>
      <c r="Q24" s="730">
        <f t="shared" si="4"/>
        <v>46.619</v>
      </c>
      <c r="R24" s="777">
        <f t="shared" si="4"/>
        <v>39.719000000000008</v>
      </c>
      <c r="S24" s="727">
        <f t="shared" si="4"/>
        <v>29.368122807017549</v>
      </c>
      <c r="T24" s="727">
        <f t="shared" si="4"/>
        <v>1.4159999999999999</v>
      </c>
      <c r="U24" s="727">
        <f t="shared" si="4"/>
        <v>1.4159999999999999</v>
      </c>
      <c r="V24" s="727">
        <f t="shared" si="4"/>
        <v>1.4159999999999999</v>
      </c>
      <c r="W24" s="727">
        <f t="shared" si="4"/>
        <v>1.4159999999999999</v>
      </c>
      <c r="X24" s="727">
        <f t="shared" si="4"/>
        <v>1.4790000000000001</v>
      </c>
      <c r="Y24" s="727">
        <f t="shared" si="4"/>
        <v>1.4790000000000001</v>
      </c>
      <c r="Z24" s="727">
        <f t="shared" si="4"/>
        <v>1.4790000000000001</v>
      </c>
      <c r="AA24" s="727">
        <f t="shared" si="4"/>
        <v>1.4790000000000001</v>
      </c>
      <c r="AB24" s="727">
        <f t="shared" si="4"/>
        <v>1.63</v>
      </c>
      <c r="AC24" s="729">
        <f t="shared" si="4"/>
        <v>1.63</v>
      </c>
    </row>
    <row r="25" spans="2:101" ht="44.65" customHeight="1" x14ac:dyDescent="0.35">
      <c r="B25" s="299" t="s">
        <v>873</v>
      </c>
      <c r="C25" s="156"/>
      <c r="D25" s="659">
        <f t="shared" ref="D25:AC25" si="5">D76</f>
        <v>1411.2</v>
      </c>
      <c r="E25" s="496">
        <f t="shared" si="5"/>
        <v>1471.4</v>
      </c>
      <c r="F25" s="496">
        <f t="shared" si="5"/>
        <v>1476.7</v>
      </c>
      <c r="G25" s="496">
        <f t="shared" si="5"/>
        <v>1483.7</v>
      </c>
      <c r="H25" s="496">
        <f t="shared" si="5"/>
        <v>1492.4000000000003</v>
      </c>
      <c r="I25" s="496">
        <f t="shared" si="5"/>
        <v>1541.5000000000002</v>
      </c>
      <c r="J25" s="496">
        <f t="shared" si="5"/>
        <v>1548.5000000000002</v>
      </c>
      <c r="K25" s="496">
        <f t="shared" si="5"/>
        <v>1555.5000000000002</v>
      </c>
      <c r="L25" s="496">
        <f t="shared" si="5"/>
        <v>1562.5000000000002</v>
      </c>
      <c r="M25" s="496">
        <f t="shared" si="5"/>
        <v>1586.9430000000002</v>
      </c>
      <c r="N25" s="496">
        <f t="shared" si="5"/>
        <v>1593.9430000000002</v>
      </c>
      <c r="O25" s="496">
        <f t="shared" si="5"/>
        <v>1600.9430000000002</v>
      </c>
      <c r="P25" s="496">
        <f>P76</f>
        <v>1607.9430000000002</v>
      </c>
      <c r="Q25" s="496">
        <f t="shared" si="5"/>
        <v>1686.8657200000002</v>
      </c>
      <c r="R25" s="578">
        <f t="shared" si="5"/>
        <v>1693.8657200000002</v>
      </c>
      <c r="S25" s="506">
        <f t="shared" si="5"/>
        <v>1700.8657200000002</v>
      </c>
      <c r="T25" s="506">
        <f t="shared" si="5"/>
        <v>1707.8657200000002</v>
      </c>
      <c r="U25" s="506">
        <f t="shared" si="5"/>
        <v>1813.3370800000002</v>
      </c>
      <c r="V25" s="506">
        <f t="shared" si="5"/>
        <v>1820.3370800000002</v>
      </c>
      <c r="W25" s="506">
        <f t="shared" si="5"/>
        <v>1827.3370800000002</v>
      </c>
      <c r="X25" s="506">
        <f t="shared" si="5"/>
        <v>1834.3370800000002</v>
      </c>
      <c r="Y25" s="506">
        <f t="shared" si="5"/>
        <v>1879.2238400000003</v>
      </c>
      <c r="Z25" s="506">
        <f t="shared" si="5"/>
        <v>1886.2238400000003</v>
      </c>
      <c r="AA25" s="506">
        <f t="shared" si="5"/>
        <v>1893.2238400000003</v>
      </c>
      <c r="AB25" s="506">
        <f t="shared" si="5"/>
        <v>1900.2238400000003</v>
      </c>
      <c r="AC25" s="767">
        <f t="shared" si="5"/>
        <v>1933.1216800000004</v>
      </c>
    </row>
    <row r="26" spans="2:101" ht="44.65" customHeight="1" x14ac:dyDescent="0.35">
      <c r="B26" s="476" t="s">
        <v>885</v>
      </c>
      <c r="D26" s="659"/>
      <c r="E26" s="496"/>
      <c r="F26" s="496"/>
      <c r="G26" s="496"/>
      <c r="H26" s="496"/>
      <c r="I26" s="496"/>
      <c r="J26" s="496"/>
      <c r="K26" s="496"/>
      <c r="L26" s="496"/>
      <c r="M26" s="496"/>
      <c r="N26" s="496"/>
      <c r="O26" s="496"/>
      <c r="P26" s="496"/>
      <c r="Q26" s="496">
        <v>-2.5</v>
      </c>
      <c r="R26" s="578">
        <v>-2.5</v>
      </c>
      <c r="S26" s="506">
        <v>-2.5</v>
      </c>
      <c r="T26" s="506">
        <v>-6</v>
      </c>
      <c r="U26" s="506">
        <v>-6</v>
      </c>
      <c r="V26" s="506">
        <v>-6</v>
      </c>
      <c r="W26" s="506">
        <v>-6</v>
      </c>
      <c r="X26" s="506">
        <v>-4.3</v>
      </c>
      <c r="Y26" s="506">
        <v>-4.3</v>
      </c>
      <c r="Z26" s="506">
        <v>-4.3</v>
      </c>
      <c r="AA26" s="506">
        <v>-4.3</v>
      </c>
      <c r="AB26" s="506">
        <v>-4.8</v>
      </c>
      <c r="AC26" s="767">
        <v>-4.8</v>
      </c>
    </row>
    <row r="27" spans="2:101" ht="44.65" customHeight="1" x14ac:dyDescent="0.35">
      <c r="B27" s="476" t="s">
        <v>1294</v>
      </c>
      <c r="D27" s="659"/>
      <c r="E27" s="496"/>
      <c r="F27" s="496"/>
      <c r="G27" s="496"/>
      <c r="H27" s="496"/>
      <c r="I27" s="496"/>
      <c r="J27" s="496"/>
      <c r="K27" s="496"/>
      <c r="L27" s="496"/>
      <c r="M27" s="496"/>
      <c r="N27" s="496"/>
      <c r="O27" s="496"/>
      <c r="P27" s="496"/>
      <c r="Q27" s="496"/>
      <c r="R27" s="578"/>
      <c r="S27" s="742">
        <f>'IRA and CHIPS'!E191</f>
        <v>-0.622</v>
      </c>
      <c r="T27" s="742">
        <f>'IRA and CHIPS'!F191</f>
        <v>21.89</v>
      </c>
      <c r="U27" s="742">
        <f>'IRA and CHIPS'!G191</f>
        <v>21.89</v>
      </c>
      <c r="V27" s="742">
        <f>'IRA and CHIPS'!H191</f>
        <v>21.89</v>
      </c>
      <c r="W27" s="742">
        <f>'IRA and CHIPS'!I191</f>
        <v>21.89</v>
      </c>
      <c r="X27" s="742">
        <f>'IRA and CHIPS'!J191</f>
        <v>15.439</v>
      </c>
      <c r="Y27" s="742">
        <f>'IRA and CHIPS'!K191</f>
        <v>15.439</v>
      </c>
      <c r="Z27" s="742">
        <f>'IRA and CHIPS'!L191</f>
        <v>15.439</v>
      </c>
      <c r="AA27" s="742">
        <f>'IRA and CHIPS'!M191</f>
        <v>15.439</v>
      </c>
      <c r="AB27" s="742">
        <f>'IRA and CHIPS'!N191</f>
        <v>16.966999999999999</v>
      </c>
      <c r="AC27" s="742">
        <f>'IRA and CHIPS'!O191</f>
        <v>16.966999999999999</v>
      </c>
    </row>
    <row r="28" spans="2:101" ht="31.15" customHeight="1" x14ac:dyDescent="0.35">
      <c r="B28" s="636" t="s">
        <v>869</v>
      </c>
      <c r="C28" s="284"/>
      <c r="D28" s="658">
        <f>D25+SUM(D20:D23) + D26</f>
        <v>1441.2</v>
      </c>
      <c r="E28" s="674">
        <f t="shared" ref="E28:O28" si="6">E25+SUM(E20:E23) + E26</f>
        <v>1501.4</v>
      </c>
      <c r="F28" s="674">
        <f t="shared" si="6"/>
        <v>1506.7</v>
      </c>
      <c r="G28" s="674">
        <f t="shared" si="6"/>
        <v>1513.7</v>
      </c>
      <c r="H28" s="674">
        <f t="shared" si="6"/>
        <v>1522.4000000000003</v>
      </c>
      <c r="I28" s="674">
        <f t="shared" si="6"/>
        <v>1571.5</v>
      </c>
      <c r="J28" s="674">
        <f t="shared" si="6"/>
        <v>1644.1999999999998</v>
      </c>
      <c r="K28" s="674">
        <f>K25+SUM(K20:K23) + K26</f>
        <v>1803.4</v>
      </c>
      <c r="L28" s="674">
        <f t="shared" si="6"/>
        <v>1696.0999999999997</v>
      </c>
      <c r="M28" s="674">
        <f t="shared" si="6"/>
        <v>1725.9</v>
      </c>
      <c r="N28" s="674">
        <f t="shared" si="6"/>
        <v>1734.2781600000001</v>
      </c>
      <c r="O28" s="674">
        <f t="shared" si="6"/>
        <v>1906.0298400000004</v>
      </c>
      <c r="P28" s="674">
        <f>P25+SUM(P20:P23) + P26</f>
        <v>1884.7240000000002</v>
      </c>
      <c r="Q28" s="674">
        <f>Q25+SUM(Q20:Q23) + Q26</f>
        <v>1829.5239999999999</v>
      </c>
      <c r="R28" s="670">
        <f t="shared" ref="R28" si="7">R25+SUM(R20:R23) + R26</f>
        <v>1821.124</v>
      </c>
      <c r="S28" s="643">
        <f>S25+SUM(S20:S23) + S26+S27</f>
        <v>1768.7994999999999</v>
      </c>
      <c r="T28" s="643">
        <f t="shared" ref="T28:AC28" si="8">T25+SUM(T20:T23) + T26+T27</f>
        <v>1789.8115</v>
      </c>
      <c r="U28" s="643">
        <f t="shared" si="8"/>
        <v>1834.9828600000001</v>
      </c>
      <c r="V28" s="643">
        <f t="shared" si="8"/>
        <v>1841.9828600000001</v>
      </c>
      <c r="W28" s="643">
        <f t="shared" si="8"/>
        <v>1848.9828600000001</v>
      </c>
      <c r="X28" s="643">
        <f t="shared" si="8"/>
        <v>1851.2318600000001</v>
      </c>
      <c r="Y28" s="643">
        <f t="shared" si="8"/>
        <v>1896.1186200000002</v>
      </c>
      <c r="Z28" s="643">
        <f t="shared" si="8"/>
        <v>1903.1186200000002</v>
      </c>
      <c r="AA28" s="643">
        <f t="shared" si="8"/>
        <v>1910.1186200000002</v>
      </c>
      <c r="AB28" s="643">
        <f t="shared" si="8"/>
        <v>1918.1466200000002</v>
      </c>
      <c r="AC28" s="643">
        <f t="shared" si="8"/>
        <v>1951.0444600000003</v>
      </c>
    </row>
    <row r="29" spans="2:101" ht="31.15" customHeight="1" x14ac:dyDescent="0.35">
      <c r="B29" s="1349" t="s">
        <v>535</v>
      </c>
      <c r="C29" s="1350"/>
      <c r="D29" s="660"/>
      <c r="E29" s="661"/>
      <c r="F29" s="661"/>
      <c r="G29" s="661"/>
      <c r="H29" s="661"/>
      <c r="I29" s="661"/>
      <c r="J29" s="661"/>
      <c r="K29" s="661"/>
      <c r="L29" s="661"/>
      <c r="M29" s="661"/>
      <c r="N29" s="661"/>
      <c r="O29" s="661"/>
      <c r="P29" s="661"/>
      <c r="Q29" s="661"/>
      <c r="R29" s="675"/>
      <c r="S29" s="643"/>
      <c r="T29" s="643"/>
      <c r="U29" s="643"/>
      <c r="V29" s="643"/>
      <c r="W29" s="643"/>
      <c r="X29" s="643"/>
      <c r="Y29" s="643"/>
      <c r="Z29" s="643"/>
      <c r="AA29" s="643"/>
      <c r="AB29" s="643"/>
      <c r="AC29" s="744"/>
    </row>
    <row r="30" spans="2:101" x14ac:dyDescent="0.35">
      <c r="B30" s="547" t="s">
        <v>875</v>
      </c>
      <c r="C30" s="156" t="s">
        <v>536</v>
      </c>
      <c r="D30" s="312">
        <f>'Haver Pivoted'!GO37</f>
        <v>734.3</v>
      </c>
      <c r="E30" s="144">
        <f>'Haver Pivoted'!GP37</f>
        <v>745.2</v>
      </c>
      <c r="F30" s="144">
        <f>'Haver Pivoted'!GQ37</f>
        <v>763.2</v>
      </c>
      <c r="G30" s="144">
        <f>'Haver Pivoted'!GR37</f>
        <v>773.5</v>
      </c>
      <c r="H30" s="144">
        <f>'Haver Pivoted'!GS37</f>
        <v>773.8</v>
      </c>
      <c r="I30" s="144">
        <f>'Haver Pivoted'!GT37</f>
        <v>762.4</v>
      </c>
      <c r="J30" s="144">
        <f>'Haver Pivoted'!GU37</f>
        <v>813.3</v>
      </c>
      <c r="K30" s="144">
        <f>'Haver Pivoted'!GV37</f>
        <v>851.9</v>
      </c>
      <c r="L30" s="144">
        <f>'Haver Pivoted'!GW37</f>
        <v>840.6</v>
      </c>
      <c r="M30" s="144">
        <f>'Haver Pivoted'!GX37</f>
        <v>868</v>
      </c>
      <c r="N30" s="144">
        <f>'Haver Pivoted'!GY37</f>
        <v>910.1</v>
      </c>
      <c r="O30" s="144">
        <f>'Haver Pivoted'!GZ37</f>
        <v>918.1</v>
      </c>
      <c r="P30" s="144">
        <f>'Haver Pivoted'!HA37</f>
        <v>915.2</v>
      </c>
      <c r="Q30" s="144">
        <f>'Haver Pivoted'!HB37</f>
        <v>934.7</v>
      </c>
      <c r="R30" s="155">
        <f>'Haver Pivoted'!HC37</f>
        <v>962.7</v>
      </c>
      <c r="S30" s="751"/>
      <c r="T30" s="751"/>
      <c r="U30" s="751"/>
      <c r="V30" s="751"/>
      <c r="W30" s="751"/>
      <c r="X30" s="751"/>
      <c r="Y30" s="751"/>
      <c r="Z30" s="751"/>
      <c r="AA30" s="751"/>
      <c r="AB30" s="751"/>
      <c r="AC30" s="768"/>
    </row>
    <row r="31" spans="2:101" x14ac:dyDescent="0.35">
      <c r="B31" s="179" t="s">
        <v>209</v>
      </c>
      <c r="C31" s="156"/>
      <c r="D31" s="659">
        <f>Medicaid!D36</f>
        <v>589.5</v>
      </c>
      <c r="E31" s="496">
        <f>Medicaid!E36</f>
        <v>598.70000000000005</v>
      </c>
      <c r="F31" s="496">
        <f>Medicaid!F36</f>
        <v>614.4</v>
      </c>
      <c r="G31" s="496">
        <f>Medicaid!G36</f>
        <v>622.4</v>
      </c>
      <c r="H31" s="496">
        <f>Medicaid!H36</f>
        <v>620.70000000000005</v>
      </c>
      <c r="I31" s="496">
        <f>Medicaid!I36</f>
        <v>606.6</v>
      </c>
      <c r="J31" s="496">
        <f>Medicaid!J36</f>
        <v>654.70000000000005</v>
      </c>
      <c r="K31" s="496">
        <f>Medicaid!K36</f>
        <v>690.7</v>
      </c>
      <c r="L31" s="496">
        <f>Medicaid!L36</f>
        <v>678.3</v>
      </c>
      <c r="M31" s="496">
        <f>Medicaid!M36</f>
        <v>704.4</v>
      </c>
      <c r="N31" s="496">
        <f>Medicaid!N36</f>
        <v>744.8</v>
      </c>
      <c r="O31" s="496">
        <f>Medicaid!O36</f>
        <v>748.2</v>
      </c>
      <c r="P31" s="496">
        <f>Medicaid!P36</f>
        <v>745</v>
      </c>
      <c r="Q31" s="496">
        <f>Medicaid!Q36</f>
        <v>763.1</v>
      </c>
      <c r="R31" s="578">
        <f>Medicaid!R36</f>
        <v>789.5</v>
      </c>
      <c r="S31" s="506">
        <f>Medicaid!S36</f>
        <v>806.06276802596028</v>
      </c>
      <c r="T31" s="506">
        <f>Medicaid!T36</f>
        <v>823.61734877628294</v>
      </c>
      <c r="U31" s="506">
        <f>Medicaid!U36</f>
        <v>841.55423636118906</v>
      </c>
      <c r="V31" s="506">
        <f>Medicaid!V36</f>
        <v>859.88175672806801</v>
      </c>
      <c r="W31" s="506">
        <f>Medicaid!W36</f>
        <v>878.60841714829724</v>
      </c>
      <c r="X31" s="506">
        <f>Medicaid!X36</f>
        <v>869.20702208934222</v>
      </c>
      <c r="Y31" s="506">
        <f>Medicaid!Y36</f>
        <v>859.90622500706195</v>
      </c>
      <c r="Z31" s="506">
        <f>Medicaid!Z36</f>
        <v>850.70494947047496</v>
      </c>
      <c r="AA31" s="506">
        <f>Medicaid!AA36</f>
        <v>841.60213056676025</v>
      </c>
      <c r="AB31" s="506">
        <f>Medicaid!AB36</f>
        <v>832.59671477800975</v>
      </c>
      <c r="AC31" s="767">
        <f>Medicaid!AC36</f>
        <v>823.68765985929849</v>
      </c>
    </row>
    <row r="32" spans="2:101" ht="14.5" customHeight="1" x14ac:dyDescent="0.35">
      <c r="B32" s="636" t="s">
        <v>876</v>
      </c>
      <c r="C32" s="284"/>
      <c r="D32" s="658">
        <f>D30-D31</f>
        <v>144.79999999999995</v>
      </c>
      <c r="E32" s="674">
        <f t="shared" ref="E32:O32" si="9">E30-E31</f>
        <v>146.5</v>
      </c>
      <c r="F32" s="674">
        <f t="shared" si="9"/>
        <v>148.80000000000007</v>
      </c>
      <c r="G32" s="674">
        <f t="shared" si="9"/>
        <v>151.10000000000002</v>
      </c>
      <c r="H32" s="674">
        <f t="shared" si="9"/>
        <v>153.09999999999991</v>
      </c>
      <c r="I32" s="674">
        <f t="shared" si="9"/>
        <v>155.79999999999995</v>
      </c>
      <c r="J32" s="674">
        <f t="shared" si="9"/>
        <v>158.59999999999991</v>
      </c>
      <c r="K32" s="674">
        <f t="shared" si="9"/>
        <v>161.19999999999993</v>
      </c>
      <c r="L32" s="674">
        <f t="shared" si="9"/>
        <v>162.30000000000007</v>
      </c>
      <c r="M32" s="674">
        <f t="shared" si="9"/>
        <v>163.60000000000002</v>
      </c>
      <c r="N32" s="674">
        <f t="shared" si="9"/>
        <v>165.30000000000007</v>
      </c>
      <c r="O32" s="674">
        <f t="shared" si="9"/>
        <v>169.89999999999998</v>
      </c>
      <c r="P32" s="674">
        <f>P30-P31</f>
        <v>170.20000000000005</v>
      </c>
      <c r="Q32" s="674">
        <f>Q30-Q31</f>
        <v>171.60000000000002</v>
      </c>
      <c r="R32" s="670">
        <f>R30-R31</f>
        <v>173.20000000000005</v>
      </c>
      <c r="S32" s="643">
        <f t="shared" ref="S32:AC32" si="10">R32*(1+AVERAGE($F$33:$I$33))</f>
        <v>175.88583178345257</v>
      </c>
      <c r="T32" s="643">
        <f t="shared" si="10"/>
        <v>178.61331306095246</v>
      </c>
      <c r="U32" s="643">
        <f t="shared" si="10"/>
        <v>181.38308969586507</v>
      </c>
      <c r="V32" s="643">
        <f t="shared" si="10"/>
        <v>184.19581756703121</v>
      </c>
      <c r="W32" s="643">
        <f t="shared" si="10"/>
        <v>187.0521627240783</v>
      </c>
      <c r="X32" s="643">
        <f t="shared" si="10"/>
        <v>189.95280154513989</v>
      </c>
      <c r="Y32" s="643">
        <f t="shared" si="10"/>
        <v>192.89842089702088</v>
      </c>
      <c r="Z32" s="643">
        <f t="shared" si="10"/>
        <v>195.88971829784666</v>
      </c>
      <c r="AA32" s="643">
        <f t="shared" si="10"/>
        <v>198.92740208223418</v>
      </c>
      <c r="AB32" s="643">
        <f t="shared" si="10"/>
        <v>202.01219156902462</v>
      </c>
      <c r="AC32" s="744">
        <f t="shared" si="10"/>
        <v>205.14481723161694</v>
      </c>
    </row>
    <row r="33" spans="2:29" x14ac:dyDescent="0.35">
      <c r="B33" s="712" t="s">
        <v>877</v>
      </c>
      <c r="C33" s="291"/>
      <c r="D33" s="662"/>
      <c r="E33" s="634">
        <f>E32/D32-1</f>
        <v>1.1740331491713052E-2</v>
      </c>
      <c r="F33" s="634">
        <f t="shared" ref="F33:N33" si="11">F32/E32-1</f>
        <v>1.5699658703072217E-2</v>
      </c>
      <c r="G33" s="634">
        <f t="shared" si="11"/>
        <v>1.5456989247311537E-2</v>
      </c>
      <c r="H33" s="634">
        <f t="shared" si="11"/>
        <v>1.3236267372600086E-2</v>
      </c>
      <c r="I33" s="634">
        <f t="shared" si="11"/>
        <v>1.7635532331809589E-2</v>
      </c>
      <c r="J33" s="634">
        <f t="shared" si="11"/>
        <v>1.7971758664954818E-2</v>
      </c>
      <c r="K33" s="634">
        <f t="shared" si="11"/>
        <v>1.639344262295106E-2</v>
      </c>
      <c r="L33" s="634">
        <f t="shared" si="11"/>
        <v>6.823821339951186E-3</v>
      </c>
      <c r="M33" s="634">
        <f t="shared" si="11"/>
        <v>8.0098582871224178E-3</v>
      </c>
      <c r="N33" s="634">
        <f t="shared" si="11"/>
        <v>1.0391198044010119E-2</v>
      </c>
      <c r="O33" s="634">
        <f>O32/N32-1</f>
        <v>2.7828191167573513E-2</v>
      </c>
      <c r="P33" s="634">
        <f t="shared" ref="P33:R33" si="12">P32/O32-1</f>
        <v>1.7657445556213958E-3</v>
      </c>
      <c r="Q33" s="634">
        <f t="shared" si="12"/>
        <v>8.2256169212688857E-3</v>
      </c>
      <c r="R33" s="669">
        <f t="shared" si="12"/>
        <v>9.3240093240094524E-3</v>
      </c>
      <c r="S33" s="506"/>
      <c r="T33" s="506"/>
      <c r="U33" s="506"/>
      <c r="V33" s="506"/>
      <c r="W33" s="506"/>
      <c r="X33" s="506"/>
      <c r="Y33" s="506"/>
      <c r="Z33" s="506"/>
      <c r="AA33" s="506"/>
      <c r="AB33" s="506"/>
      <c r="AC33" s="767"/>
    </row>
    <row r="59" spans="2:29" x14ac:dyDescent="0.35">
      <c r="P59" s="538"/>
      <c r="Q59" s="538"/>
      <c r="R59" s="538"/>
      <c r="S59" s="538"/>
      <c r="T59" s="538"/>
      <c r="U59" s="538"/>
      <c r="V59" s="538"/>
      <c r="W59" s="538"/>
      <c r="X59" s="538"/>
      <c r="Y59" s="538"/>
      <c r="Z59" s="538"/>
      <c r="AA59" s="538"/>
      <c r="AB59" s="538"/>
      <c r="AC59" s="538"/>
    </row>
    <row r="60" spans="2:29" x14ac:dyDescent="0.35">
      <c r="B60" s="181" t="s">
        <v>400</v>
      </c>
      <c r="D60" s="496"/>
      <c r="E60" s="496"/>
      <c r="F60" s="496"/>
      <c r="G60" s="496"/>
      <c r="H60" s="496"/>
      <c r="I60" s="496"/>
      <c r="J60" s="496"/>
      <c r="K60" s="496"/>
      <c r="L60" s="496"/>
      <c r="M60" s="496"/>
      <c r="N60" s="496"/>
      <c r="O60" s="496"/>
      <c r="P60" s="496"/>
      <c r="Q60" s="496"/>
      <c r="R60" s="496"/>
      <c r="S60" s="496"/>
      <c r="T60" s="496"/>
      <c r="U60" s="496"/>
      <c r="V60" s="496"/>
      <c r="W60" s="496"/>
      <c r="X60" s="496"/>
      <c r="Y60" s="496"/>
      <c r="Z60" s="496"/>
      <c r="AA60" s="496"/>
      <c r="AB60" s="496"/>
      <c r="AC60" s="496"/>
    </row>
    <row r="61" spans="2:29" ht="45.75" customHeight="1" x14ac:dyDescent="0.35">
      <c r="B61" s="1351" t="s">
        <v>539</v>
      </c>
      <c r="C61" s="1351"/>
      <c r="D61" s="1351"/>
      <c r="E61" s="1351"/>
      <c r="F61" s="1351"/>
      <c r="G61" s="1351"/>
      <c r="H61" s="1351"/>
      <c r="I61" s="1351"/>
      <c r="J61" s="1351"/>
      <c r="K61" s="1351"/>
      <c r="L61" s="1351"/>
      <c r="M61" s="1351"/>
      <c r="N61" s="1351"/>
      <c r="O61" s="1351"/>
      <c r="P61" s="1351"/>
      <c r="Q61" s="1351"/>
      <c r="R61" s="1351"/>
      <c r="S61" s="1351"/>
      <c r="T61" s="1351"/>
      <c r="U61" s="1351"/>
      <c r="V61" s="1351"/>
      <c r="W61" s="1351"/>
      <c r="X61" s="1351"/>
      <c r="Y61" s="1351"/>
      <c r="Z61" s="1351"/>
      <c r="AA61" s="1351"/>
      <c r="AB61" s="1351"/>
      <c r="AC61" s="1351"/>
    </row>
    <row r="62" spans="2:29" ht="14.65" customHeight="1" x14ac:dyDescent="0.35">
      <c r="B62" s="1277" t="s">
        <v>540</v>
      </c>
      <c r="C62" s="1278"/>
      <c r="D62" s="1253" t="s">
        <v>325</v>
      </c>
      <c r="E62" s="1254"/>
      <c r="F62" s="1254"/>
      <c r="G62" s="1254"/>
      <c r="H62" s="1254"/>
      <c r="I62" s="1254"/>
      <c r="J62" s="1254"/>
      <c r="K62" s="1254"/>
      <c r="L62" s="1254"/>
      <c r="M62" s="1254"/>
      <c r="N62" s="1254"/>
      <c r="O62" s="1254"/>
      <c r="P62" s="1254"/>
      <c r="Q62" s="1254"/>
      <c r="R62" s="1284"/>
      <c r="S62" s="1285" t="s">
        <v>326</v>
      </c>
      <c r="T62" s="1286"/>
      <c r="U62" s="1286"/>
      <c r="V62" s="1286"/>
      <c r="W62" s="1286"/>
      <c r="X62" s="1286"/>
      <c r="Y62" s="1286"/>
      <c r="Z62" s="1286"/>
      <c r="AA62" s="1286"/>
      <c r="AB62" s="1286"/>
      <c r="AC62" s="1287"/>
    </row>
    <row r="63" spans="2:29" x14ac:dyDescent="0.35">
      <c r="B63" s="1277"/>
      <c r="C63" s="1278"/>
      <c r="D63" s="147">
        <v>2018</v>
      </c>
      <c r="E63" s="1244">
        <v>2019</v>
      </c>
      <c r="F63" s="1245"/>
      <c r="G63" s="1245"/>
      <c r="H63" s="1252"/>
      <c r="I63" s="1244">
        <v>2020</v>
      </c>
      <c r="J63" s="1245"/>
      <c r="K63" s="1245"/>
      <c r="L63" s="1245"/>
      <c r="M63" s="1244">
        <v>2021</v>
      </c>
      <c r="N63" s="1245"/>
      <c r="O63" s="1245"/>
      <c r="P63" s="1252"/>
      <c r="Q63" s="1282">
        <v>2022</v>
      </c>
      <c r="R63" s="1283"/>
      <c r="S63" s="317"/>
      <c r="T63" s="318"/>
      <c r="U63" s="1279">
        <v>2023</v>
      </c>
      <c r="V63" s="1280"/>
      <c r="W63" s="1280"/>
      <c r="X63" s="1280"/>
      <c r="Y63" s="1279">
        <v>2024</v>
      </c>
      <c r="Z63" s="1280"/>
      <c r="AA63" s="1280"/>
      <c r="AB63" s="1281"/>
      <c r="AC63" s="285">
        <v>2025</v>
      </c>
    </row>
    <row r="64" spans="2:29" x14ac:dyDescent="0.35">
      <c r="B64" s="1289"/>
      <c r="C64" s="1290"/>
      <c r="D64" s="154" t="s">
        <v>327</v>
      </c>
      <c r="E64" s="154" t="s">
        <v>328</v>
      </c>
      <c r="F64" s="153" t="s">
        <v>329</v>
      </c>
      <c r="G64" s="153" t="s">
        <v>238</v>
      </c>
      <c r="H64" s="224" t="s">
        <v>327</v>
      </c>
      <c r="I64" s="153" t="s">
        <v>328</v>
      </c>
      <c r="J64" s="153" t="s">
        <v>329</v>
      </c>
      <c r="K64" s="153" t="s">
        <v>238</v>
      </c>
      <c r="L64" s="153" t="s">
        <v>327</v>
      </c>
      <c r="M64" s="154" t="s">
        <v>328</v>
      </c>
      <c r="N64" s="153" t="s">
        <v>329</v>
      </c>
      <c r="O64" s="153" t="s">
        <v>238</v>
      </c>
      <c r="P64" s="224" t="s">
        <v>327</v>
      </c>
      <c r="Q64" s="154" t="s">
        <v>328</v>
      </c>
      <c r="R64" s="224" t="s">
        <v>329</v>
      </c>
      <c r="S64" s="429" t="s">
        <v>238</v>
      </c>
      <c r="T64" s="443" t="s">
        <v>327</v>
      </c>
      <c r="U64" s="428" t="s">
        <v>328</v>
      </c>
      <c r="V64" s="429" t="s">
        <v>329</v>
      </c>
      <c r="W64" s="429" t="s">
        <v>238</v>
      </c>
      <c r="X64" s="429" t="s">
        <v>327</v>
      </c>
      <c r="Y64" s="428" t="s">
        <v>328</v>
      </c>
      <c r="Z64" s="295" t="s">
        <v>329</v>
      </c>
      <c r="AA64" s="429" t="s">
        <v>238</v>
      </c>
      <c r="AB64" s="443" t="s">
        <v>327</v>
      </c>
      <c r="AC64" s="458" t="s">
        <v>328</v>
      </c>
    </row>
    <row r="65" spans="2:29" x14ac:dyDescent="0.35">
      <c r="B65" s="179" t="s">
        <v>541</v>
      </c>
      <c r="D65" s="315"/>
      <c r="E65" s="311"/>
      <c r="F65" s="311"/>
      <c r="G65" s="311"/>
      <c r="H65" s="311"/>
      <c r="I65" s="641">
        <f>(I66-AVERAGE($E66:$H66))</f>
        <v>5.0234999999999914</v>
      </c>
      <c r="J65" s="641">
        <f t="shared" ref="J65:N65" si="13">(J66-AVERAGE($E66:$H66))</f>
        <v>45.406499999999987</v>
      </c>
      <c r="K65" s="641">
        <f t="shared" si="13"/>
        <v>50.178499999999993</v>
      </c>
      <c r="L65" s="641">
        <f t="shared" si="13"/>
        <v>60.014499999999991</v>
      </c>
      <c r="M65" s="641">
        <f t="shared" si="13"/>
        <v>86.04249999999999</v>
      </c>
      <c r="N65" s="641">
        <f t="shared" si="13"/>
        <v>100.69149999999999</v>
      </c>
      <c r="O65" s="641">
        <f>(O66-AVERAGE($E66:$H66))</f>
        <v>95.460499999999996</v>
      </c>
      <c r="P65" s="641">
        <f>(P66-AVERAGE($E66:$H66))</f>
        <v>100.72550000000001</v>
      </c>
      <c r="Q65" s="641">
        <f>(Q66-AVERAGE($E66:$H66))</f>
        <v>80.643499999999989</v>
      </c>
      <c r="R65" s="668">
        <f>(R66-AVERAGE($E66:$H66))</f>
        <v>63.702499999999993</v>
      </c>
      <c r="S65" s="743">
        <v>5</v>
      </c>
      <c r="T65" s="743">
        <v>0</v>
      </c>
      <c r="U65" s="275"/>
      <c r="V65" s="275"/>
      <c r="W65" s="275"/>
      <c r="X65" s="275"/>
      <c r="Y65" s="275"/>
      <c r="Z65" s="275"/>
      <c r="AA65" s="275"/>
      <c r="AB65" s="275"/>
      <c r="AC65" s="276"/>
    </row>
    <row r="66" spans="2:29" x14ac:dyDescent="0.35">
      <c r="B66" s="179" t="s">
        <v>160</v>
      </c>
      <c r="C66" s="156" t="s">
        <v>542</v>
      </c>
      <c r="D66" s="312">
        <f>'Haver Pivoted'!GO66</f>
        <v>57.347000000000001</v>
      </c>
      <c r="E66" s="144">
        <f>'Haver Pivoted'!GP66</f>
        <v>56.009</v>
      </c>
      <c r="F66" s="144">
        <f>'Haver Pivoted'!GQ66</f>
        <v>54.273000000000003</v>
      </c>
      <c r="G66" s="144">
        <f>'Haver Pivoted'!GR66</f>
        <v>54.103999999999999</v>
      </c>
      <c r="H66" s="144">
        <f>'Haver Pivoted'!GS66</f>
        <v>54.46</v>
      </c>
      <c r="I66" s="144">
        <f>'Haver Pivoted'!GT66</f>
        <v>59.734999999999999</v>
      </c>
      <c r="J66" s="144">
        <f>'Haver Pivoted'!GU66</f>
        <v>100.11799999999999</v>
      </c>
      <c r="K66" s="144">
        <f>'Haver Pivoted'!GV66</f>
        <v>104.89</v>
      </c>
      <c r="L66" s="144">
        <f>'Haver Pivoted'!GW66</f>
        <v>114.726</v>
      </c>
      <c r="M66" s="144">
        <f>'Haver Pivoted'!GX66</f>
        <v>140.75399999999999</v>
      </c>
      <c r="N66" s="144">
        <f>'Haver Pivoted'!GY66</f>
        <v>155.40299999999999</v>
      </c>
      <c r="O66" s="144">
        <f>'Haver Pivoted'!GZ66</f>
        <v>150.172</v>
      </c>
      <c r="P66" s="144">
        <f>'Haver Pivoted'!HA66</f>
        <v>155.43700000000001</v>
      </c>
      <c r="Q66" s="144">
        <f>'Haver Pivoted'!HB66</f>
        <v>135.35499999999999</v>
      </c>
      <c r="R66" s="155">
        <f>'Haver Pivoted'!HC66</f>
        <v>118.414</v>
      </c>
      <c r="S66" s="429"/>
      <c r="T66" s="429"/>
      <c r="U66" s="429"/>
      <c r="V66" s="429"/>
      <c r="W66" s="429"/>
      <c r="X66" s="429"/>
      <c r="Y66" s="429"/>
      <c r="Z66" s="429"/>
      <c r="AA66" s="429"/>
      <c r="AB66" s="429"/>
      <c r="AC66" s="443"/>
    </row>
    <row r="67" spans="2:29" ht="28.9" customHeight="1" x14ac:dyDescent="0.35">
      <c r="B67" s="150" t="s">
        <v>543</v>
      </c>
      <c r="C67" s="291"/>
      <c r="D67" s="313"/>
      <c r="E67" s="158"/>
      <c r="F67" s="158"/>
      <c r="G67" s="158"/>
      <c r="H67" s="158"/>
      <c r="I67" s="158"/>
      <c r="J67" s="158">
        <f t="shared" ref="J67:R67" si="14">J66-$H66</f>
        <v>45.657999999999994</v>
      </c>
      <c r="K67" s="158">
        <f t="shared" si="14"/>
        <v>50.43</v>
      </c>
      <c r="L67" s="158">
        <f t="shared" si="14"/>
        <v>60.265999999999998</v>
      </c>
      <c r="M67" s="158">
        <f t="shared" si="14"/>
        <v>86.293999999999983</v>
      </c>
      <c r="N67" s="158">
        <f>N66-$H66</f>
        <v>100.94299999999998</v>
      </c>
      <c r="O67" s="158">
        <f>O66-$H66</f>
        <v>95.711999999999989</v>
      </c>
      <c r="P67" s="158">
        <f t="shared" si="14"/>
        <v>100.977</v>
      </c>
      <c r="Q67" s="158">
        <f t="shared" si="14"/>
        <v>80.894999999999982</v>
      </c>
      <c r="R67" s="162">
        <f t="shared" si="14"/>
        <v>63.954000000000001</v>
      </c>
      <c r="S67" s="303"/>
      <c r="T67" s="303"/>
      <c r="U67" s="303"/>
      <c r="V67" s="303"/>
      <c r="W67" s="303"/>
      <c r="X67" s="303"/>
      <c r="Y67" s="303"/>
      <c r="Z67" s="303"/>
      <c r="AA67" s="303"/>
      <c r="AB67" s="303"/>
      <c r="AC67" s="304"/>
    </row>
    <row r="68" spans="2:29" ht="35.65" customHeight="1" x14ac:dyDescent="0.35"/>
    <row r="69" spans="2:29" x14ac:dyDescent="0.35">
      <c r="B69" s="181" t="s">
        <v>413</v>
      </c>
    </row>
    <row r="70" spans="2:29" x14ac:dyDescent="0.35">
      <c r="B70" s="1246" t="s">
        <v>874</v>
      </c>
      <c r="C70" s="1247"/>
      <c r="D70" s="1253" t="s">
        <v>325</v>
      </c>
      <c r="E70" s="1254"/>
      <c r="F70" s="1254"/>
      <c r="G70" s="1254"/>
      <c r="H70" s="1254"/>
      <c r="I70" s="1254"/>
      <c r="J70" s="1254"/>
      <c r="K70" s="1254"/>
      <c r="L70" s="1254"/>
      <c r="M70" s="1254"/>
      <c r="N70" s="1254"/>
      <c r="O70" s="1254"/>
      <c r="P70" s="1254"/>
      <c r="Q70" s="1254"/>
      <c r="R70" s="1284"/>
      <c r="S70" s="1285" t="s">
        <v>326</v>
      </c>
      <c r="T70" s="1286"/>
      <c r="U70" s="1286"/>
      <c r="V70" s="1286"/>
      <c r="W70" s="1286"/>
      <c r="X70" s="1286"/>
      <c r="Y70" s="1286"/>
      <c r="Z70" s="1286"/>
      <c r="AA70" s="1286"/>
      <c r="AB70" s="1286"/>
      <c r="AC70" s="1287"/>
    </row>
    <row r="71" spans="2:29" x14ac:dyDescent="0.35">
      <c r="B71" s="1248"/>
      <c r="C71" s="1249"/>
      <c r="D71" s="147">
        <v>2018</v>
      </c>
      <c r="E71" s="1244">
        <v>2019</v>
      </c>
      <c r="F71" s="1245"/>
      <c r="G71" s="1245"/>
      <c r="H71" s="1252"/>
      <c r="I71" s="1244">
        <v>2020</v>
      </c>
      <c r="J71" s="1245"/>
      <c r="K71" s="1245"/>
      <c r="L71" s="1245"/>
      <c r="M71" s="1244">
        <v>2021</v>
      </c>
      <c r="N71" s="1245"/>
      <c r="O71" s="1245"/>
      <c r="P71" s="1252"/>
      <c r="Q71" s="1282">
        <v>2022</v>
      </c>
      <c r="R71" s="1283"/>
      <c r="S71" s="317"/>
      <c r="T71" s="318"/>
      <c r="U71" s="1279">
        <v>2023</v>
      </c>
      <c r="V71" s="1280"/>
      <c r="W71" s="1280"/>
      <c r="X71" s="1280"/>
      <c r="Y71" s="1279">
        <v>2024</v>
      </c>
      <c r="Z71" s="1280"/>
      <c r="AA71" s="1280"/>
      <c r="AB71" s="1281"/>
      <c r="AC71" s="285">
        <v>2025</v>
      </c>
    </row>
    <row r="72" spans="2:29" x14ac:dyDescent="0.35">
      <c r="B72" s="1248"/>
      <c r="C72" s="1249"/>
      <c r="D72" s="154" t="s">
        <v>327</v>
      </c>
      <c r="E72" s="154" t="s">
        <v>328</v>
      </c>
      <c r="F72" s="153" t="s">
        <v>329</v>
      </c>
      <c r="G72" s="153" t="s">
        <v>238</v>
      </c>
      <c r="H72" s="224" t="s">
        <v>327</v>
      </c>
      <c r="I72" s="153" t="s">
        <v>328</v>
      </c>
      <c r="J72" s="153" t="s">
        <v>329</v>
      </c>
      <c r="K72" s="153" t="s">
        <v>238</v>
      </c>
      <c r="L72" s="153" t="s">
        <v>327</v>
      </c>
      <c r="M72" s="154" t="s">
        <v>328</v>
      </c>
      <c r="N72" s="153" t="s">
        <v>329</v>
      </c>
      <c r="O72" s="153" t="s">
        <v>238</v>
      </c>
      <c r="P72" s="224" t="s">
        <v>327</v>
      </c>
      <c r="Q72" s="154" t="s">
        <v>328</v>
      </c>
      <c r="R72" s="224" t="s">
        <v>329</v>
      </c>
      <c r="S72" s="429" t="s">
        <v>238</v>
      </c>
      <c r="T72" s="443" t="s">
        <v>327</v>
      </c>
      <c r="U72" s="428" t="s">
        <v>328</v>
      </c>
      <c r="V72" s="429" t="s">
        <v>329</v>
      </c>
      <c r="W72" s="429" t="s">
        <v>238</v>
      </c>
      <c r="X72" s="429" t="s">
        <v>327</v>
      </c>
      <c r="Y72" s="428" t="s">
        <v>328</v>
      </c>
      <c r="Z72" s="295" t="s">
        <v>329</v>
      </c>
      <c r="AA72" s="429" t="s">
        <v>238</v>
      </c>
      <c r="AB72" s="443" t="s">
        <v>327</v>
      </c>
      <c r="AC72" s="458" t="s">
        <v>328</v>
      </c>
    </row>
    <row r="73" spans="2:29" x14ac:dyDescent="0.35">
      <c r="B73" s="635" t="s">
        <v>528</v>
      </c>
      <c r="C73" s="537" t="s">
        <v>529</v>
      </c>
      <c r="D73" s="663">
        <f>'Haver Pivoted'!GO31</f>
        <v>2224.3000000000002</v>
      </c>
      <c r="E73" s="641">
        <f>'Haver Pivoted'!GP31</f>
        <v>2303.4</v>
      </c>
      <c r="F73" s="641">
        <f>'Haver Pivoted'!GQ31</f>
        <v>2319.4</v>
      </c>
      <c r="G73" s="641">
        <f>'Haver Pivoted'!GR31</f>
        <v>2333.8000000000002</v>
      </c>
      <c r="H73" s="641">
        <f>'Haver Pivoted'!GS31</f>
        <v>2346.4</v>
      </c>
      <c r="I73" s="641">
        <f>'Haver Pivoted'!GT31</f>
        <v>2407.5</v>
      </c>
      <c r="J73" s="641">
        <f>'Haver Pivoted'!GU31</f>
        <v>4698.7</v>
      </c>
      <c r="K73" s="641">
        <f>'Haver Pivoted'!GV31</f>
        <v>3492.4</v>
      </c>
      <c r="L73" s="641">
        <f>'Haver Pivoted'!GW31</f>
        <v>2881.6</v>
      </c>
      <c r="M73" s="641">
        <f>'Haver Pivoted'!GX31</f>
        <v>5094.8</v>
      </c>
      <c r="N73" s="641">
        <f>'Haver Pivoted'!GY31</f>
        <v>3395.6</v>
      </c>
      <c r="O73" s="641">
        <f>'Haver Pivoted'!GZ31</f>
        <v>3146.3</v>
      </c>
      <c r="P73" s="641">
        <f>'Haver Pivoted'!HA31</f>
        <v>2937.4</v>
      </c>
      <c r="Q73" s="641">
        <f>'Haver Pivoted'!HB31</f>
        <v>2863</v>
      </c>
      <c r="R73" s="668">
        <f>'Haver Pivoted'!HC31</f>
        <v>2846.5</v>
      </c>
      <c r="S73" s="317"/>
      <c r="T73" s="317"/>
      <c r="U73" s="317"/>
      <c r="V73" s="317"/>
      <c r="W73" s="317"/>
      <c r="X73" s="317"/>
      <c r="Y73" s="317"/>
      <c r="Z73" s="317"/>
      <c r="AA73" s="317"/>
      <c r="AB73" s="317"/>
      <c r="AC73" s="318"/>
    </row>
    <row r="74" spans="2:29" ht="27.65" customHeight="1" x14ac:dyDescent="0.35">
      <c r="B74" s="187" t="s">
        <v>870</v>
      </c>
      <c r="C74" s="156"/>
      <c r="D74" s="714">
        <f t="shared" ref="D74:R74" si="15">SUM(D14:D22)</f>
        <v>813.09999999999991</v>
      </c>
      <c r="E74" s="301">
        <f t="shared" si="15"/>
        <v>832</v>
      </c>
      <c r="F74" s="301">
        <f t="shared" si="15"/>
        <v>842.69999999999993</v>
      </c>
      <c r="G74" s="301">
        <f t="shared" si="15"/>
        <v>850.1</v>
      </c>
      <c r="H74" s="301">
        <f t="shared" si="15"/>
        <v>854</v>
      </c>
      <c r="I74" s="301">
        <f t="shared" si="15"/>
        <v>871.02350000000001</v>
      </c>
      <c r="J74" s="301">
        <f t="shared" si="15"/>
        <v>3187.1064999999999</v>
      </c>
      <c r="K74" s="301">
        <f t="shared" si="15"/>
        <v>1850.5785000000001</v>
      </c>
      <c r="L74" s="301">
        <f t="shared" si="15"/>
        <v>1300.1145000000001</v>
      </c>
      <c r="M74" s="301">
        <f t="shared" si="15"/>
        <v>3501.0425</v>
      </c>
      <c r="N74" s="301">
        <f t="shared" si="15"/>
        <v>1824.9133399999998</v>
      </c>
      <c r="O74" s="301">
        <f t="shared" si="15"/>
        <v>1573.4639933333328</v>
      </c>
      <c r="P74" s="301">
        <f t="shared" si="15"/>
        <v>1378.1348333333328</v>
      </c>
      <c r="Q74" s="301">
        <f t="shared" si="15"/>
        <v>1205.9195</v>
      </c>
      <c r="R74" s="774">
        <f t="shared" si="15"/>
        <v>1180.8785</v>
      </c>
      <c r="S74" s="751"/>
      <c r="T74" s="751"/>
      <c r="U74" s="751"/>
      <c r="V74" s="751"/>
      <c r="W74" s="751"/>
      <c r="X74" s="751"/>
      <c r="Y74" s="751"/>
      <c r="Z74" s="751"/>
      <c r="AA74" s="751"/>
      <c r="AB74" s="751"/>
      <c r="AC74" s="768"/>
    </row>
    <row r="75" spans="2:29" ht="27.65" customHeight="1" x14ac:dyDescent="0.35">
      <c r="B75" s="187" t="s">
        <v>871</v>
      </c>
      <c r="C75" s="156"/>
      <c r="D75" s="714">
        <f>D73-D74</f>
        <v>1411.2000000000003</v>
      </c>
      <c r="E75" s="301">
        <f t="shared" ref="E75:O75" si="16">E73-E74</f>
        <v>1471.4</v>
      </c>
      <c r="F75" s="301">
        <f t="shared" si="16"/>
        <v>1476.7000000000003</v>
      </c>
      <c r="G75" s="301">
        <f t="shared" si="16"/>
        <v>1483.7000000000003</v>
      </c>
      <c r="H75" s="301">
        <f t="shared" si="16"/>
        <v>1492.4</v>
      </c>
      <c r="I75" s="301">
        <f t="shared" si="16"/>
        <v>1536.4765</v>
      </c>
      <c r="J75" s="301">
        <f t="shared" si="16"/>
        <v>1511.5934999999999</v>
      </c>
      <c r="K75" s="301">
        <f t="shared" si="16"/>
        <v>1641.8215</v>
      </c>
      <c r="L75" s="301">
        <f t="shared" si="16"/>
        <v>1581.4854999999998</v>
      </c>
      <c r="M75" s="301">
        <f t="shared" si="16"/>
        <v>1593.7575000000002</v>
      </c>
      <c r="N75" s="301">
        <f t="shared" si="16"/>
        <v>1570.6866600000001</v>
      </c>
      <c r="O75" s="301">
        <f t="shared" si="16"/>
        <v>1572.8360066666673</v>
      </c>
      <c r="P75" s="301">
        <f>P73-P74</f>
        <v>1559.2651666666673</v>
      </c>
      <c r="Q75" s="301">
        <f>Q73-Q74</f>
        <v>1657.0805</v>
      </c>
      <c r="R75" s="774">
        <f>R73-R74</f>
        <v>1665.6215</v>
      </c>
      <c r="S75" s="751"/>
      <c r="T75" s="751"/>
      <c r="U75" s="751"/>
      <c r="V75" s="751"/>
      <c r="W75" s="751"/>
      <c r="X75" s="751"/>
      <c r="Y75" s="751"/>
      <c r="Z75" s="751"/>
      <c r="AA75" s="751"/>
      <c r="AB75" s="751"/>
      <c r="AC75" s="768"/>
    </row>
    <row r="76" spans="2:29" ht="24" customHeight="1" x14ac:dyDescent="0.35">
      <c r="B76" s="179" t="s">
        <v>872</v>
      </c>
      <c r="C76" s="156"/>
      <c r="D76" s="714">
        <f t="shared" ref="D76:I76" si="17">D12-D14-D15-D21</f>
        <v>1411.2</v>
      </c>
      <c r="E76" s="301">
        <f t="shared" si="17"/>
        <v>1471.4</v>
      </c>
      <c r="F76" s="301">
        <f t="shared" si="17"/>
        <v>1476.7</v>
      </c>
      <c r="G76" s="301">
        <f t="shared" si="17"/>
        <v>1483.7</v>
      </c>
      <c r="H76" s="301">
        <f t="shared" si="17"/>
        <v>1492.4000000000003</v>
      </c>
      <c r="I76" s="301">
        <f t="shared" si="17"/>
        <v>1541.5000000000002</v>
      </c>
      <c r="J76" s="775">
        <f>I76+($H$76-$E$76)/3</f>
        <v>1548.5000000000002</v>
      </c>
      <c r="K76" s="775">
        <f>J76+($H$76-$E$76)/3</f>
        <v>1555.5000000000002</v>
      </c>
      <c r="L76" s="775">
        <f>K76+($H$76-$E$76)/3</f>
        <v>1562.5000000000002</v>
      </c>
      <c r="M76" s="779">
        <f>L76+($H$76-$E$76)/3 +(M77-L77)</f>
        <v>1586.9430000000002</v>
      </c>
      <c r="N76" s="775">
        <f>M76+($H$76-$E$76)/3</f>
        <v>1593.9430000000002</v>
      </c>
      <c r="O76" s="775">
        <f>N76+($H$76-$E$76)/3</f>
        <v>1600.9430000000002</v>
      </c>
      <c r="P76" s="775">
        <f>O76+($H$76-$E$76)/3</f>
        <v>1607.9430000000002</v>
      </c>
      <c r="Q76" s="779">
        <f>P76+($H$76-$E$76)/3 + 0.06*Q77</f>
        <v>1686.8657200000002</v>
      </c>
      <c r="R76" s="770">
        <f>Q76+($H$76-$E$76)/3</f>
        <v>1693.8657200000002</v>
      </c>
      <c r="S76" s="755">
        <f>R76+($H$76-$E$76)/3</f>
        <v>1700.8657200000002</v>
      </c>
      <c r="T76" s="755">
        <f>S76+($H$76-$E$76)/3</f>
        <v>1707.8657200000002</v>
      </c>
      <c r="U76" s="756">
        <f>T76+($H$76-$E$76)/3 + 0.08 *U77</f>
        <v>1813.3370800000002</v>
      </c>
      <c r="V76" s="755">
        <f>U76+($H$76-$E$76)/3</f>
        <v>1820.3370800000002</v>
      </c>
      <c r="W76" s="755">
        <f>V76+($H$76-$E$76)/3</f>
        <v>1827.3370800000002</v>
      </c>
      <c r="X76" s="755">
        <f>W76+($H$76-$E$76)/3</f>
        <v>1834.3370800000002</v>
      </c>
      <c r="Y76" s="756">
        <f>X76+($H$76-$E$76)/3 + 0.03*Y77</f>
        <v>1879.2238400000003</v>
      </c>
      <c r="Z76" s="755">
        <f>Y76+($H$76-$E$76)/3</f>
        <v>1886.2238400000003</v>
      </c>
      <c r="AA76" s="755">
        <f>Z76+($H$76-$E$76)/3</f>
        <v>1893.2238400000003</v>
      </c>
      <c r="AB76" s="755">
        <f>AA76+($H$76-$E$76)/3</f>
        <v>1900.2238400000003</v>
      </c>
      <c r="AC76" s="757">
        <f>AB76+($H$76-$E$76)/3 + 0.02*AC77</f>
        <v>1933.1216800000004</v>
      </c>
    </row>
    <row r="77" spans="2:29" x14ac:dyDescent="0.35">
      <c r="B77" s="179" t="s">
        <v>537</v>
      </c>
      <c r="C77" s="156" t="s">
        <v>538</v>
      </c>
      <c r="D77" s="179">
        <f>'Haver Pivoted'!GO88/1000</f>
        <v>983.88599999999997</v>
      </c>
      <c r="E77" s="156">
        <f>'Haver Pivoted'!GP88/1000</f>
        <v>1019.2089999999999</v>
      </c>
      <c r="F77" s="156">
        <f>'Haver Pivoted'!GQ88/1000</f>
        <v>1026.6220000000001</v>
      </c>
      <c r="G77" s="156">
        <f>'Haver Pivoted'!GR88/1000</f>
        <v>1034.357</v>
      </c>
      <c r="H77" s="156">
        <f>'Haver Pivoted'!GS88/1000</f>
        <v>1042.7819999999999</v>
      </c>
      <c r="I77" s="156">
        <f>'Haver Pivoted'!GT88/1000</f>
        <v>1068.2280000000001</v>
      </c>
      <c r="J77" s="156">
        <f>'Haver Pivoted'!GU88/1000</f>
        <v>1074.912</v>
      </c>
      <c r="K77" s="156">
        <f>'Haver Pivoted'!GV88/1000</f>
        <v>1080.3399999999999</v>
      </c>
      <c r="L77" s="156">
        <f>'Haver Pivoted'!GW88/1000</f>
        <v>1088.2329999999999</v>
      </c>
      <c r="M77" s="156">
        <f>'Haver Pivoted'!GX88/1000</f>
        <v>1105.6759999999999</v>
      </c>
      <c r="N77" s="156">
        <f>'Haver Pivoted'!GY88/1000</f>
        <v>1109.3710000000001</v>
      </c>
      <c r="O77" s="156">
        <f>'Haver Pivoted'!GZ88/1000</f>
        <v>1116.8150000000001</v>
      </c>
      <c r="P77" s="156">
        <f>'Haver Pivoted'!HA88/1000</f>
        <v>1126.539</v>
      </c>
      <c r="Q77" s="156">
        <f>'Haver Pivoted'!HB88/1000</f>
        <v>1198.712</v>
      </c>
      <c r="R77" s="707">
        <f>'Haver Pivoted'!HC88/1000</f>
        <v>1206.8920000000001</v>
      </c>
      <c r="S77" s="751">
        <f t="shared" ref="S77:AC77" si="18">R77+8</f>
        <v>1214.8920000000001</v>
      </c>
      <c r="T77" s="751">
        <f t="shared" si="18"/>
        <v>1222.8920000000001</v>
      </c>
      <c r="U77" s="751">
        <f t="shared" si="18"/>
        <v>1230.8920000000001</v>
      </c>
      <c r="V77" s="751">
        <f t="shared" si="18"/>
        <v>1238.8920000000001</v>
      </c>
      <c r="W77" s="751">
        <f t="shared" si="18"/>
        <v>1246.8920000000001</v>
      </c>
      <c r="X77" s="751">
        <f t="shared" si="18"/>
        <v>1254.8920000000001</v>
      </c>
      <c r="Y77" s="751">
        <f t="shared" si="18"/>
        <v>1262.8920000000001</v>
      </c>
      <c r="Z77" s="751">
        <f t="shared" si="18"/>
        <v>1270.8920000000001</v>
      </c>
      <c r="AA77" s="751">
        <f t="shared" si="18"/>
        <v>1278.8920000000001</v>
      </c>
      <c r="AB77" s="751">
        <f t="shared" si="18"/>
        <v>1286.8920000000001</v>
      </c>
      <c r="AC77" s="768">
        <f t="shared" si="18"/>
        <v>1294.8920000000001</v>
      </c>
    </row>
    <row r="78" spans="2:29" ht="69" customHeight="1" x14ac:dyDescent="0.35">
      <c r="B78" s="769" t="s">
        <v>1855</v>
      </c>
      <c r="C78" s="291"/>
      <c r="D78" s="761">
        <f>D75-D76</f>
        <v>0</v>
      </c>
      <c r="E78" s="758">
        <f t="shared" ref="E78:O78" si="19">E75-E76</f>
        <v>0</v>
      </c>
      <c r="F78" s="758">
        <f t="shared" si="19"/>
        <v>0</v>
      </c>
      <c r="G78" s="758">
        <f t="shared" si="19"/>
        <v>0</v>
      </c>
      <c r="H78" s="758">
        <f t="shared" si="19"/>
        <v>0</v>
      </c>
      <c r="I78" s="758">
        <f t="shared" si="19"/>
        <v>-5.0235000000002401</v>
      </c>
      <c r="J78" s="758">
        <f t="shared" si="19"/>
        <v>-36.906500000000278</v>
      </c>
      <c r="K78" s="758">
        <f t="shared" si="19"/>
        <v>86.321499999999787</v>
      </c>
      <c r="L78" s="758">
        <f t="shared" si="19"/>
        <v>18.985499999999547</v>
      </c>
      <c r="M78" s="758">
        <f t="shared" si="19"/>
        <v>6.8144999999999527</v>
      </c>
      <c r="N78" s="758">
        <f t="shared" si="19"/>
        <v>-23.256340000000137</v>
      </c>
      <c r="O78" s="758">
        <f t="shared" si="19"/>
        <v>-28.106993333332866</v>
      </c>
      <c r="P78" s="758">
        <f>P75-P76</f>
        <v>-48.677833333332956</v>
      </c>
      <c r="Q78" s="758">
        <f>Q75-Q76</f>
        <v>-29.785220000000209</v>
      </c>
      <c r="R78" s="778">
        <f>R75-R76</f>
        <v>-28.244220000000269</v>
      </c>
      <c r="S78" s="759">
        <f>R78</f>
        <v>-28.244220000000269</v>
      </c>
      <c r="T78" s="759">
        <f>S78</f>
        <v>-28.244220000000269</v>
      </c>
      <c r="U78" s="759">
        <f t="shared" ref="U78:AC78" si="20">T78</f>
        <v>-28.244220000000269</v>
      </c>
      <c r="V78" s="759">
        <f t="shared" si="20"/>
        <v>-28.244220000000269</v>
      </c>
      <c r="W78" s="759">
        <f t="shared" si="20"/>
        <v>-28.244220000000269</v>
      </c>
      <c r="X78" s="759">
        <f t="shared" si="20"/>
        <v>-28.244220000000269</v>
      </c>
      <c r="Y78" s="759">
        <f t="shared" si="20"/>
        <v>-28.244220000000269</v>
      </c>
      <c r="Z78" s="759">
        <f t="shared" si="20"/>
        <v>-28.244220000000269</v>
      </c>
      <c r="AA78" s="759">
        <f t="shared" si="20"/>
        <v>-28.244220000000269</v>
      </c>
      <c r="AB78" s="759">
        <f t="shared" si="20"/>
        <v>-28.244220000000269</v>
      </c>
      <c r="AC78" s="759">
        <f t="shared" si="20"/>
        <v>-28.244220000000269</v>
      </c>
    </row>
    <row r="79" spans="2:29" x14ac:dyDescent="0.35">
      <c r="B79" s="77" t="s">
        <v>1854</v>
      </c>
      <c r="D79" s="156"/>
      <c r="E79" s="156"/>
      <c r="F79" s="156"/>
      <c r="G79" s="156"/>
      <c r="H79" s="156"/>
      <c r="I79" s="156"/>
      <c r="J79" s="156"/>
      <c r="K79" s="156"/>
      <c r="L79" s="156"/>
      <c r="M79" s="301"/>
      <c r="N79" s="301"/>
      <c r="O79" s="301"/>
      <c r="P79" s="156"/>
    </row>
    <row r="80" spans="2:29" x14ac:dyDescent="0.35">
      <c r="B80" s="635" t="s">
        <v>878</v>
      </c>
      <c r="C80" s="748"/>
      <c r="D80" s="763">
        <v>2021</v>
      </c>
      <c r="E80" s="763">
        <v>2022</v>
      </c>
      <c r="F80" s="763">
        <v>2023</v>
      </c>
      <c r="G80" s="764">
        <v>2024</v>
      </c>
      <c r="R80" s="1171"/>
    </row>
    <row r="81" spans="2:7" x14ac:dyDescent="0.35">
      <c r="B81" s="762" t="s">
        <v>879</v>
      </c>
      <c r="C81" s="773"/>
      <c r="D81" s="745">
        <v>3605.8330000000001</v>
      </c>
      <c r="E81" s="745">
        <v>2900</v>
      </c>
      <c r="F81" s="745">
        <f>E81*1.02</f>
        <v>2958</v>
      </c>
      <c r="G81" s="746">
        <f>F81*1.06</f>
        <v>3135.48</v>
      </c>
    </row>
    <row r="82" spans="2:7" x14ac:dyDescent="0.35">
      <c r="B82" s="762" t="s">
        <v>882</v>
      </c>
      <c r="C82" s="747"/>
      <c r="D82" s="197">
        <f>AVERAGE(Medicare!L10:O10)</f>
        <v>865</v>
      </c>
      <c r="E82" s="197">
        <f>AVERAGE(Medicare!P10:S10)</f>
        <v>909.47762388977196</v>
      </c>
      <c r="F82" s="197">
        <f>AVERAGE(Medicare!T10:W10)</f>
        <v>965.49503061470784</v>
      </c>
      <c r="G82" s="771">
        <f>AVERAGE(Medicare!X10:AA10)</f>
        <v>1050.531756926868</v>
      </c>
    </row>
    <row r="83" spans="2:7" ht="13.15" customHeight="1" x14ac:dyDescent="0.35">
      <c r="B83" s="762" t="s">
        <v>880</v>
      </c>
      <c r="C83" s="747"/>
      <c r="D83" s="197">
        <f>D81-D82</f>
        <v>2740.8330000000001</v>
      </c>
      <c r="E83" s="197">
        <f t="shared" ref="E83:G83" si="21">E81-E82</f>
        <v>1990.5223761102279</v>
      </c>
      <c r="F83" s="197">
        <f t="shared" si="21"/>
        <v>1992.504969385292</v>
      </c>
      <c r="G83" s="771">
        <f t="shared" si="21"/>
        <v>2084.9482430731323</v>
      </c>
    </row>
    <row r="84" spans="2:7" x14ac:dyDescent="0.35">
      <c r="B84" s="762" t="s">
        <v>883</v>
      </c>
      <c r="C84" s="747"/>
      <c r="D84" s="197">
        <f>AVERAGE(L12:O12)</f>
        <v>3629.5749999999998</v>
      </c>
      <c r="E84" s="197">
        <f>AVERAGE(P12:S12)</f>
        <v>2859.2851129248593</v>
      </c>
      <c r="F84" s="197">
        <f>AVERAGE(T12:W12)</f>
        <v>2809.3164325591524</v>
      </c>
      <c r="G84" s="771">
        <f>AVERAGE(X12:AA12)</f>
        <v>2953.6715897046461</v>
      </c>
    </row>
    <row r="85" spans="2:7" x14ac:dyDescent="0.35">
      <c r="B85" s="762" t="s">
        <v>882</v>
      </c>
      <c r="C85" s="747"/>
      <c r="D85" s="197">
        <f>AVERAGE(Medicare!L10:O10)</f>
        <v>865</v>
      </c>
      <c r="E85" s="197">
        <f>AVERAGE(Medicare!P10:S10)</f>
        <v>909.47762388977196</v>
      </c>
      <c r="F85" s="197">
        <f>AVERAGE(Medicare!T10:W10)</f>
        <v>965.49503061470784</v>
      </c>
      <c r="G85" s="771">
        <f>AVERAGE(Medicare!X10:AA10)</f>
        <v>1050.531756926868</v>
      </c>
    </row>
    <row r="86" spans="2:7" x14ac:dyDescent="0.35">
      <c r="B86" s="762" t="s">
        <v>600</v>
      </c>
      <c r="C86" s="747"/>
      <c r="D86" s="197">
        <f>AVERAGE(L25:O25)</f>
        <v>1586.0822500000002</v>
      </c>
      <c r="E86" s="197">
        <f>AVERAGE(P25:S25)</f>
        <v>1672.3850400000001</v>
      </c>
      <c r="F86" s="197">
        <f>AVERAGE(T25:W25)</f>
        <v>1792.2192400000001</v>
      </c>
      <c r="G86" s="771">
        <f>AVERAGE(X25:AA25)</f>
        <v>1873.2521500000005</v>
      </c>
    </row>
    <row r="87" spans="2:7" ht="27.65" customHeight="1" x14ac:dyDescent="0.35">
      <c r="B87" s="749" t="s">
        <v>881</v>
      </c>
      <c r="C87" s="150"/>
      <c r="D87" s="702"/>
      <c r="E87" s="765">
        <v>1.157</v>
      </c>
      <c r="F87" s="765">
        <v>1.0109999999999999</v>
      </c>
      <c r="G87" s="772">
        <v>1.0529999999999999</v>
      </c>
    </row>
    <row r="88" spans="2:7" x14ac:dyDescent="0.35">
      <c r="B88" s="156" t="s">
        <v>884</v>
      </c>
      <c r="D88" s="766">
        <f>D84-D81</f>
        <v>23.741999999999734</v>
      </c>
      <c r="E88" s="766">
        <f>E84-E81</f>
        <v>-40.714887075140723</v>
      </c>
      <c r="F88" s="766">
        <f>F84-F81</f>
        <v>-148.68356744084758</v>
      </c>
      <c r="G88" s="766">
        <f t="shared" ref="G88" si="22">G84-G81</f>
        <v>-181.80841029535395</v>
      </c>
    </row>
    <row r="90" spans="2:7" x14ac:dyDescent="0.35">
      <c r="B90" t="s">
        <v>879</v>
      </c>
      <c r="D90">
        <v>3605.8330000000001</v>
      </c>
      <c r="E90">
        <v>2832.5949999999998</v>
      </c>
      <c r="F90">
        <v>2833.72</v>
      </c>
      <c r="G90">
        <v>2976.7339999999999</v>
      </c>
    </row>
  </sheetData>
  <mergeCells count="32">
    <mergeCell ref="B70:C72"/>
    <mergeCell ref="E71:H71"/>
    <mergeCell ref="I71:L71"/>
    <mergeCell ref="U71:X71"/>
    <mergeCell ref="M63:P63"/>
    <mergeCell ref="Q63:R63"/>
    <mergeCell ref="Q71:R71"/>
    <mergeCell ref="D70:R70"/>
    <mergeCell ref="S70:AC70"/>
    <mergeCell ref="M71:P71"/>
    <mergeCell ref="Y71:AB71"/>
    <mergeCell ref="B11:C11"/>
    <mergeCell ref="B61:AC61"/>
    <mergeCell ref="B62:C64"/>
    <mergeCell ref="E63:H63"/>
    <mergeCell ref="I63:L63"/>
    <mergeCell ref="B29:C29"/>
    <mergeCell ref="U63:X63"/>
    <mergeCell ref="Y63:AB63"/>
    <mergeCell ref="D62:R62"/>
    <mergeCell ref="S62:AC62"/>
    <mergeCell ref="B1:AC1"/>
    <mergeCell ref="B2:AC6"/>
    <mergeCell ref="B8:C10"/>
    <mergeCell ref="E9:H9"/>
    <mergeCell ref="I9:L9"/>
    <mergeCell ref="U9:X9"/>
    <mergeCell ref="Y9:AB9"/>
    <mergeCell ref="M9:P9"/>
    <mergeCell ref="Q9:R9"/>
    <mergeCell ref="D8:R8"/>
    <mergeCell ref="S8:AC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53"/>
  <sheetViews>
    <sheetView topLeftCell="N4" zoomScale="90" zoomScaleNormal="90" workbookViewId="0">
      <selection activeCell="F31" sqref="F31"/>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43" t="s">
        <v>58</v>
      </c>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4:56" ht="14.25" customHeight="1" x14ac:dyDescent="0.35">
      <c r="D2" s="1242" t="s">
        <v>1008</v>
      </c>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4:56" ht="84.75" customHeight="1" x14ac:dyDescent="0.35">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4:56" x14ac:dyDescent="0.35">
      <c r="D4" s="938" t="s">
        <v>381</v>
      </c>
    </row>
    <row r="5" spans="4:56" x14ac:dyDescent="0.35">
      <c r="D5" s="1276" t="s">
        <v>465</v>
      </c>
      <c r="E5" s="1256"/>
      <c r="F5" s="1369" t="s">
        <v>325</v>
      </c>
      <c r="G5" s="1370"/>
      <c r="H5" s="1370"/>
      <c r="I5" s="1370"/>
      <c r="J5" s="1370"/>
      <c r="K5" s="1370"/>
      <c r="L5" s="1370"/>
      <c r="M5" s="1370"/>
      <c r="N5" s="1370"/>
      <c r="O5" s="1370"/>
      <c r="P5" s="1370"/>
      <c r="Q5" s="1370"/>
      <c r="R5" s="1371"/>
      <c r="S5" s="1285" t="s">
        <v>326</v>
      </c>
      <c r="T5" s="1286"/>
      <c r="U5" s="1286"/>
      <c r="V5" s="1286"/>
      <c r="W5" s="1286"/>
      <c r="X5" s="1286"/>
      <c r="Y5" s="1286"/>
      <c r="Z5" s="1286"/>
      <c r="AA5" s="1286"/>
      <c r="AB5" s="1286"/>
      <c r="AC5" s="1287"/>
      <c r="AD5" s="853"/>
      <c r="AE5" s="853"/>
      <c r="AF5" s="853"/>
      <c r="AG5" s="853"/>
      <c r="AH5" s="853"/>
      <c r="AI5" s="853"/>
      <c r="AJ5" s="853"/>
      <c r="AK5" s="853"/>
      <c r="AL5" s="853"/>
      <c r="AM5" s="853"/>
      <c r="AN5" s="853"/>
      <c r="AO5" s="853"/>
      <c r="AP5" s="853"/>
      <c r="AQ5" s="853"/>
      <c r="AR5" s="853"/>
      <c r="AS5" s="853"/>
      <c r="AT5" s="853"/>
      <c r="AU5" s="853"/>
      <c r="AV5" s="853"/>
      <c r="AW5" s="853"/>
      <c r="AX5" s="853"/>
      <c r="AY5" s="853"/>
      <c r="AZ5" s="853"/>
      <c r="BA5" s="853"/>
      <c r="BB5" s="853"/>
      <c r="BC5" s="853"/>
      <c r="BD5" s="853"/>
    </row>
    <row r="6" spans="4:56" x14ac:dyDescent="0.35">
      <c r="D6" s="1277"/>
      <c r="E6" s="1307"/>
      <c r="F6" s="1291">
        <v>2019</v>
      </c>
      <c r="G6" s="1292"/>
      <c r="H6" s="1299"/>
      <c r="I6" s="1292">
        <v>2020</v>
      </c>
      <c r="J6" s="1292"/>
      <c r="K6" s="1292"/>
      <c r="L6" s="1292"/>
      <c r="M6" s="1244">
        <v>2021</v>
      </c>
      <c r="N6" s="1245"/>
      <c r="O6" s="1245"/>
      <c r="P6" s="1252"/>
      <c r="Q6" s="1282">
        <v>2022</v>
      </c>
      <c r="R6" s="1283"/>
      <c r="S6" s="965"/>
      <c r="T6" s="318"/>
      <c r="U6" s="1364">
        <v>2023</v>
      </c>
      <c r="V6" s="1365"/>
      <c r="W6" s="1365"/>
      <c r="X6" s="1365"/>
      <c r="Y6" s="1279">
        <v>2024</v>
      </c>
      <c r="Z6" s="1280"/>
      <c r="AA6" s="1280"/>
      <c r="AB6" s="1280"/>
      <c r="AC6" s="285">
        <v>2025</v>
      </c>
      <c r="AD6" s="849"/>
      <c r="AE6" s="849"/>
      <c r="AF6" s="849"/>
      <c r="AG6" s="854"/>
      <c r="AH6" s="854"/>
      <c r="AI6" s="854"/>
      <c r="AJ6" s="854"/>
      <c r="AK6" s="854"/>
      <c r="AL6" s="854"/>
      <c r="AM6" s="854"/>
      <c r="AN6" s="854"/>
      <c r="AO6" s="854"/>
      <c r="AP6" s="854"/>
      <c r="AQ6" s="854"/>
      <c r="AR6" s="854"/>
      <c r="AS6" s="854"/>
      <c r="AT6" s="854"/>
      <c r="AU6" s="854"/>
      <c r="AV6" s="854"/>
      <c r="AW6" s="854"/>
      <c r="AX6" s="854"/>
      <c r="AY6" s="854"/>
      <c r="AZ6" s="854"/>
      <c r="BA6" s="854"/>
      <c r="BB6" s="854"/>
      <c r="BC6" s="854"/>
    </row>
    <row r="7" spans="4:56" x14ac:dyDescent="0.35">
      <c r="D7" s="1289"/>
      <c r="E7" s="1308"/>
      <c r="F7" s="154" t="s">
        <v>329</v>
      </c>
      <c r="G7" s="153" t="s">
        <v>238</v>
      </c>
      <c r="H7" s="224" t="s">
        <v>327</v>
      </c>
      <c r="I7" s="153" t="s">
        <v>328</v>
      </c>
      <c r="J7" s="153" t="s">
        <v>329</v>
      </c>
      <c r="K7" s="153" t="s">
        <v>238</v>
      </c>
      <c r="L7" s="153" t="s">
        <v>327</v>
      </c>
      <c r="M7" s="154" t="s">
        <v>328</v>
      </c>
      <c r="N7" s="153" t="s">
        <v>329</v>
      </c>
      <c r="O7" s="153" t="s">
        <v>238</v>
      </c>
      <c r="P7" s="224" t="s">
        <v>327</v>
      </c>
      <c r="Q7" s="154" t="s">
        <v>328</v>
      </c>
      <c r="R7" s="224" t="s">
        <v>329</v>
      </c>
      <c r="S7" s="302" t="s">
        <v>238</v>
      </c>
      <c r="T7" s="304" t="s">
        <v>327</v>
      </c>
      <c r="U7" s="302" t="s">
        <v>328</v>
      </c>
      <c r="V7" s="303" t="s">
        <v>329</v>
      </c>
      <c r="W7" s="303" t="s">
        <v>238</v>
      </c>
      <c r="X7" s="303" t="s">
        <v>327</v>
      </c>
      <c r="Y7" s="302" t="s">
        <v>328</v>
      </c>
      <c r="Z7" s="298" t="s">
        <v>329</v>
      </c>
      <c r="AA7" s="303" t="s">
        <v>238</v>
      </c>
      <c r="AB7" s="303" t="s">
        <v>327</v>
      </c>
      <c r="AC7" s="306" t="s">
        <v>328</v>
      </c>
      <c r="AD7" s="851"/>
      <c r="AE7" s="851"/>
      <c r="AF7" s="851"/>
      <c r="AG7" s="851"/>
      <c r="AH7" s="851"/>
      <c r="AI7" s="851"/>
      <c r="AJ7" s="851"/>
      <c r="AK7" s="851"/>
      <c r="AL7" s="851"/>
      <c r="AM7" s="851"/>
      <c r="AN7" s="851"/>
      <c r="AO7" s="851"/>
      <c r="AP7" s="851"/>
      <c r="AQ7" s="851"/>
      <c r="AR7" s="851"/>
      <c r="AS7" s="851"/>
      <c r="AT7" s="851"/>
      <c r="AU7" s="851"/>
      <c r="AV7" s="851"/>
      <c r="AW7" s="851"/>
      <c r="AX7" s="851"/>
      <c r="AY7" s="851"/>
      <c r="AZ7" s="851"/>
      <c r="BA7" s="851"/>
      <c r="BB7" s="851"/>
      <c r="BC7" s="851"/>
    </row>
    <row r="8" spans="4:56" x14ac:dyDescent="0.35">
      <c r="D8" s="441" t="s">
        <v>527</v>
      </c>
      <c r="E8" s="69"/>
      <c r="F8" s="837"/>
      <c r="G8" s="847"/>
      <c r="H8" s="847"/>
      <c r="I8" s="847"/>
      <c r="J8" s="847"/>
      <c r="K8" s="847"/>
      <c r="L8" s="847"/>
      <c r="M8" s="847"/>
      <c r="N8" s="847"/>
      <c r="O8" s="847"/>
      <c r="P8" s="847"/>
      <c r="Q8" s="847"/>
      <c r="R8" s="966"/>
      <c r="S8" s="802"/>
      <c r="T8" s="802"/>
      <c r="U8" s="802"/>
      <c r="V8" s="802"/>
      <c r="W8" s="802"/>
      <c r="X8" s="802"/>
      <c r="Y8" s="802"/>
      <c r="Z8" s="802"/>
      <c r="AA8" s="802"/>
      <c r="AB8" s="802"/>
      <c r="AC8" s="942"/>
      <c r="AD8" s="850"/>
      <c r="AE8" s="850"/>
      <c r="AF8" s="850"/>
      <c r="AG8" s="850"/>
      <c r="AH8" s="850"/>
      <c r="AI8" s="850"/>
      <c r="AJ8" s="850"/>
      <c r="AK8" s="850"/>
      <c r="AL8" s="850"/>
      <c r="AM8" s="850"/>
      <c r="AN8" s="850"/>
      <c r="AO8" s="850"/>
      <c r="AP8" s="850"/>
      <c r="AQ8" s="850"/>
      <c r="AR8" s="850"/>
      <c r="AS8" s="850"/>
      <c r="AT8" s="850"/>
      <c r="AU8" s="850"/>
      <c r="AV8" s="850"/>
      <c r="AW8" s="850"/>
      <c r="AX8" s="850"/>
      <c r="AY8" s="850"/>
      <c r="AZ8" s="850"/>
      <c r="BA8" s="850"/>
      <c r="BB8" s="850"/>
      <c r="BC8" s="850"/>
    </row>
    <row r="9" spans="4:56" ht="14.5" customHeight="1" x14ac:dyDescent="0.35">
      <c r="D9" s="572" t="s">
        <v>544</v>
      </c>
      <c r="E9" s="788"/>
      <c r="F9" s="939">
        <f t="shared" ref="F9:P9" si="0">SUM(F10:F14)</f>
        <v>3266.5</v>
      </c>
      <c r="G9" s="789">
        <f t="shared" si="0"/>
        <v>3286.9</v>
      </c>
      <c r="H9" s="789">
        <f t="shared" si="0"/>
        <v>3332.3</v>
      </c>
      <c r="I9" s="789">
        <f t="shared" si="0"/>
        <v>3393.2999999999997</v>
      </c>
      <c r="J9" s="789">
        <f t="shared" si="0"/>
        <v>3128.1</v>
      </c>
      <c r="K9" s="789">
        <f t="shared" si="0"/>
        <v>3303.4</v>
      </c>
      <c r="L9" s="789">
        <f t="shared" si="0"/>
        <v>3457.8</v>
      </c>
      <c r="M9" s="789">
        <f>SUM(M10:M14)</f>
        <v>3596.7999999999997</v>
      </c>
      <c r="N9" s="789">
        <f t="shared" si="0"/>
        <v>3753.5</v>
      </c>
      <c r="O9" s="789">
        <f t="shared" si="0"/>
        <v>3871.9000000000005</v>
      </c>
      <c r="P9" s="789">
        <f t="shared" si="0"/>
        <v>4000.8999999999996</v>
      </c>
      <c r="Q9" s="789">
        <f t="shared" ref="Q9:R9" si="1">SUM(Q10:Q14)</f>
        <v>4383.5999999999995</v>
      </c>
      <c r="R9" s="968">
        <f t="shared" si="1"/>
        <v>4460.7</v>
      </c>
      <c r="S9" s="790">
        <f>SUM(S10,S13,S14)</f>
        <v>4649.1226842348178</v>
      </c>
      <c r="T9" s="790">
        <f t="shared" ref="T9:AC9" si="2">SUM(T10,T13,T14)</f>
        <v>4666.9704745077424</v>
      </c>
      <c r="U9" s="790">
        <f t="shared" si="2"/>
        <v>4688.1231295587158</v>
      </c>
      <c r="V9" s="790">
        <f t="shared" si="2"/>
        <v>4709.8871354758603</v>
      </c>
      <c r="W9" s="790">
        <f t="shared" si="2"/>
        <v>4732.2721500313119</v>
      </c>
      <c r="X9" s="790">
        <f t="shared" si="2"/>
        <v>4730.7761593348978</v>
      </c>
      <c r="Y9" s="790">
        <f t="shared" si="2"/>
        <v>4737.6483665229689</v>
      </c>
      <c r="Z9" s="790">
        <f t="shared" si="2"/>
        <v>4744.6917527791402</v>
      </c>
      <c r="AA9" s="790">
        <f t="shared" si="2"/>
        <v>4751.9073089229205</v>
      </c>
      <c r="AB9" s="790">
        <f t="shared" si="2"/>
        <v>4768.3696628847138</v>
      </c>
      <c r="AC9" s="790">
        <f t="shared" si="2"/>
        <v>4780.1504138596565</v>
      </c>
      <c r="AD9" s="863"/>
      <c r="AE9" s="863"/>
      <c r="AF9" s="863"/>
      <c r="AG9" s="863"/>
      <c r="AH9" s="863"/>
      <c r="AI9" s="863"/>
      <c r="AJ9" s="863"/>
      <c r="AK9" s="863"/>
      <c r="AL9" s="863"/>
      <c r="AM9" s="863"/>
      <c r="AN9" s="863"/>
      <c r="AO9" s="863"/>
      <c r="AP9" s="863"/>
      <c r="AQ9" s="863"/>
      <c r="AR9" s="863"/>
      <c r="AS9" s="863"/>
      <c r="AT9" s="863"/>
      <c r="AU9" s="863"/>
      <c r="AV9" s="863"/>
      <c r="AW9" s="863"/>
      <c r="AX9" s="863"/>
      <c r="AY9" s="863"/>
      <c r="AZ9" s="863"/>
      <c r="BA9" s="863"/>
      <c r="BB9" s="863"/>
      <c r="BC9" s="863"/>
    </row>
    <row r="10" spans="4:56" x14ac:dyDescent="0.35">
      <c r="D10" s="594" t="s">
        <v>545</v>
      </c>
      <c r="E10" s="51" t="s">
        <v>115</v>
      </c>
      <c r="F10" s="889">
        <f>'Haver Pivoted'!GQ27</f>
        <v>1692.6</v>
      </c>
      <c r="G10" s="780">
        <f>'Haver Pivoted'!GR27</f>
        <v>1700.6</v>
      </c>
      <c r="H10" s="780">
        <f>'Haver Pivoted'!GS27</f>
        <v>1726.4</v>
      </c>
      <c r="I10" s="780">
        <f>'Haver Pivoted'!GT27</f>
        <v>1751.6</v>
      </c>
      <c r="J10" s="780">
        <f>'Haver Pivoted'!GU27</f>
        <v>1610.2</v>
      </c>
      <c r="K10" s="780">
        <f>'Haver Pivoted'!GV27</f>
        <v>1722.1</v>
      </c>
      <c r="L10" s="780">
        <f>'Haver Pivoted'!GW27</f>
        <v>1837.8</v>
      </c>
      <c r="M10" s="780">
        <f>'Haver Pivoted'!GX27</f>
        <v>1965.4</v>
      </c>
      <c r="N10" s="780">
        <f>'Haver Pivoted'!GY27</f>
        <v>2071.9</v>
      </c>
      <c r="O10" s="780">
        <f>'Haver Pivoted'!GZ27</f>
        <v>2158.8000000000002</v>
      </c>
      <c r="P10" s="780">
        <f>'Haver Pivoted'!HA27</f>
        <v>2235.1999999999998</v>
      </c>
      <c r="Q10" s="780">
        <f>'Haver Pivoted'!HB27</f>
        <v>2564.1</v>
      </c>
      <c r="R10" s="969">
        <f>'Haver Pivoted'!HC27</f>
        <v>2608.1</v>
      </c>
      <c r="S10" s="793">
        <f>SUM(S11:S12)</f>
        <v>2748.1881064676199</v>
      </c>
      <c r="T10" s="793">
        <f t="shared" ref="T10:AC10" si="3">SUM(T11:T12)</f>
        <v>2733.518386368326</v>
      </c>
      <c r="U10" s="793">
        <f t="shared" si="3"/>
        <v>2722.0519121582611</v>
      </c>
      <c r="V10" s="793">
        <f t="shared" si="3"/>
        <v>2710.6334816904509</v>
      </c>
      <c r="W10" s="793">
        <f t="shared" si="3"/>
        <v>2699.2628936649035</v>
      </c>
      <c r="X10" s="793">
        <f t="shared" si="3"/>
        <v>2690.4057708556911</v>
      </c>
      <c r="Y10" s="793">
        <f t="shared" si="3"/>
        <v>2680.6600498115549</v>
      </c>
      <c r="Z10" s="793">
        <f t="shared" si="3"/>
        <v>2670.9496023994579</v>
      </c>
      <c r="AA10" s="793">
        <f t="shared" si="3"/>
        <v>2661.2743009501273</v>
      </c>
      <c r="AB10" s="793">
        <f t="shared" si="3"/>
        <v>2661.2227050791525</v>
      </c>
      <c r="AC10" s="793">
        <f t="shared" si="3"/>
        <v>2660.5482800655773</v>
      </c>
      <c r="AD10" s="850"/>
      <c r="AE10" s="850"/>
      <c r="AF10" s="850"/>
      <c r="AG10" s="850"/>
      <c r="AH10" s="850"/>
      <c r="AI10" s="850"/>
      <c r="AJ10" s="850"/>
      <c r="AK10" s="850"/>
      <c r="AL10" s="850"/>
      <c r="AM10" s="850"/>
      <c r="AN10" s="850"/>
      <c r="AO10" s="850"/>
      <c r="AP10" s="850"/>
      <c r="AQ10" s="850"/>
      <c r="AR10" s="850"/>
      <c r="AS10" s="850"/>
      <c r="AT10" s="850"/>
      <c r="AU10" s="850"/>
      <c r="AV10" s="850"/>
      <c r="AW10" s="850"/>
      <c r="AX10" s="850"/>
      <c r="AY10" s="850"/>
      <c r="AZ10" s="850"/>
      <c r="BA10" s="850"/>
      <c r="BB10" s="850"/>
      <c r="BC10" s="850"/>
    </row>
    <row r="11" spans="4:56" x14ac:dyDescent="0.35">
      <c r="D11" s="594" t="s">
        <v>1491</v>
      </c>
      <c r="E11" s="51"/>
      <c r="F11" s="889"/>
      <c r="G11" s="780"/>
      <c r="H11" s="780"/>
      <c r="I11" s="780"/>
      <c r="J11" s="780"/>
      <c r="K11" s="780"/>
      <c r="L11" s="780"/>
      <c r="M11" s="780"/>
      <c r="N11" s="780"/>
      <c r="O11" s="780"/>
      <c r="P11" s="780"/>
      <c r="Q11" s="780"/>
      <c r="R11" s="969"/>
      <c r="S11" s="793">
        <f>R10*(1+$I64)^0.25</f>
        <v>2748.1881064676199</v>
      </c>
      <c r="T11" s="793">
        <f>S11*(1+$J64)^0.25</f>
        <v>2736.6733863683262</v>
      </c>
      <c r="U11" s="793">
        <f>T11*(1+$J64)^0.25</f>
        <v>2725.2069121582613</v>
      </c>
      <c r="V11" s="793">
        <f>U11*(1+$J64)^0.25</f>
        <v>2713.7884816904511</v>
      </c>
      <c r="W11" s="793">
        <f>V11*(1+$J64)^0.25</f>
        <v>2702.4178936649037</v>
      </c>
      <c r="X11" s="793">
        <f>W11*(1+$K64)^0.25</f>
        <v>2692.6367708556913</v>
      </c>
      <c r="Y11" s="793">
        <f>X11*(1+$K64)^0.25</f>
        <v>2682.8910498115551</v>
      </c>
      <c r="Z11" s="793">
        <f>Y11*(1+$K64)^0.25</f>
        <v>2673.1806023994582</v>
      </c>
      <c r="AA11" s="793">
        <f>Z11*(1+$K64)^0.25</f>
        <v>2663.5053009501275</v>
      </c>
      <c r="AB11" s="793">
        <f>AA11*(1+$L64)^0.25</f>
        <v>2662.8307050791527</v>
      </c>
      <c r="AC11" s="793">
        <f>AB11*(1+$L64)^0.25</f>
        <v>2662.1562800655774</v>
      </c>
      <c r="AD11" s="850"/>
      <c r="AE11" s="850"/>
      <c r="AF11" s="850"/>
      <c r="AG11" s="850"/>
      <c r="AH11" s="850"/>
      <c r="AI11" s="850"/>
      <c r="AJ11" s="850"/>
      <c r="AK11" s="850"/>
      <c r="AL11" s="850"/>
      <c r="AM11" s="850"/>
      <c r="AN11" s="850"/>
      <c r="AO11" s="850"/>
      <c r="AP11" s="850"/>
      <c r="AQ11" s="850"/>
      <c r="AR11" s="850"/>
      <c r="AS11" s="850"/>
      <c r="AT11" s="850"/>
      <c r="AU11" s="850"/>
      <c r="AV11" s="850"/>
      <c r="AW11" s="850"/>
      <c r="AX11" s="850"/>
      <c r="AY11" s="850"/>
      <c r="AZ11" s="850"/>
      <c r="BA11" s="850"/>
      <c r="BB11" s="850"/>
      <c r="BC11" s="850"/>
    </row>
    <row r="12" spans="4:56" x14ac:dyDescent="0.35">
      <c r="D12" s="822" t="s">
        <v>1492</v>
      </c>
      <c r="E12" s="823"/>
      <c r="F12" s="824"/>
      <c r="G12" s="825"/>
      <c r="H12" s="825"/>
      <c r="I12" s="825"/>
      <c r="J12" s="825"/>
      <c r="K12" s="825"/>
      <c r="L12" s="825"/>
      <c r="M12" s="825"/>
      <c r="N12" s="825"/>
      <c r="O12" s="825"/>
      <c r="P12" s="825"/>
      <c r="Q12" s="825"/>
      <c r="R12" s="826"/>
      <c r="S12" s="827">
        <f>'IRA and CHIPS'!E192</f>
        <v>0</v>
      </c>
      <c r="T12" s="827">
        <f>'IRA and CHIPS'!F192</f>
        <v>-3.1549999999999998</v>
      </c>
      <c r="U12" s="827">
        <f>'IRA and CHIPS'!G192</f>
        <v>-3.1549999999999998</v>
      </c>
      <c r="V12" s="827">
        <f>'IRA and CHIPS'!H192</f>
        <v>-3.1549999999999998</v>
      </c>
      <c r="W12" s="827">
        <f>'IRA and CHIPS'!I192</f>
        <v>-3.1549999999999998</v>
      </c>
      <c r="X12" s="827">
        <f>'IRA and CHIPS'!J192</f>
        <v>-2.2309999999999999</v>
      </c>
      <c r="Y12" s="827">
        <f>'IRA and CHIPS'!K192</f>
        <v>-2.2309999999999999</v>
      </c>
      <c r="Z12" s="827">
        <f>'IRA and CHIPS'!L192</f>
        <v>-2.2309999999999999</v>
      </c>
      <c r="AA12" s="827">
        <f>'IRA and CHIPS'!M192</f>
        <v>-2.2309999999999999</v>
      </c>
      <c r="AB12" s="827">
        <f>'IRA and CHIPS'!N192</f>
        <v>-1.6080000000000001</v>
      </c>
      <c r="AC12" s="827">
        <f>'IRA and CHIPS'!O192</f>
        <v>-1.6080000000000001</v>
      </c>
      <c r="AD12" s="850"/>
      <c r="AE12" s="850"/>
      <c r="AF12" s="850"/>
      <c r="AG12" s="850"/>
      <c r="AH12" s="850"/>
      <c r="AI12" s="850"/>
      <c r="AJ12" s="850"/>
      <c r="AK12" s="850"/>
      <c r="AL12" s="850"/>
      <c r="AM12" s="850"/>
      <c r="AN12" s="850"/>
      <c r="AO12" s="850"/>
      <c r="AP12" s="850"/>
      <c r="AQ12" s="850"/>
      <c r="AR12" s="850"/>
      <c r="AS12" s="850"/>
      <c r="AT12" s="850"/>
      <c r="AU12" s="850"/>
      <c r="AV12" s="850"/>
      <c r="AW12" s="850"/>
      <c r="AX12" s="850"/>
      <c r="AY12" s="850"/>
      <c r="AZ12" s="850"/>
      <c r="BA12" s="850"/>
      <c r="BB12" s="850"/>
      <c r="BC12" s="850"/>
    </row>
    <row r="13" spans="4:56" x14ac:dyDescent="0.35">
      <c r="D13" s="828" t="s">
        <v>546</v>
      </c>
      <c r="E13" s="829" t="s">
        <v>121</v>
      </c>
      <c r="F13" s="830">
        <f>'Haver Pivoted'!GQ30</f>
        <v>1402.6</v>
      </c>
      <c r="G13" s="831">
        <f>'Haver Pivoted'!GR30</f>
        <v>1410</v>
      </c>
      <c r="H13" s="831">
        <f>'Haver Pivoted'!GS30</f>
        <v>1429</v>
      </c>
      <c r="I13" s="831">
        <f>'Haver Pivoted'!GT30</f>
        <v>1455.1</v>
      </c>
      <c r="J13" s="831">
        <f>'Haver Pivoted'!GU30</f>
        <v>1385.3</v>
      </c>
      <c r="K13" s="831">
        <f>'Haver Pivoted'!GV30</f>
        <v>1432.2</v>
      </c>
      <c r="L13" s="831">
        <f>'Haver Pivoted'!GW30</f>
        <v>1465</v>
      </c>
      <c r="M13" s="831">
        <f>'Haver Pivoted'!GX30</f>
        <v>1474.8</v>
      </c>
      <c r="N13" s="831">
        <f>'Haver Pivoted'!GY30</f>
        <v>1504.3</v>
      </c>
      <c r="O13" s="831">
        <f>'Haver Pivoted'!GZ30</f>
        <v>1536.3</v>
      </c>
      <c r="P13" s="831">
        <f>'Haver Pivoted'!HA30</f>
        <v>1578.1</v>
      </c>
      <c r="Q13" s="831">
        <f>'Haver Pivoted'!HB30</f>
        <v>1617.1</v>
      </c>
      <c r="R13" s="832">
        <f>'Haver Pivoted'!HC30</f>
        <v>1643.2</v>
      </c>
      <c r="S13" s="833">
        <f>R13*(1+$I65)^0.25</f>
        <v>1683.4091998522135</v>
      </c>
      <c r="T13" s="833">
        <f>S13*(1+$J65)^0.25</f>
        <v>1713.3713058758956</v>
      </c>
      <c r="U13" s="833">
        <f>T13*(1+$J65)^0.25</f>
        <v>1743.8666915070867</v>
      </c>
      <c r="V13" s="833">
        <f>U13*(1+$J65)^0.25</f>
        <v>1774.9048483062118</v>
      </c>
      <c r="W13" s="833">
        <f>V13*(1+$J65)^0.25</f>
        <v>1806.4954367689377</v>
      </c>
      <c r="X13" s="833">
        <f>W13*(1+$K65)^0.25</f>
        <v>1821.6207969461323</v>
      </c>
      <c r="Y13" s="833">
        <f>X13*(1+$K65)^0.25</f>
        <v>1836.8727981963311</v>
      </c>
      <c r="Z13" s="833">
        <f>Y13*(1+$K65)^0.25</f>
        <v>1852.2525008553666</v>
      </c>
      <c r="AA13" s="833">
        <f>Z13*(1+$K65)^0.25</f>
        <v>1867.7609741370129</v>
      </c>
      <c r="AB13" s="833">
        <f>AA13*(1+$L65)^0.25</f>
        <v>1880.2949278092728</v>
      </c>
      <c r="AC13" s="834">
        <f>AB13*(1+$L65)^0.25</f>
        <v>1892.9129928838129</v>
      </c>
      <c r="AD13" s="850"/>
      <c r="AE13" s="850"/>
      <c r="AF13" s="850"/>
      <c r="AG13" s="850"/>
      <c r="AH13" s="850"/>
      <c r="AI13" s="850"/>
      <c r="AJ13" s="850"/>
      <c r="AK13" s="850"/>
      <c r="AL13" s="850"/>
      <c r="AM13" s="850"/>
      <c r="AN13" s="850"/>
      <c r="AO13" s="850"/>
      <c r="AP13" s="850"/>
      <c r="AQ13" s="850"/>
      <c r="AR13" s="850"/>
      <c r="AS13" s="850"/>
      <c r="AT13" s="850"/>
      <c r="AU13" s="850"/>
      <c r="AV13" s="850"/>
      <c r="AW13" s="850"/>
      <c r="AX13" s="850"/>
      <c r="AY13" s="850"/>
      <c r="AZ13" s="850"/>
      <c r="BA13" s="850"/>
      <c r="BB13" s="850"/>
      <c r="BC13" s="850"/>
    </row>
    <row r="14" spans="4:56" x14ac:dyDescent="0.35">
      <c r="D14" s="594" t="s">
        <v>547</v>
      </c>
      <c r="E14" s="51" t="s">
        <v>117</v>
      </c>
      <c r="F14" s="889">
        <f>'Haver Pivoted'!GQ28</f>
        <v>171.3</v>
      </c>
      <c r="G14" s="780">
        <f>'Haver Pivoted'!GR28</f>
        <v>176.3</v>
      </c>
      <c r="H14" s="780">
        <f>'Haver Pivoted'!GS28</f>
        <v>176.9</v>
      </c>
      <c r="I14" s="780">
        <f>'Haver Pivoted'!GT28</f>
        <v>186.6</v>
      </c>
      <c r="J14" s="780">
        <f>'Haver Pivoted'!GU28</f>
        <v>132.6</v>
      </c>
      <c r="K14" s="780">
        <f>'Haver Pivoted'!GV28</f>
        <v>149.1</v>
      </c>
      <c r="L14" s="780">
        <f>'Haver Pivoted'!GW28</f>
        <v>155</v>
      </c>
      <c r="M14" s="780">
        <f>'Haver Pivoted'!GX28</f>
        <v>156.6</v>
      </c>
      <c r="N14" s="780">
        <f>'Haver Pivoted'!GY28</f>
        <v>177.3</v>
      </c>
      <c r="O14" s="780">
        <f>'Haver Pivoted'!GZ28</f>
        <v>176.8</v>
      </c>
      <c r="P14" s="780">
        <f>'Haver Pivoted'!HA28</f>
        <v>187.6</v>
      </c>
      <c r="Q14" s="780">
        <f>'Haver Pivoted'!HB28</f>
        <v>202.4</v>
      </c>
      <c r="R14" s="969">
        <f>'Haver Pivoted'!HC28</f>
        <v>209.4</v>
      </c>
      <c r="S14" s="793">
        <f>SUM(S15:S16)</f>
        <v>217.52537791498426</v>
      </c>
      <c r="T14" s="793">
        <f t="shared" ref="T14:AC14" si="4">SUM(T15:T16)</f>
        <v>220.08078226352103</v>
      </c>
      <c r="U14" s="793">
        <f t="shared" si="4"/>
        <v>222.20452589336765</v>
      </c>
      <c r="V14" s="793">
        <f t="shared" si="4"/>
        <v>224.34880547919795</v>
      </c>
      <c r="W14" s="793">
        <f t="shared" si="4"/>
        <v>226.51381959747016</v>
      </c>
      <c r="X14" s="793">
        <f t="shared" si="4"/>
        <v>218.74959153307421</v>
      </c>
      <c r="Y14" s="793">
        <f t="shared" si="4"/>
        <v>220.11551851508278</v>
      </c>
      <c r="Z14" s="793">
        <f t="shared" si="4"/>
        <v>221.48964952431524</v>
      </c>
      <c r="AA14" s="793">
        <f t="shared" si="4"/>
        <v>222.87203383577935</v>
      </c>
      <c r="AB14" s="793">
        <f t="shared" si="4"/>
        <v>226.85202999628802</v>
      </c>
      <c r="AC14" s="793">
        <f t="shared" si="4"/>
        <v>226.68914091026608</v>
      </c>
      <c r="AD14" s="850"/>
      <c r="AE14" s="850"/>
      <c r="AF14" s="850"/>
      <c r="AG14" s="850"/>
      <c r="AH14" s="850"/>
      <c r="AI14" s="850"/>
      <c r="AJ14" s="850"/>
      <c r="AK14" s="850"/>
      <c r="AL14" s="850"/>
      <c r="AM14" s="850"/>
      <c r="AN14" s="850"/>
      <c r="AO14" s="850"/>
      <c r="AP14" s="850"/>
      <c r="AQ14" s="850"/>
      <c r="AR14" s="850"/>
      <c r="AS14" s="850"/>
      <c r="AT14" s="850"/>
      <c r="AU14" s="850"/>
      <c r="AV14" s="850"/>
      <c r="AW14" s="850"/>
      <c r="AX14" s="850"/>
      <c r="AY14" s="850"/>
      <c r="AZ14" s="850"/>
      <c r="BA14" s="850"/>
      <c r="BB14" s="850"/>
      <c r="BC14" s="850"/>
    </row>
    <row r="15" spans="4:56" x14ac:dyDescent="0.35">
      <c r="D15" s="594" t="s">
        <v>1552</v>
      </c>
      <c r="E15" s="51"/>
      <c r="F15" s="889"/>
      <c r="G15" s="780"/>
      <c r="H15" s="780"/>
      <c r="I15" s="780"/>
      <c r="J15" s="780"/>
      <c r="K15" s="780"/>
      <c r="L15" s="780"/>
      <c r="M15" s="780"/>
      <c r="N15" s="780"/>
      <c r="O15" s="780"/>
      <c r="P15" s="780"/>
      <c r="Q15" s="780"/>
      <c r="R15" s="780"/>
      <c r="S15" s="793">
        <f>R14*(1+$I66)^0.25</f>
        <v>217.52537791498426</v>
      </c>
      <c r="T15" s="793">
        <f>S15*(1+$J66)^0.25</f>
        <v>219.62878226352103</v>
      </c>
      <c r="U15" s="793">
        <f t="shared" ref="U15:W15" si="5">T15*(1+$J66)^0.25</f>
        <v>221.75252589336765</v>
      </c>
      <c r="V15" s="793">
        <f t="shared" si="5"/>
        <v>223.89680547919795</v>
      </c>
      <c r="W15" s="793">
        <f t="shared" si="5"/>
        <v>226.06181959747016</v>
      </c>
      <c r="X15" s="793">
        <f>W15*(1+$K66)^0.25</f>
        <v>227.4195915330742</v>
      </c>
      <c r="Y15" s="793">
        <f t="shared" ref="Y15:Z15" si="6">X15*(1+$K66)^0.25</f>
        <v>228.78551851508277</v>
      </c>
      <c r="Z15" s="793">
        <f t="shared" si="6"/>
        <v>230.15964952431523</v>
      </c>
      <c r="AA15" s="793">
        <f>Z15*(1+$K66)^0.25</f>
        <v>231.54203383577934</v>
      </c>
      <c r="AB15" s="793">
        <f>AA15*(1+$L66)^0.25</f>
        <v>231.37902999628801</v>
      </c>
      <c r="AC15" s="793">
        <f>AB15*(1+$L66)^0.25</f>
        <v>231.21614091026606</v>
      </c>
      <c r="AD15" s="850"/>
      <c r="AE15" s="850"/>
      <c r="AF15" s="850"/>
      <c r="AG15" s="850"/>
      <c r="AH15" s="850"/>
      <c r="AI15" s="850"/>
      <c r="AJ15" s="850"/>
      <c r="AK15" s="850"/>
      <c r="AL15" s="850"/>
      <c r="AM15" s="850"/>
      <c r="AN15" s="850"/>
      <c r="AO15" s="850"/>
      <c r="AP15" s="850"/>
      <c r="AQ15" s="850"/>
      <c r="AR15" s="850"/>
      <c r="AS15" s="850"/>
      <c r="AT15" s="850"/>
      <c r="AU15" s="850"/>
      <c r="AV15" s="850"/>
      <c r="AW15" s="850"/>
      <c r="AX15" s="850"/>
      <c r="AY15" s="850"/>
      <c r="AZ15" s="850"/>
      <c r="BA15" s="850"/>
      <c r="BB15" s="850"/>
      <c r="BC15" s="850"/>
    </row>
    <row r="16" spans="4:56" x14ac:dyDescent="0.35">
      <c r="D16" s="822" t="s">
        <v>1553</v>
      </c>
      <c r="E16" s="823"/>
      <c r="F16" s="824"/>
      <c r="G16" s="825"/>
      <c r="H16" s="825"/>
      <c r="I16" s="825"/>
      <c r="J16" s="825"/>
      <c r="K16" s="825"/>
      <c r="L16" s="825"/>
      <c r="M16" s="825"/>
      <c r="N16" s="825"/>
      <c r="O16" s="825"/>
      <c r="P16" s="825"/>
      <c r="Q16" s="825"/>
      <c r="R16" s="825"/>
      <c r="S16" s="827">
        <f>'IRA and CHIPS'!E193</f>
        <v>0</v>
      </c>
      <c r="T16" s="827">
        <f>'IRA and CHIPS'!F193</f>
        <v>0.45200000000000001</v>
      </c>
      <c r="U16" s="827">
        <f>'IRA and CHIPS'!G193</f>
        <v>0.45200000000000001</v>
      </c>
      <c r="V16" s="827">
        <f>'IRA and CHIPS'!H193</f>
        <v>0.45200000000000001</v>
      </c>
      <c r="W16" s="827">
        <f>'IRA and CHIPS'!I193</f>
        <v>0.45200000000000001</v>
      </c>
      <c r="X16" s="827">
        <f>'IRA and CHIPS'!J193</f>
        <v>-8.67</v>
      </c>
      <c r="Y16" s="827">
        <f>'IRA and CHIPS'!K193</f>
        <v>-8.67</v>
      </c>
      <c r="Z16" s="827">
        <f>'IRA and CHIPS'!L193</f>
        <v>-8.67</v>
      </c>
      <c r="AA16" s="827">
        <f>'IRA and CHIPS'!M193</f>
        <v>-8.67</v>
      </c>
      <c r="AB16" s="827">
        <f>'IRA and CHIPS'!N193</f>
        <v>-4.5270000000000001</v>
      </c>
      <c r="AC16" s="827">
        <f>'IRA and CHIPS'!O193</f>
        <v>-4.5270000000000001</v>
      </c>
      <c r="AD16" s="850"/>
      <c r="AE16" s="850"/>
      <c r="AF16" s="850"/>
      <c r="AG16" s="850"/>
      <c r="AH16" s="850"/>
      <c r="AI16" s="850"/>
      <c r="AJ16" s="850"/>
      <c r="AK16" s="850"/>
      <c r="AL16" s="850"/>
      <c r="AM16" s="850"/>
      <c r="AN16" s="850"/>
      <c r="AO16" s="850"/>
      <c r="AP16" s="850"/>
      <c r="AQ16" s="850"/>
      <c r="AR16" s="850"/>
      <c r="AS16" s="850"/>
      <c r="AT16" s="850"/>
      <c r="AU16" s="850"/>
      <c r="AV16" s="850"/>
      <c r="AW16" s="850"/>
      <c r="AX16" s="850"/>
      <c r="AY16" s="850"/>
      <c r="AZ16" s="850"/>
      <c r="BA16" s="850"/>
      <c r="BB16" s="850"/>
      <c r="BC16" s="850"/>
    </row>
    <row r="17" spans="4:55" ht="14.5" customHeight="1" x14ac:dyDescent="0.35">
      <c r="D17" s="572" t="s">
        <v>548</v>
      </c>
      <c r="E17" s="795" t="s">
        <v>119</v>
      </c>
      <c r="F17" s="940">
        <f>'Haver Pivoted'!GQ29</f>
        <v>215.9</v>
      </c>
      <c r="G17" s="796">
        <f>'Haver Pivoted'!GR29</f>
        <v>196.9</v>
      </c>
      <c r="H17" s="796">
        <f>'Haver Pivoted'!GS29</f>
        <v>226.2</v>
      </c>
      <c r="I17" s="796">
        <f>'Haver Pivoted'!GT29</f>
        <v>183.1</v>
      </c>
      <c r="J17" s="796">
        <f>'Haver Pivoted'!GU29</f>
        <v>177.8</v>
      </c>
      <c r="K17" s="796">
        <f>'Haver Pivoted'!GV29</f>
        <v>218.4</v>
      </c>
      <c r="L17" s="796">
        <f>'Haver Pivoted'!GW29</f>
        <v>226.5</v>
      </c>
      <c r="M17" s="796">
        <f>'Haver Pivoted'!GX29</f>
        <v>249.6</v>
      </c>
      <c r="N17" s="796">
        <f>'Haver Pivoted'!GY29</f>
        <v>281.39999999999998</v>
      </c>
      <c r="O17" s="796">
        <f>'Haver Pivoted'!GZ29</f>
        <v>278.39999999999998</v>
      </c>
      <c r="P17" s="796">
        <f>'Haver Pivoted'!HA29</f>
        <v>304.8</v>
      </c>
      <c r="Q17" s="796">
        <f>'Haver Pivoted'!HB29</f>
        <v>313.8</v>
      </c>
      <c r="R17" s="796">
        <f>'Haver Pivoted'!HC29</f>
        <v>353.2</v>
      </c>
      <c r="S17" s="793">
        <f>R17*(1+$I67)^0.25</f>
        <v>349.50195413008231</v>
      </c>
      <c r="T17" s="793">
        <f>S17*(1+$J67)^0.25</f>
        <v>362.32352507020306</v>
      </c>
      <c r="U17" s="793">
        <f t="shared" ref="U17:AC17" si="7">U19+U18</f>
        <v>410.93245870623986</v>
      </c>
      <c r="V17" s="793">
        <f t="shared" si="7"/>
        <v>424.7120104171741</v>
      </c>
      <c r="W17" s="793">
        <f t="shared" si="7"/>
        <v>438.99706860009519</v>
      </c>
      <c r="X17" s="793">
        <f t="shared" si="7"/>
        <v>444.50081322306482</v>
      </c>
      <c r="Y17" s="793">
        <f t="shared" si="7"/>
        <v>449.34534167153834</v>
      </c>
      <c r="Z17" s="793">
        <f t="shared" si="7"/>
        <v>454.24732741561337</v>
      </c>
      <c r="AA17" s="793">
        <f t="shared" si="7"/>
        <v>459.20745191290814</v>
      </c>
      <c r="AB17" s="793">
        <f t="shared" si="7"/>
        <v>445.38279824029598</v>
      </c>
      <c r="AC17" s="793">
        <f t="shared" si="7"/>
        <v>440.94025576348253</v>
      </c>
      <c r="AD17" s="863"/>
      <c r="AE17" s="863"/>
      <c r="AF17" s="863"/>
      <c r="AG17" s="863"/>
      <c r="AH17" s="863"/>
      <c r="AI17" s="863"/>
      <c r="AJ17" s="863"/>
      <c r="AK17" s="863"/>
      <c r="AL17" s="863"/>
      <c r="AM17" s="863"/>
      <c r="AN17" s="863"/>
      <c r="AO17" s="863"/>
      <c r="AP17" s="863"/>
      <c r="AQ17" s="863"/>
      <c r="AR17" s="863"/>
      <c r="AS17" s="863"/>
      <c r="AT17" s="863"/>
      <c r="AU17" s="863"/>
      <c r="AV17" s="863"/>
      <c r="AW17" s="863"/>
      <c r="AX17" s="863"/>
      <c r="AY17" s="863"/>
      <c r="AZ17" s="863"/>
      <c r="BA17" s="863"/>
      <c r="BB17" s="863"/>
      <c r="BC17" s="863"/>
    </row>
    <row r="18" spans="4:55" x14ac:dyDescent="0.35">
      <c r="D18" s="288" t="s">
        <v>1493</v>
      </c>
      <c r="E18" s="69"/>
      <c r="F18" s="886"/>
      <c r="G18" s="797"/>
      <c r="H18" s="797"/>
      <c r="I18" s="797"/>
      <c r="J18" s="797"/>
      <c r="K18" s="797"/>
      <c r="L18" s="797"/>
      <c r="M18" s="797"/>
      <c r="N18" s="797"/>
      <c r="O18" s="797"/>
      <c r="P18" s="797"/>
      <c r="Q18" s="798"/>
      <c r="R18" s="967"/>
      <c r="S18" s="793">
        <f>R17*(1+$I67)^0.25</f>
        <v>349.50195413008231</v>
      </c>
      <c r="T18" s="793">
        <f>S18*(1+$J67)^0.25</f>
        <v>362.32352507020306</v>
      </c>
      <c r="U18" s="793">
        <f>T18*(1+$J67)^0.25</f>
        <v>375.61545870623985</v>
      </c>
      <c r="V18" s="793">
        <f>U18*(1+$J67)^0.25</f>
        <v>389.39501041717409</v>
      </c>
      <c r="W18" s="793">
        <f>V18*(1+$J67)^0.25</f>
        <v>403.68006860009518</v>
      </c>
      <c r="X18" s="793">
        <f>W18*(1+$K67)^0.25</f>
        <v>408.46781322306481</v>
      </c>
      <c r="Y18" s="793">
        <f>X18*(1+$K67)^0.25</f>
        <v>413.31234167153832</v>
      </c>
      <c r="Z18" s="793">
        <f>Y18*(1+$K67)^0.25</f>
        <v>418.21432741561335</v>
      </c>
      <c r="AA18" s="793">
        <f>Z18*(1+$K67)^0.25</f>
        <v>423.17445191290813</v>
      </c>
      <c r="AB18" s="793">
        <f>AA18*(1+$L67)^0.25</f>
        <v>424.30679824029596</v>
      </c>
      <c r="AC18" s="793">
        <f>AB18*(1+$I67)^0.25</f>
        <v>419.8642557634825</v>
      </c>
      <c r="AD18" s="850"/>
      <c r="AE18" s="850"/>
      <c r="AF18" s="850"/>
      <c r="AG18" s="850"/>
      <c r="AH18" s="850"/>
      <c r="AI18" s="850"/>
      <c r="AJ18" s="850"/>
      <c r="AK18" s="850"/>
      <c r="AL18" s="850"/>
      <c r="AM18" s="850"/>
      <c r="AN18" s="850"/>
      <c r="AO18" s="850"/>
      <c r="AP18" s="850"/>
      <c r="AQ18" s="850"/>
      <c r="AR18" s="850"/>
      <c r="AS18" s="850"/>
      <c r="AT18" s="850"/>
      <c r="AU18" s="850"/>
      <c r="AV18" s="850"/>
      <c r="AW18" s="850"/>
      <c r="AX18" s="850"/>
      <c r="AY18" s="850"/>
      <c r="AZ18" s="850"/>
      <c r="BA18" s="850"/>
      <c r="BB18" s="850"/>
      <c r="BC18" s="850"/>
    </row>
    <row r="19" spans="4:55" ht="14.5" customHeight="1" x14ac:dyDescent="0.35">
      <c r="D19" s="288" t="s">
        <v>1490</v>
      </c>
      <c r="E19" s="1185"/>
      <c r="F19" s="940"/>
      <c r="G19" s="1175"/>
      <c r="H19" s="1175"/>
      <c r="I19" s="1175"/>
      <c r="J19" s="1175"/>
      <c r="K19" s="1175"/>
      <c r="L19" s="1175"/>
      <c r="M19" s="1175"/>
      <c r="N19" s="1175"/>
      <c r="O19" s="1175"/>
      <c r="P19" s="1175"/>
      <c r="Q19" s="1175"/>
      <c r="R19" s="1175"/>
      <c r="S19" s="1186">
        <f>'IRA and CHIPS'!E194</f>
        <v>0</v>
      </c>
      <c r="T19" s="1186">
        <f>'IRA and CHIPS'!F194</f>
        <v>35.317</v>
      </c>
      <c r="U19" s="1186">
        <f>'IRA and CHIPS'!G194</f>
        <v>35.317</v>
      </c>
      <c r="V19" s="1186">
        <f>'IRA and CHIPS'!H194</f>
        <v>35.317</v>
      </c>
      <c r="W19" s="1186">
        <f>'IRA and CHIPS'!I194</f>
        <v>35.317</v>
      </c>
      <c r="X19" s="1186">
        <f>'IRA and CHIPS'!J194</f>
        <v>36.033000000000001</v>
      </c>
      <c r="Y19" s="1186">
        <f>'IRA and CHIPS'!K194</f>
        <v>36.033000000000001</v>
      </c>
      <c r="Z19" s="1186">
        <f>'IRA and CHIPS'!L194</f>
        <v>36.033000000000001</v>
      </c>
      <c r="AA19" s="1186">
        <f>'IRA and CHIPS'!M194</f>
        <v>36.033000000000001</v>
      </c>
      <c r="AB19" s="1186">
        <f>'IRA and CHIPS'!N194</f>
        <v>21.076000000000001</v>
      </c>
      <c r="AC19" s="1186">
        <f>'IRA and CHIPS'!O194</f>
        <v>21.076000000000001</v>
      </c>
      <c r="AD19" s="863"/>
      <c r="AE19" s="863"/>
      <c r="AF19" s="863"/>
      <c r="AG19" s="863"/>
      <c r="AH19" s="863"/>
      <c r="AI19" s="863"/>
      <c r="AJ19" s="863"/>
      <c r="AK19" s="863"/>
      <c r="AL19" s="863"/>
      <c r="AM19" s="863"/>
      <c r="AN19" s="863"/>
      <c r="AO19" s="863"/>
      <c r="AP19" s="863"/>
      <c r="AQ19" s="863"/>
      <c r="AR19" s="863"/>
      <c r="AS19" s="863"/>
      <c r="AT19" s="863"/>
      <c r="AU19" s="863"/>
      <c r="AV19" s="863"/>
      <c r="AW19" s="863"/>
      <c r="AX19" s="863"/>
      <c r="AY19" s="863"/>
      <c r="AZ19" s="863"/>
      <c r="BA19" s="863"/>
      <c r="BB19" s="863"/>
      <c r="BC19" s="863"/>
    </row>
    <row r="20" spans="4:55" x14ac:dyDescent="0.35">
      <c r="D20" s="1187" t="s">
        <v>535</v>
      </c>
      <c r="E20" s="462"/>
      <c r="F20" s="837"/>
      <c r="G20" s="847"/>
      <c r="H20" s="847"/>
      <c r="I20" s="847"/>
      <c r="J20" s="847"/>
      <c r="K20" s="847"/>
      <c r="L20" s="847"/>
      <c r="M20" s="847"/>
      <c r="N20" s="847"/>
      <c r="O20" s="847"/>
      <c r="P20" s="847"/>
      <c r="Q20" s="847"/>
      <c r="R20" s="966"/>
      <c r="S20" s="1188"/>
      <c r="T20" s="1188"/>
      <c r="U20" s="1188"/>
      <c r="V20" s="1188"/>
      <c r="W20" s="1188"/>
      <c r="X20" s="1188"/>
      <c r="Y20" s="1188"/>
      <c r="Z20" s="1188"/>
      <c r="AA20" s="1188"/>
      <c r="AB20" s="1188"/>
      <c r="AC20" s="1189"/>
    </row>
    <row r="21" spans="4:55" ht="14.5" customHeight="1" x14ac:dyDescent="0.35">
      <c r="D21" s="860" t="s">
        <v>544</v>
      </c>
      <c r="E21" s="1174"/>
      <c r="F21" s="940">
        <f t="shared" ref="F21:P21" si="8">SUM(F23:F25)</f>
        <v>1894.6</v>
      </c>
      <c r="G21" s="1175">
        <f t="shared" si="8"/>
        <v>1889.1999999999998</v>
      </c>
      <c r="H21" s="1175">
        <f t="shared" si="8"/>
        <v>1883</v>
      </c>
      <c r="I21" s="1175">
        <f t="shared" si="8"/>
        <v>1897.5</v>
      </c>
      <c r="J21" s="1175">
        <f t="shared" si="8"/>
        <v>1801.6</v>
      </c>
      <c r="K21" s="1175">
        <f t="shared" si="8"/>
        <v>1933.3000000000002</v>
      </c>
      <c r="L21" s="1175">
        <f t="shared" si="8"/>
        <v>1955.6</v>
      </c>
      <c r="M21" s="1175">
        <f t="shared" si="8"/>
        <v>1992.6</v>
      </c>
      <c r="N21" s="1175">
        <f t="shared" si="8"/>
        <v>2088.7000000000003</v>
      </c>
      <c r="O21" s="1175">
        <f t="shared" si="8"/>
        <v>2060.8000000000002</v>
      </c>
      <c r="P21" s="1175">
        <f t="shared" si="8"/>
        <v>2119.9</v>
      </c>
      <c r="Q21" s="1175">
        <f>SUM(Q22:Q25)</f>
        <v>2152.4</v>
      </c>
      <c r="R21" s="970">
        <f t="shared" ref="R21:AC21" si="9">SUM(R22:R25)</f>
        <v>2199.5</v>
      </c>
      <c r="S21" s="1179">
        <f t="shared" si="9"/>
        <v>2232.2397635949983</v>
      </c>
      <c r="T21" s="1179">
        <f t="shared" si="9"/>
        <v>2262.0777047006172</v>
      </c>
      <c r="U21" s="1179">
        <f t="shared" si="9"/>
        <v>2288.8346500075536</v>
      </c>
      <c r="V21" s="1179">
        <f t="shared" si="9"/>
        <v>2315.2749288049358</v>
      </c>
      <c r="W21" s="1179">
        <f t="shared" si="9"/>
        <v>2340.9668539401846</v>
      </c>
      <c r="X21" s="1179">
        <f t="shared" si="9"/>
        <v>2364.872884814386</v>
      </c>
      <c r="Y21" s="1179">
        <f t="shared" si="9"/>
        <v>2388.3853645380473</v>
      </c>
      <c r="Z21" s="1179">
        <f t="shared" si="9"/>
        <v>2410.2420834682302</v>
      </c>
      <c r="AA21" s="1179">
        <f t="shared" si="9"/>
        <v>2431.8964700251072</v>
      </c>
      <c r="AB21" s="1179">
        <f t="shared" si="9"/>
        <v>2454.5927379593613</v>
      </c>
      <c r="AC21" s="1190">
        <f t="shared" si="9"/>
        <v>2476.9146285199058</v>
      </c>
    </row>
    <row r="22" spans="4:55" ht="42" customHeight="1" x14ac:dyDescent="0.35">
      <c r="D22" s="846" t="s">
        <v>900</v>
      </c>
      <c r="E22" s="1174"/>
      <c r="F22" s="940"/>
      <c r="G22" s="1175"/>
      <c r="H22" s="1175"/>
      <c r="I22" s="1175"/>
      <c r="J22" s="1175"/>
      <c r="K22" s="1175"/>
      <c r="L22" s="1175"/>
      <c r="M22" s="1175"/>
      <c r="N22" s="1175"/>
      <c r="O22" s="1175"/>
      <c r="P22" s="1175"/>
      <c r="Q22" s="1180"/>
      <c r="R22" s="479">
        <v>20</v>
      </c>
      <c r="S22" s="1181">
        <v>20</v>
      </c>
      <c r="T22" s="1181">
        <v>20</v>
      </c>
      <c r="U22" s="1181">
        <v>20</v>
      </c>
      <c r="V22" s="1181">
        <v>20</v>
      </c>
      <c r="W22" s="1181">
        <v>20</v>
      </c>
      <c r="X22" s="1181">
        <v>20</v>
      </c>
      <c r="Y22" s="1181">
        <v>20</v>
      </c>
      <c r="Z22" s="1181">
        <v>20</v>
      </c>
      <c r="AA22" s="1181">
        <v>20</v>
      </c>
      <c r="AB22" s="1181">
        <v>20</v>
      </c>
      <c r="AC22" s="467">
        <v>20</v>
      </c>
    </row>
    <row r="23" spans="4:55" x14ac:dyDescent="0.35">
      <c r="D23" s="594" t="s">
        <v>549</v>
      </c>
      <c r="E23" s="1182" t="s">
        <v>550</v>
      </c>
      <c r="F23" s="889">
        <f>'Haver Pivoted'!GQ33</f>
        <v>529</v>
      </c>
      <c r="G23" s="1183">
        <f>'Haver Pivoted'!GR33</f>
        <v>495.2</v>
      </c>
      <c r="H23" s="1183">
        <f>'Haver Pivoted'!GS33</f>
        <v>489.6</v>
      </c>
      <c r="I23" s="1183">
        <f>'Haver Pivoted'!GT33</f>
        <v>497.5</v>
      </c>
      <c r="J23" s="1183">
        <f>'Haver Pivoted'!GU33</f>
        <v>488</v>
      </c>
      <c r="K23" s="1183">
        <f>'Haver Pivoted'!GV33</f>
        <v>515.4</v>
      </c>
      <c r="L23" s="1183">
        <f>'Haver Pivoted'!GW33</f>
        <v>522.9</v>
      </c>
      <c r="M23" s="1183">
        <f>'Haver Pivoted'!GX33</f>
        <v>543.6</v>
      </c>
      <c r="N23" s="1183">
        <f>'Haver Pivoted'!GY33</f>
        <v>566.6</v>
      </c>
      <c r="O23" s="1183">
        <f>'Haver Pivoted'!GZ33</f>
        <v>534.4</v>
      </c>
      <c r="P23" s="1183">
        <f>'Haver Pivoted'!HA33</f>
        <v>570.79999999999995</v>
      </c>
      <c r="Q23" s="1183">
        <f>'Haver Pivoted'!HB33</f>
        <v>581.29999999999995</v>
      </c>
      <c r="R23" s="969">
        <f>'Haver Pivoted'!HC33</f>
        <v>589.79999999999995</v>
      </c>
      <c r="S23" s="1184">
        <f>$R134*S143*(S119/$R119)</f>
        <v>598.42225427350422</v>
      </c>
      <c r="T23" s="1184">
        <f t="shared" ref="T23:AC23" si="10">$R134*T143*(T119/$R119)</f>
        <v>606.1763319088318</v>
      </c>
      <c r="U23" s="1184">
        <f t="shared" si="10"/>
        <v>613.86739672364672</v>
      </c>
      <c r="V23" s="1184">
        <f t="shared" si="10"/>
        <v>621.60397079772076</v>
      </c>
      <c r="W23" s="1184">
        <f t="shared" si="10"/>
        <v>629.21101851851836</v>
      </c>
      <c r="X23" s="1184">
        <f t="shared" si="10"/>
        <v>636.15643162393155</v>
      </c>
      <c r="Y23" s="1184">
        <f t="shared" si="10"/>
        <v>643.04583333333323</v>
      </c>
      <c r="Z23" s="1184">
        <f t="shared" si="10"/>
        <v>649.38562321937309</v>
      </c>
      <c r="AA23" s="1184">
        <f t="shared" si="10"/>
        <v>655.88644586894577</v>
      </c>
      <c r="AB23" s="1184">
        <f t="shared" si="10"/>
        <v>662.48178774928761</v>
      </c>
      <c r="AC23" s="1191">
        <f t="shared" si="10"/>
        <v>668.83558048433054</v>
      </c>
    </row>
    <row r="24" spans="4:55" x14ac:dyDescent="0.35">
      <c r="D24" s="594" t="s">
        <v>546</v>
      </c>
      <c r="E24" s="1182" t="s">
        <v>551</v>
      </c>
      <c r="F24" s="889">
        <f>'Haver Pivoted'!GQ36</f>
        <v>20.8</v>
      </c>
      <c r="G24" s="1183">
        <f>'Haver Pivoted'!GR36</f>
        <v>20.7</v>
      </c>
      <c r="H24" s="1183">
        <f>'Haver Pivoted'!GS36</f>
        <v>20.7</v>
      </c>
      <c r="I24" s="1183">
        <f>'Haver Pivoted'!GT36</f>
        <v>20.7</v>
      </c>
      <c r="J24" s="1183">
        <f>'Haver Pivoted'!GU36</f>
        <v>19.8</v>
      </c>
      <c r="K24" s="1183">
        <f>'Haver Pivoted'!GV36</f>
        <v>20.5</v>
      </c>
      <c r="L24" s="1183">
        <f>'Haver Pivoted'!GW36</f>
        <v>21.3</v>
      </c>
      <c r="M24" s="1183">
        <f>'Haver Pivoted'!GX36</f>
        <v>22</v>
      </c>
      <c r="N24" s="1183">
        <f>'Haver Pivoted'!GY36</f>
        <v>22.7</v>
      </c>
      <c r="O24" s="1183">
        <f>'Haver Pivoted'!GZ36</f>
        <v>23.2</v>
      </c>
      <c r="P24" s="1183">
        <f>'Haver Pivoted'!HA36</f>
        <v>23.4</v>
      </c>
      <c r="Q24" s="1183">
        <f>'Haver Pivoted'!HB36</f>
        <v>23.4</v>
      </c>
      <c r="R24" s="969">
        <f>'Haver Pivoted'!HC36</f>
        <v>23.6</v>
      </c>
      <c r="S24" s="1184">
        <f>$R135*S144*(S120/$R120)</f>
        <v>23.912199488033224</v>
      </c>
      <c r="T24" s="1184">
        <f t="shared" ref="T24:AC24" si="11">$R135*T144*(T120/$R120)</f>
        <v>24.172224907362658</v>
      </c>
      <c r="U24" s="1184">
        <f t="shared" si="11"/>
        <v>24.418731539659529</v>
      </c>
      <c r="V24" s="1184">
        <f t="shared" si="11"/>
        <v>24.662492168340407</v>
      </c>
      <c r="W24" s="1184">
        <f t="shared" si="11"/>
        <v>24.895691244652095</v>
      </c>
      <c r="X24" s="1184">
        <f t="shared" si="11"/>
        <v>25.092136118719008</v>
      </c>
      <c r="Y24" s="1184">
        <f t="shared" si="11"/>
        <v>25.301254855628951</v>
      </c>
      <c r="Z24" s="1184">
        <f t="shared" si="11"/>
        <v>25.510162361491506</v>
      </c>
      <c r="AA24" s="1184">
        <f t="shared" si="11"/>
        <v>25.724350643538656</v>
      </c>
      <c r="AB24" s="1184">
        <f t="shared" si="11"/>
        <v>25.93663784615935</v>
      </c>
      <c r="AC24" s="1191">
        <f t="shared" si="11"/>
        <v>26.145122889927141</v>
      </c>
    </row>
    <row r="25" spans="4:55" x14ac:dyDescent="0.35">
      <c r="D25" s="594" t="s">
        <v>547</v>
      </c>
      <c r="E25" s="1182" t="s">
        <v>552</v>
      </c>
      <c r="F25" s="889">
        <f>'Haver Pivoted'!GQ34</f>
        <v>1344.8</v>
      </c>
      <c r="G25" s="1183">
        <f>'Haver Pivoted'!GR34</f>
        <v>1373.3</v>
      </c>
      <c r="H25" s="1183">
        <f>'Haver Pivoted'!GS34</f>
        <v>1372.7</v>
      </c>
      <c r="I25" s="1183">
        <f>'Haver Pivoted'!GT34</f>
        <v>1379.3</v>
      </c>
      <c r="J25" s="1183">
        <f>'Haver Pivoted'!GU34</f>
        <v>1293.8</v>
      </c>
      <c r="K25" s="1183">
        <f>'Haver Pivoted'!GV34</f>
        <v>1397.4</v>
      </c>
      <c r="L25" s="1183">
        <f>'Haver Pivoted'!GW34</f>
        <v>1411.4</v>
      </c>
      <c r="M25" s="1183">
        <f>'Haver Pivoted'!GX34</f>
        <v>1427</v>
      </c>
      <c r="N25" s="1183">
        <f>'Haver Pivoted'!GY34</f>
        <v>1499.4</v>
      </c>
      <c r="O25" s="1183">
        <f>'Haver Pivoted'!GZ34</f>
        <v>1503.2</v>
      </c>
      <c r="P25" s="1183">
        <f>'Haver Pivoted'!HA34</f>
        <v>1525.7</v>
      </c>
      <c r="Q25" s="1183">
        <f>'Haver Pivoted'!HB34</f>
        <v>1547.7</v>
      </c>
      <c r="R25" s="969">
        <f>'Haver Pivoted'!HC34</f>
        <v>1566.1</v>
      </c>
      <c r="S25" s="1184">
        <f>$R140*S145*(S122/$R122)</f>
        <v>1589.9053098334607</v>
      </c>
      <c r="T25" s="1184">
        <f t="shared" ref="T25:AC25" si="12">$R140*T145*(T122/$R122)</f>
        <v>1611.7291478844229</v>
      </c>
      <c r="U25" s="1184">
        <f t="shared" si="12"/>
        <v>1630.5485217442474</v>
      </c>
      <c r="V25" s="1184">
        <f t="shared" si="12"/>
        <v>1649.0084658388746</v>
      </c>
      <c r="W25" s="1184">
        <f t="shared" si="12"/>
        <v>1666.860144177014</v>
      </c>
      <c r="X25" s="1184">
        <f t="shared" si="12"/>
        <v>1683.6243170717353</v>
      </c>
      <c r="Y25" s="1184">
        <f t="shared" si="12"/>
        <v>1700.038276349085</v>
      </c>
      <c r="Z25" s="1184">
        <f t="shared" si="12"/>
        <v>1715.3462978873656</v>
      </c>
      <c r="AA25" s="1184">
        <f t="shared" si="12"/>
        <v>1730.2856735126227</v>
      </c>
      <c r="AB25" s="1184">
        <f t="shared" si="12"/>
        <v>1746.1743123639146</v>
      </c>
      <c r="AC25" s="1191">
        <f t="shared" si="12"/>
        <v>1761.9339251456483</v>
      </c>
    </row>
    <row r="26" spans="4:55" ht="14.5" customHeight="1" x14ac:dyDescent="0.35">
      <c r="D26" s="864" t="s">
        <v>548</v>
      </c>
      <c r="E26" s="888" t="s">
        <v>553</v>
      </c>
      <c r="F26" s="941">
        <f>'Haver Pivoted'!GQ35</f>
        <v>74.5</v>
      </c>
      <c r="G26" s="887">
        <f>'Haver Pivoted'!GR35</f>
        <v>73.400000000000006</v>
      </c>
      <c r="H26" s="887">
        <f>'Haver Pivoted'!GS35</f>
        <v>72.099999999999994</v>
      </c>
      <c r="I26" s="887">
        <f>'Haver Pivoted'!GT35</f>
        <v>67.7</v>
      </c>
      <c r="J26" s="887">
        <f>'Haver Pivoted'!GU35</f>
        <v>65</v>
      </c>
      <c r="K26" s="887">
        <f>'Haver Pivoted'!GV35</f>
        <v>80.900000000000006</v>
      </c>
      <c r="L26" s="887">
        <f>'Haver Pivoted'!GW35</f>
        <v>84.8</v>
      </c>
      <c r="M26" s="887">
        <f>'Haver Pivoted'!GX35</f>
        <v>88</v>
      </c>
      <c r="N26" s="887">
        <f>'Haver Pivoted'!GY35</f>
        <v>90.3</v>
      </c>
      <c r="O26" s="887">
        <f>'Haver Pivoted'!GZ35</f>
        <v>94.4</v>
      </c>
      <c r="P26" s="887">
        <f>'Haver Pivoted'!HA35</f>
        <v>110.5</v>
      </c>
      <c r="Q26" s="887">
        <f>'Haver Pivoted'!HB35</f>
        <v>165.9</v>
      </c>
      <c r="R26" s="887">
        <f>'Haver Pivoted'!HC35</f>
        <v>109.8</v>
      </c>
      <c r="S26" s="964">
        <f>$R141*S146*(S123/$R123)</f>
        <v>112.00035534253368</v>
      </c>
      <c r="T26" s="964">
        <f t="shared" ref="T26:AC26" si="13">$R141*T146*(T123/$R123)</f>
        <v>112.81698206759772</v>
      </c>
      <c r="U26" s="964">
        <f t="shared" si="13"/>
        <v>112.61282538633171</v>
      </c>
      <c r="V26" s="964">
        <f t="shared" si="13"/>
        <v>112.00489215767293</v>
      </c>
      <c r="W26" s="964">
        <f t="shared" si="13"/>
        <v>111.32436988678622</v>
      </c>
      <c r="X26" s="964">
        <f t="shared" si="13"/>
        <v>110.73004710354516</v>
      </c>
      <c r="Y26" s="964">
        <f t="shared" si="13"/>
        <v>110.21738699281053</v>
      </c>
      <c r="Z26" s="964">
        <f t="shared" si="13"/>
        <v>110.08581935377244</v>
      </c>
      <c r="AA26" s="964">
        <f t="shared" si="13"/>
        <v>109.70019006693663</v>
      </c>
      <c r="AB26" s="964">
        <f t="shared" si="13"/>
        <v>110.30358648045618</v>
      </c>
      <c r="AC26" s="1192">
        <f t="shared" si="13"/>
        <v>110.70282621270971</v>
      </c>
    </row>
    <row r="27" spans="4:55" ht="14.5" customHeight="1" x14ac:dyDescent="0.35">
      <c r="D27" s="1173"/>
      <c r="E27" s="1174"/>
      <c r="F27" s="1175"/>
      <c r="G27" s="1175"/>
      <c r="H27" s="1175"/>
      <c r="I27" s="1175"/>
      <c r="J27" s="1175"/>
      <c r="K27" s="1175"/>
      <c r="L27" s="1175"/>
      <c r="M27" s="1175"/>
      <c r="N27" s="1175"/>
      <c r="O27" s="1175"/>
      <c r="P27" s="1175"/>
      <c r="Q27" s="1175"/>
      <c r="R27" s="1175"/>
      <c r="S27" s="1176"/>
      <c r="T27" s="1176"/>
      <c r="U27" s="1176"/>
      <c r="V27" s="1176"/>
      <c r="W27" s="1176"/>
      <c r="X27" s="1176"/>
      <c r="Y27" s="1176"/>
      <c r="Z27" s="1176"/>
      <c r="AA27" s="1176"/>
      <c r="AB27" s="1176"/>
      <c r="AC27" s="1176"/>
    </row>
    <row r="28" spans="4:55" ht="14.5" customHeight="1" x14ac:dyDescent="0.35">
      <c r="D28" s="1173"/>
      <c r="E28" s="1174"/>
      <c r="F28" s="1175"/>
      <c r="G28" s="1175"/>
      <c r="H28" s="1175"/>
      <c r="I28" s="1175"/>
      <c r="J28" s="1175"/>
      <c r="K28" s="1175"/>
      <c r="L28" s="1177"/>
      <c r="M28" s="1175"/>
      <c r="N28" s="1175"/>
      <c r="O28" s="1175"/>
      <c r="P28" s="1175"/>
      <c r="Q28" s="1175"/>
      <c r="R28" s="1175"/>
      <c r="S28" s="1176"/>
      <c r="T28" s="1176"/>
      <c r="U28" s="1176"/>
      <c r="V28" s="1176"/>
      <c r="W28" s="1176"/>
      <c r="X28" s="1176"/>
      <c r="Y28" s="1176"/>
      <c r="Z28" s="1176"/>
      <c r="AA28" s="1176"/>
      <c r="AB28" s="1176"/>
      <c r="AC28" s="1176"/>
    </row>
    <row r="29" spans="4:55" ht="14.5" customHeight="1" x14ac:dyDescent="0.35">
      <c r="D29" s="873"/>
      <c r="E29" s="805"/>
      <c r="F29" s="796"/>
      <c r="G29" s="796"/>
      <c r="H29" s="796"/>
      <c r="I29" s="796"/>
      <c r="J29" s="796"/>
      <c r="K29" s="796"/>
      <c r="L29" s="1171"/>
      <c r="M29" s="796"/>
      <c r="P29" s="1171"/>
    </row>
    <row r="30" spans="4:55" ht="14.5" customHeight="1" x14ac:dyDescent="0.35">
      <c r="D30" s="873"/>
      <c r="E30" s="805"/>
      <c r="F30" s="796"/>
      <c r="G30" s="796"/>
      <c r="H30" s="796"/>
      <c r="I30" s="796"/>
      <c r="J30" s="796"/>
      <c r="K30" s="796"/>
      <c r="L30" s="1172"/>
      <c r="M30" s="796"/>
      <c r="P30" s="1171"/>
    </row>
    <row r="31" spans="4:55" ht="14.5" customHeight="1" x14ac:dyDescent="0.35">
      <c r="D31" s="873"/>
      <c r="E31" s="805"/>
      <c r="F31" s="796"/>
      <c r="G31" s="796"/>
      <c r="H31" s="796"/>
      <c r="I31" s="796"/>
      <c r="J31" s="796"/>
      <c r="K31" s="796"/>
      <c r="L31" s="1172"/>
      <c r="M31" s="796"/>
      <c r="P31" s="1171"/>
    </row>
    <row r="32" spans="4:55" ht="14.5" customHeight="1" x14ac:dyDescent="0.35">
      <c r="D32" s="873"/>
      <c r="E32" s="805"/>
      <c r="F32" s="796"/>
      <c r="G32" s="796"/>
      <c r="H32" s="796"/>
      <c r="I32" s="796"/>
      <c r="J32" s="796"/>
      <c r="K32" s="796"/>
      <c r="L32" s="1171"/>
      <c r="M32" s="796"/>
      <c r="P32" s="1171"/>
    </row>
    <row r="33" spans="4:29" ht="14.5" customHeight="1" x14ac:dyDescent="0.35">
      <c r="D33" s="781" t="s">
        <v>527</v>
      </c>
      <c r="E33" s="782"/>
      <c r="F33" s="783"/>
      <c r="G33" s="784"/>
      <c r="H33" s="784"/>
      <c r="I33" s="784"/>
      <c r="J33" s="784"/>
      <c r="K33" s="784"/>
      <c r="L33" s="784"/>
      <c r="M33" s="784"/>
      <c r="N33" s="784"/>
      <c r="O33" s="784"/>
      <c r="P33" s="784"/>
      <c r="Q33" s="784"/>
      <c r="R33" s="785"/>
      <c r="S33" s="786"/>
      <c r="T33" s="786"/>
      <c r="U33" s="786"/>
      <c r="V33" s="786"/>
      <c r="W33" s="786"/>
      <c r="X33" s="786"/>
      <c r="Y33" s="786"/>
      <c r="Z33" s="786"/>
      <c r="AA33" s="786"/>
      <c r="AB33" s="786"/>
      <c r="AC33" s="787"/>
    </row>
    <row r="34" spans="4:29" ht="14.5" customHeight="1" x14ac:dyDescent="0.35">
      <c r="D34" s="522" t="s">
        <v>544</v>
      </c>
      <c r="E34" s="788"/>
      <c r="F34" s="939">
        <v>3273.3999999999996</v>
      </c>
      <c r="G34" s="789">
        <v>3290</v>
      </c>
      <c r="H34" s="789">
        <v>3332.9</v>
      </c>
      <c r="I34" s="789">
        <v>3380.8</v>
      </c>
      <c r="J34" s="789">
        <v>3111.4</v>
      </c>
      <c r="K34" s="789">
        <v>3257.3</v>
      </c>
      <c r="L34" s="789">
        <v>3379.5</v>
      </c>
      <c r="M34" s="789">
        <v>3536</v>
      </c>
      <c r="N34" s="789">
        <v>3679.6000000000004</v>
      </c>
      <c r="O34" s="789">
        <v>3803.3</v>
      </c>
      <c r="P34" s="789">
        <v>3943.2000000000003</v>
      </c>
      <c r="Q34" s="789">
        <v>4280.8999999999996</v>
      </c>
      <c r="R34" s="968">
        <v>4359</v>
      </c>
      <c r="S34" s="790">
        <v>4540.0926578293529</v>
      </c>
      <c r="T34" s="790">
        <v>4562.5123222398033</v>
      </c>
      <c r="U34" s="790">
        <v>4585.5522182302393</v>
      </c>
      <c r="V34" s="790">
        <v>4609.2222315024628</v>
      </c>
      <c r="W34" s="790">
        <v>4633.5324263497105</v>
      </c>
      <c r="X34" s="790">
        <v>4641.5783291949692</v>
      </c>
      <c r="Y34" s="790">
        <v>4643.3993193574615</v>
      </c>
      <c r="Z34" s="790">
        <v>4651.7964486710707</v>
      </c>
      <c r="AA34" s="790">
        <v>4660.3707791108536</v>
      </c>
      <c r="AB34" s="790">
        <v>4673.1632078410867</v>
      </c>
      <c r="AC34" s="791">
        <v>4689.6434189790225</v>
      </c>
    </row>
    <row r="35" spans="4:29" ht="14.5" customHeight="1" x14ac:dyDescent="0.35">
      <c r="D35" s="792" t="s">
        <v>545</v>
      </c>
      <c r="E35" s="51" t="s">
        <v>115</v>
      </c>
      <c r="F35" s="889">
        <v>1701.9</v>
      </c>
      <c r="G35" s="780">
        <v>1707.8</v>
      </c>
      <c r="H35" s="780">
        <v>1728.6</v>
      </c>
      <c r="I35" s="780">
        <v>1737.9</v>
      </c>
      <c r="J35" s="780">
        <v>1581.5</v>
      </c>
      <c r="K35" s="780">
        <v>1662.2</v>
      </c>
      <c r="L35" s="780">
        <v>1736.9</v>
      </c>
      <c r="M35" s="780">
        <v>1851.9</v>
      </c>
      <c r="N35" s="780">
        <v>1946.1</v>
      </c>
      <c r="O35" s="780">
        <v>2036</v>
      </c>
      <c r="P35" s="780">
        <v>2125.9</v>
      </c>
      <c r="Q35" s="780">
        <v>2405.9</v>
      </c>
      <c r="R35" s="969">
        <v>2447</v>
      </c>
      <c r="S35" s="793">
        <v>2578.4349896577073</v>
      </c>
      <c r="T35" s="793">
        <v>2567.6315235011289</v>
      </c>
      <c r="U35" s="793">
        <v>2556.8733231284327</v>
      </c>
      <c r="V35" s="793">
        <v>2546.1601988790821</v>
      </c>
      <c r="W35" s="793">
        <v>2535.491961887205</v>
      </c>
      <c r="X35" s="793">
        <v>2526.3150102694976</v>
      </c>
      <c r="Y35" s="793">
        <v>2510.7712736815597</v>
      </c>
      <c r="Z35" s="793">
        <v>2501.660631905017</v>
      </c>
      <c r="AA35" s="793">
        <v>2492.5829651566132</v>
      </c>
      <c r="AB35" s="793">
        <v>2492.3500384681142</v>
      </c>
      <c r="AC35" s="794">
        <v>2495.7172720833059</v>
      </c>
    </row>
    <row r="36" spans="4:29" ht="14.5" customHeight="1" x14ac:dyDescent="0.35">
      <c r="D36" s="792" t="s">
        <v>1491</v>
      </c>
      <c r="E36" s="51"/>
      <c r="F36" s="889"/>
      <c r="G36" s="780"/>
      <c r="H36" s="780"/>
      <c r="I36" s="780"/>
      <c r="J36" s="780"/>
      <c r="K36" s="780"/>
      <c r="L36" s="780"/>
      <c r="M36" s="780"/>
      <c r="N36" s="780"/>
      <c r="O36" s="780"/>
      <c r="P36" s="780"/>
      <c r="Q36" s="780"/>
      <c r="R36" s="969"/>
      <c r="S36" s="793">
        <v>2578.4349896577073</v>
      </c>
      <c r="T36" s="793">
        <v>2567.6315235011289</v>
      </c>
      <c r="U36" s="793">
        <v>2556.8733231284327</v>
      </c>
      <c r="V36" s="793">
        <v>2546.1601988790821</v>
      </c>
      <c r="W36" s="793">
        <v>2535.491961887205</v>
      </c>
      <c r="X36" s="793">
        <v>2526.3150102694976</v>
      </c>
      <c r="Y36" s="793">
        <v>2517.1712736815598</v>
      </c>
      <c r="Z36" s="793">
        <v>2508.0606319050171</v>
      </c>
      <c r="AA36" s="793">
        <v>2498.9829651566133</v>
      </c>
      <c r="AB36" s="793">
        <v>2498.3500384681142</v>
      </c>
      <c r="AC36" s="794">
        <v>2497.7172720833059</v>
      </c>
    </row>
    <row r="37" spans="4:29" ht="14.5" customHeight="1" x14ac:dyDescent="0.35">
      <c r="D37" s="792" t="s">
        <v>1492</v>
      </c>
      <c r="E37" s="51"/>
      <c r="F37" s="889"/>
      <c r="G37" s="780"/>
      <c r="H37" s="780"/>
      <c r="I37" s="780"/>
      <c r="J37" s="780"/>
      <c r="K37" s="780"/>
      <c r="L37" s="780"/>
      <c r="M37" s="780"/>
      <c r="N37" s="780"/>
      <c r="O37" s="780"/>
      <c r="P37" s="780"/>
      <c r="Q37" s="780"/>
      <c r="R37" s="969"/>
      <c r="S37" s="793"/>
      <c r="T37" s="793"/>
      <c r="U37" s="793"/>
      <c r="V37" s="793"/>
      <c r="W37" s="793"/>
      <c r="X37" s="793"/>
      <c r="Y37" s="793">
        <v>-6.4</v>
      </c>
      <c r="Z37" s="793">
        <v>-6.4</v>
      </c>
      <c r="AA37" s="793">
        <v>-6.4</v>
      </c>
      <c r="AB37" s="793">
        <v>-6</v>
      </c>
      <c r="AC37" s="794">
        <v>-2</v>
      </c>
    </row>
    <row r="38" spans="4:29" ht="14.5" customHeight="1" x14ac:dyDescent="0.35">
      <c r="D38" s="792" t="s">
        <v>546</v>
      </c>
      <c r="E38" s="70" t="s">
        <v>121</v>
      </c>
      <c r="F38" s="889">
        <v>1399.3</v>
      </c>
      <c r="G38" s="780">
        <v>1406.9</v>
      </c>
      <c r="H38" s="780">
        <v>1426.4</v>
      </c>
      <c r="I38" s="780">
        <v>1457.1</v>
      </c>
      <c r="J38" s="780">
        <v>1391.6</v>
      </c>
      <c r="K38" s="780">
        <v>1443.8</v>
      </c>
      <c r="L38" s="780">
        <v>1486</v>
      </c>
      <c r="M38" s="780">
        <v>1517.9</v>
      </c>
      <c r="N38" s="780">
        <v>1555.7</v>
      </c>
      <c r="O38" s="780">
        <v>1594.4</v>
      </c>
      <c r="P38" s="780">
        <v>1639</v>
      </c>
      <c r="Q38" s="780">
        <v>1681.8</v>
      </c>
      <c r="R38" s="969">
        <v>1711.7</v>
      </c>
      <c r="S38" s="793">
        <v>1753.5853988480001</v>
      </c>
      <c r="T38" s="793">
        <v>1784.7965337559458</v>
      </c>
      <c r="U38" s="793">
        <v>1816.5631790729551</v>
      </c>
      <c r="V38" s="793">
        <v>1848.8952220336796</v>
      </c>
      <c r="W38" s="793">
        <v>1881.8027258504078</v>
      </c>
      <c r="X38" s="793">
        <v>1897.5586161956512</v>
      </c>
      <c r="Y38" s="793">
        <v>1913.446426894267</v>
      </c>
      <c r="Z38" s="793">
        <v>1929.4672624842567</v>
      </c>
      <c r="AA38" s="793">
        <v>1945.622236751658</v>
      </c>
      <c r="AB38" s="793">
        <v>1958.6786927526362</v>
      </c>
      <c r="AC38" s="794">
        <v>1971.822766503908</v>
      </c>
    </row>
    <row r="39" spans="4:29" ht="14.5" customHeight="1" x14ac:dyDescent="0.35">
      <c r="D39" s="792" t="s">
        <v>547</v>
      </c>
      <c r="E39" s="51" t="s">
        <v>117</v>
      </c>
      <c r="F39" s="889">
        <v>172.2</v>
      </c>
      <c r="G39" s="780">
        <v>175.3</v>
      </c>
      <c r="H39" s="780">
        <v>177.9</v>
      </c>
      <c r="I39" s="780">
        <v>185.8</v>
      </c>
      <c r="J39" s="780">
        <v>138.30000000000001</v>
      </c>
      <c r="K39" s="780">
        <v>151.30000000000001</v>
      </c>
      <c r="L39" s="780">
        <v>156.6</v>
      </c>
      <c r="M39" s="780">
        <v>166.2</v>
      </c>
      <c r="N39" s="780">
        <v>177.8</v>
      </c>
      <c r="O39" s="780">
        <v>172.9</v>
      </c>
      <c r="P39" s="780">
        <v>178.3</v>
      </c>
      <c r="Q39" s="780">
        <v>193.2</v>
      </c>
      <c r="R39" s="969">
        <v>200.3</v>
      </c>
      <c r="S39" s="793">
        <v>208.0722693236454</v>
      </c>
      <c r="T39" s="793">
        <v>210.08426498272809</v>
      </c>
      <c r="U39" s="793">
        <v>212.11571602885166</v>
      </c>
      <c r="V39" s="793">
        <v>214.16681058970082</v>
      </c>
      <c r="W39" s="793">
        <v>216.23773861209776</v>
      </c>
      <c r="X39" s="793">
        <v>217.70470272982072</v>
      </c>
      <c r="Y39" s="793">
        <v>219.18161878163485</v>
      </c>
      <c r="Z39" s="793">
        <v>220.66855428179693</v>
      </c>
      <c r="AA39" s="793">
        <v>222.16557720258274</v>
      </c>
      <c r="AB39" s="793">
        <v>222.1344766203363</v>
      </c>
      <c r="AC39" s="794">
        <v>222.10338039180763</v>
      </c>
    </row>
    <row r="40" spans="4:29" ht="14.5" customHeight="1" x14ac:dyDescent="0.35">
      <c r="D40" s="522" t="s">
        <v>548</v>
      </c>
      <c r="E40" s="795" t="s">
        <v>119</v>
      </c>
      <c r="F40" s="940">
        <v>218.9</v>
      </c>
      <c r="G40" s="796">
        <v>206.5</v>
      </c>
      <c r="H40" s="796">
        <v>231.4</v>
      </c>
      <c r="I40" s="796">
        <v>166.7</v>
      </c>
      <c r="J40" s="796">
        <v>167.4</v>
      </c>
      <c r="K40" s="796">
        <v>211.7</v>
      </c>
      <c r="L40" s="796">
        <v>225.1</v>
      </c>
      <c r="M40" s="796">
        <v>246.4</v>
      </c>
      <c r="N40" s="796">
        <v>275.10000000000002</v>
      </c>
      <c r="O40" s="796">
        <v>285.89999999999998</v>
      </c>
      <c r="P40" s="796">
        <v>281.2</v>
      </c>
      <c r="Q40" s="796">
        <v>280.8</v>
      </c>
      <c r="R40" s="796">
        <v>294.2</v>
      </c>
      <c r="S40" s="793">
        <v>291.11969112420786</v>
      </c>
      <c r="T40" s="793">
        <v>301.79949341917819</v>
      </c>
      <c r="U40" s="793">
        <v>347.87108706505029</v>
      </c>
      <c r="V40" s="793">
        <v>359.34884503038683</v>
      </c>
      <c r="W40" s="793">
        <v>371.24766755987548</v>
      </c>
      <c r="X40" s="793">
        <v>375.23564736756987</v>
      </c>
      <c r="Y40" s="793">
        <v>379.27092559390309</v>
      </c>
      <c r="Z40" s="793">
        <v>383.35406320972095</v>
      </c>
      <c r="AA40" s="793">
        <v>387.48562783912104</v>
      </c>
      <c r="AB40" s="793">
        <v>388.42882231680363</v>
      </c>
      <c r="AC40" s="794">
        <v>384.72838065010342</v>
      </c>
    </row>
    <row r="41" spans="4:29" ht="14.5" customHeight="1" x14ac:dyDescent="0.35">
      <c r="D41" s="340" t="s">
        <v>1493</v>
      </c>
      <c r="E41" s="69"/>
      <c r="F41" s="886"/>
      <c r="G41" s="797"/>
      <c r="H41" s="797"/>
      <c r="I41" s="797"/>
      <c r="J41" s="797"/>
      <c r="K41" s="797"/>
      <c r="L41" s="797"/>
      <c r="M41" s="797"/>
      <c r="N41" s="797"/>
      <c r="O41" s="797"/>
      <c r="P41" s="797"/>
      <c r="Q41" s="798"/>
      <c r="R41" s="967"/>
      <c r="S41" s="793">
        <v>291.11969112420786</v>
      </c>
      <c r="T41" s="793">
        <v>301.79949341917819</v>
      </c>
      <c r="U41" s="793">
        <v>312.87108706505029</v>
      </c>
      <c r="V41" s="793">
        <v>324.34884503038683</v>
      </c>
      <c r="W41" s="793">
        <v>336.24766755987548</v>
      </c>
      <c r="X41" s="793">
        <v>340.23564736756987</v>
      </c>
      <c r="Y41" s="793">
        <v>344.27092559390309</v>
      </c>
      <c r="Z41" s="793">
        <v>348.35406320972095</v>
      </c>
      <c r="AA41" s="793">
        <v>352.48562783912104</v>
      </c>
      <c r="AB41" s="793">
        <v>353.42882231680363</v>
      </c>
      <c r="AC41" s="794">
        <v>349.72838065010342</v>
      </c>
    </row>
    <row r="42" spans="4:29" ht="14.5" customHeight="1" x14ac:dyDescent="0.35">
      <c r="D42" s="340" t="s">
        <v>1490</v>
      </c>
      <c r="E42" s="795"/>
      <c r="F42" s="940"/>
      <c r="G42" s="796"/>
      <c r="H42" s="796"/>
      <c r="I42" s="796"/>
      <c r="J42" s="796"/>
      <c r="K42" s="796"/>
      <c r="L42" s="796"/>
      <c r="M42" s="796"/>
      <c r="N42" s="796"/>
      <c r="O42" s="796"/>
      <c r="P42" s="796"/>
      <c r="Q42" s="796"/>
      <c r="R42" s="796"/>
      <c r="S42" s="793"/>
      <c r="T42" s="793"/>
      <c r="U42" s="799">
        <v>35</v>
      </c>
      <c r="V42" s="799">
        <v>35</v>
      </c>
      <c r="W42" s="799">
        <v>35</v>
      </c>
      <c r="X42" s="799">
        <v>35</v>
      </c>
      <c r="Y42" s="799">
        <v>35</v>
      </c>
      <c r="Z42" s="799">
        <v>35</v>
      </c>
      <c r="AA42" s="799">
        <v>35</v>
      </c>
      <c r="AB42" s="799">
        <v>35</v>
      </c>
      <c r="AC42" s="800">
        <v>35</v>
      </c>
    </row>
    <row r="43" spans="4:29" ht="14.5" customHeight="1" x14ac:dyDescent="0.35">
      <c r="D43" s="801" t="s">
        <v>535</v>
      </c>
      <c r="E43" s="70"/>
      <c r="F43" s="886"/>
      <c r="G43" s="797"/>
      <c r="H43" s="797"/>
      <c r="I43" s="797"/>
      <c r="J43" s="797"/>
      <c r="K43" s="797"/>
      <c r="L43" s="797"/>
      <c r="M43" s="797"/>
      <c r="N43" s="797"/>
      <c r="O43" s="797"/>
      <c r="P43" s="797"/>
      <c r="Q43" s="797"/>
      <c r="R43" s="967"/>
      <c r="S43" s="802"/>
      <c r="T43" s="802"/>
      <c r="U43" s="802"/>
      <c r="V43" s="802"/>
      <c r="W43" s="802"/>
      <c r="X43" s="802"/>
      <c r="Y43" s="802"/>
      <c r="Z43" s="802"/>
      <c r="AA43" s="802"/>
      <c r="AB43" s="802"/>
      <c r="AC43" s="803"/>
    </row>
    <row r="44" spans="4:29" ht="14.5" customHeight="1" x14ac:dyDescent="0.35">
      <c r="D44" s="804" t="s">
        <v>544</v>
      </c>
      <c r="E44" s="805"/>
      <c r="F44" s="940">
        <v>1890.1</v>
      </c>
      <c r="G44" s="796">
        <v>1889.7999999999997</v>
      </c>
      <c r="H44" s="796">
        <v>1893.3000000000002</v>
      </c>
      <c r="I44" s="796">
        <v>1915.1999999999998</v>
      </c>
      <c r="J44" s="796">
        <v>1858.8000000000002</v>
      </c>
      <c r="K44" s="796">
        <v>1932.2</v>
      </c>
      <c r="L44" s="796">
        <v>1943.7</v>
      </c>
      <c r="M44" s="796">
        <v>1995.3000000000002</v>
      </c>
      <c r="N44" s="796">
        <v>2066.8000000000002</v>
      </c>
      <c r="O44" s="796">
        <v>2109.4</v>
      </c>
      <c r="P44" s="796">
        <v>2167.1</v>
      </c>
      <c r="Q44" s="796">
        <v>2223</v>
      </c>
      <c r="R44" s="970">
        <v>2296.3000000000002</v>
      </c>
      <c r="S44" s="806">
        <v>2330.4604894243903</v>
      </c>
      <c r="T44" s="806">
        <v>2361.5788838175868</v>
      </c>
      <c r="U44" s="806">
        <v>2389.5927729294012</v>
      </c>
      <c r="V44" s="806">
        <v>2417.2953388316764</v>
      </c>
      <c r="W44" s="806">
        <v>2444.227231999329</v>
      </c>
      <c r="X44" s="806">
        <v>2469.2682386249699</v>
      </c>
      <c r="Y44" s="806">
        <v>2493.9049676117097</v>
      </c>
      <c r="Z44" s="806">
        <v>2516.7965936682795</v>
      </c>
      <c r="AA44" s="806">
        <v>2539.5085477886455</v>
      </c>
      <c r="AB44" s="806">
        <v>2563.2814569029115</v>
      </c>
      <c r="AC44" s="807">
        <v>2586.6425748563706</v>
      </c>
    </row>
    <row r="45" spans="4:29" ht="14.5" customHeight="1" x14ac:dyDescent="0.35">
      <c r="D45" s="808" t="s">
        <v>900</v>
      </c>
      <c r="E45" s="805"/>
      <c r="F45" s="940"/>
      <c r="G45" s="796"/>
      <c r="H45" s="796"/>
      <c r="I45" s="796"/>
      <c r="J45" s="796"/>
      <c r="K45" s="796"/>
      <c r="L45" s="796"/>
      <c r="M45" s="796"/>
      <c r="N45" s="796"/>
      <c r="O45" s="796"/>
      <c r="P45" s="796"/>
      <c r="Q45" s="432"/>
      <c r="R45" s="479">
        <v>20</v>
      </c>
      <c r="S45" s="466">
        <v>20</v>
      </c>
      <c r="T45" s="466">
        <v>20</v>
      </c>
      <c r="U45" s="466">
        <v>20</v>
      </c>
      <c r="V45" s="466">
        <v>20</v>
      </c>
      <c r="W45" s="466">
        <v>20</v>
      </c>
      <c r="X45" s="466">
        <v>20</v>
      </c>
      <c r="Y45" s="466">
        <v>20</v>
      </c>
      <c r="Z45" s="466">
        <v>20</v>
      </c>
      <c r="AA45" s="466">
        <v>20</v>
      </c>
      <c r="AB45" s="466">
        <v>20</v>
      </c>
      <c r="AC45" s="809">
        <v>20</v>
      </c>
    </row>
    <row r="46" spans="4:29" ht="14.5" customHeight="1" x14ac:dyDescent="0.35">
      <c r="D46" s="792" t="s">
        <v>549</v>
      </c>
      <c r="E46" s="70" t="s">
        <v>550</v>
      </c>
      <c r="F46" s="889">
        <v>520.9</v>
      </c>
      <c r="G46" s="780">
        <v>497.4</v>
      </c>
      <c r="H46" s="780">
        <v>494.7</v>
      </c>
      <c r="I46" s="780">
        <v>503.8</v>
      </c>
      <c r="J46" s="780">
        <v>517.5</v>
      </c>
      <c r="K46" s="780">
        <v>519.6</v>
      </c>
      <c r="L46" s="780">
        <v>522.79999999999995</v>
      </c>
      <c r="M46" s="780">
        <v>560.20000000000005</v>
      </c>
      <c r="N46" s="780">
        <v>586.4</v>
      </c>
      <c r="O46" s="780">
        <v>605.1</v>
      </c>
      <c r="P46" s="780">
        <v>629.1</v>
      </c>
      <c r="Q46" s="780">
        <v>655.1</v>
      </c>
      <c r="R46" s="969">
        <v>680</v>
      </c>
      <c r="S46" s="810">
        <v>689.94088319088326</v>
      </c>
      <c r="T46" s="810">
        <v>698.88081671415011</v>
      </c>
      <c r="U46" s="810">
        <v>707.74810066476755</v>
      </c>
      <c r="V46" s="810">
        <v>716.66785375118729</v>
      </c>
      <c r="W46" s="810">
        <v>725.43827160493834</v>
      </c>
      <c r="X46" s="810">
        <v>733.44586894586905</v>
      </c>
      <c r="Y46" s="810">
        <v>741.38888888888891</v>
      </c>
      <c r="Z46" s="810">
        <v>748.69824311490993</v>
      </c>
      <c r="AA46" s="810">
        <v>756.19325735992402</v>
      </c>
      <c r="AB46" s="810">
        <v>763.7972459639127</v>
      </c>
      <c r="AC46" s="811">
        <v>771.12274453941143</v>
      </c>
    </row>
    <row r="47" spans="4:29" ht="14.5" customHeight="1" x14ac:dyDescent="0.35">
      <c r="D47" s="792" t="s">
        <v>546</v>
      </c>
      <c r="E47" s="70" t="s">
        <v>551</v>
      </c>
      <c r="F47" s="889">
        <v>20.5</v>
      </c>
      <c r="G47" s="780">
        <v>20.3</v>
      </c>
      <c r="H47" s="780">
        <v>20.2</v>
      </c>
      <c r="I47" s="780">
        <v>20.100000000000001</v>
      </c>
      <c r="J47" s="780">
        <v>19.100000000000001</v>
      </c>
      <c r="K47" s="780">
        <v>19.899999999999999</v>
      </c>
      <c r="L47" s="780">
        <v>20.5</v>
      </c>
      <c r="M47" s="780">
        <v>21.2</v>
      </c>
      <c r="N47" s="780">
        <v>21.9</v>
      </c>
      <c r="O47" s="780">
        <v>22.5</v>
      </c>
      <c r="P47" s="780">
        <v>22.8</v>
      </c>
      <c r="Q47" s="780">
        <v>22.9</v>
      </c>
      <c r="R47" s="969">
        <v>22.7</v>
      </c>
      <c r="S47" s="810">
        <v>23.000293575353989</v>
      </c>
      <c r="T47" s="810">
        <v>23.250402771064927</v>
      </c>
      <c r="U47" s="810">
        <v>23.487508726706409</v>
      </c>
      <c r="V47" s="810">
        <v>23.721973399208778</v>
      </c>
      <c r="W47" s="810">
        <v>23.946279290406888</v>
      </c>
      <c r="X47" s="810">
        <v>24.135232622666162</v>
      </c>
      <c r="Y47" s="810">
        <v>24.336376492490555</v>
      </c>
      <c r="Z47" s="810">
        <v>24.537317186688863</v>
      </c>
      <c r="AA47" s="810">
        <v>24.7433372715393</v>
      </c>
      <c r="AB47" s="810">
        <v>24.947528775754968</v>
      </c>
      <c r="AC47" s="811">
        <v>25.148063118701103</v>
      </c>
    </row>
    <row r="48" spans="4:29" ht="14.5" customHeight="1" x14ac:dyDescent="0.35">
      <c r="D48" s="792" t="s">
        <v>547</v>
      </c>
      <c r="E48" s="70" t="s">
        <v>552</v>
      </c>
      <c r="F48" s="889">
        <v>1348.7</v>
      </c>
      <c r="G48" s="780">
        <v>1372.1</v>
      </c>
      <c r="H48" s="780">
        <v>1378.4</v>
      </c>
      <c r="I48" s="780">
        <v>1391.3</v>
      </c>
      <c r="J48" s="780">
        <v>1322.2</v>
      </c>
      <c r="K48" s="780">
        <v>1392.7</v>
      </c>
      <c r="L48" s="780">
        <v>1400.4</v>
      </c>
      <c r="M48" s="780">
        <v>1413.9</v>
      </c>
      <c r="N48" s="780">
        <v>1458.5</v>
      </c>
      <c r="O48" s="780">
        <v>1481.8</v>
      </c>
      <c r="P48" s="780">
        <v>1515.2</v>
      </c>
      <c r="Q48" s="780">
        <v>1545</v>
      </c>
      <c r="R48" s="969">
        <v>1573.6</v>
      </c>
      <c r="S48" s="810">
        <v>1597.5193126581532</v>
      </c>
      <c r="T48" s="810">
        <v>1619.4476643323719</v>
      </c>
      <c r="U48" s="810">
        <v>1638.3571635379274</v>
      </c>
      <c r="V48" s="810">
        <v>1656.9055116812804</v>
      </c>
      <c r="W48" s="810">
        <v>1674.842681103984</v>
      </c>
      <c r="X48" s="810">
        <v>1691.6871370564347</v>
      </c>
      <c r="Y48" s="810">
        <v>1708.1797022303301</v>
      </c>
      <c r="Z48" s="810">
        <v>1723.5610333666807</v>
      </c>
      <c r="AA48" s="810">
        <v>1738.5719531571822</v>
      </c>
      <c r="AB48" s="810">
        <v>1754.5366821632438</v>
      </c>
      <c r="AC48" s="811">
        <v>1770.3717671982583</v>
      </c>
    </row>
    <row r="49" spans="4:40" ht="14.5" customHeight="1" x14ac:dyDescent="0.35">
      <c r="D49" s="812" t="s">
        <v>548</v>
      </c>
      <c r="E49" s="888" t="s">
        <v>553</v>
      </c>
      <c r="F49" s="941">
        <v>72.8</v>
      </c>
      <c r="G49" s="887">
        <v>73.099999999999994</v>
      </c>
      <c r="H49" s="887">
        <v>72.400000000000006</v>
      </c>
      <c r="I49" s="887">
        <v>66.5</v>
      </c>
      <c r="J49" s="887">
        <v>61.9</v>
      </c>
      <c r="K49" s="887">
        <v>76.8</v>
      </c>
      <c r="L49" s="887">
        <v>78.8</v>
      </c>
      <c r="M49" s="887">
        <v>85.5</v>
      </c>
      <c r="N49" s="887">
        <v>91.9</v>
      </c>
      <c r="O49" s="887">
        <v>95.3</v>
      </c>
      <c r="P49" s="887">
        <v>115.4</v>
      </c>
      <c r="Q49" s="887">
        <v>175.6</v>
      </c>
      <c r="R49" s="887">
        <v>119.5</v>
      </c>
      <c r="S49" s="964">
        <v>121.89474010412363</v>
      </c>
      <c r="T49" s="964">
        <v>122.78350962730353</v>
      </c>
      <c r="U49" s="964">
        <v>122.56131724650855</v>
      </c>
      <c r="V49" s="964">
        <v>121.89967771258574</v>
      </c>
      <c r="W49" s="964">
        <v>121.15903644326916</v>
      </c>
      <c r="X49" s="964">
        <v>120.51220973473266</v>
      </c>
      <c r="Y49" s="964">
        <v>119.95425997851419</v>
      </c>
      <c r="Z49" s="964">
        <v>119.81106933311298</v>
      </c>
      <c r="AA49" s="964">
        <v>119.39137261383358</v>
      </c>
      <c r="AB49" s="964">
        <v>120.04807453929429</v>
      </c>
      <c r="AC49" s="813">
        <v>120.48258408396002</v>
      </c>
    </row>
    <row r="50" spans="4:40" ht="14.5" customHeight="1" x14ac:dyDescent="0.35">
      <c r="D50" s="814"/>
      <c r="E50" s="815"/>
      <c r="F50" s="816"/>
      <c r="G50" s="816"/>
      <c r="H50" s="816"/>
      <c r="I50" s="816"/>
      <c r="J50" s="816"/>
      <c r="K50" s="816"/>
      <c r="L50" s="816"/>
      <c r="M50" s="816"/>
      <c r="N50" s="526"/>
      <c r="O50" s="526"/>
      <c r="P50" s="526"/>
      <c r="Q50" s="526"/>
      <c r="R50" s="526"/>
      <c r="S50" s="526"/>
      <c r="T50" s="526"/>
      <c r="U50" s="526"/>
      <c r="V50" s="526"/>
      <c r="W50" s="526"/>
      <c r="X50" s="526"/>
      <c r="Y50" s="526"/>
      <c r="Z50" s="526"/>
      <c r="AA50" s="526"/>
      <c r="AB50" s="526"/>
      <c r="AC50" s="817"/>
    </row>
    <row r="51" spans="4:40" ht="14.5" customHeight="1" x14ac:dyDescent="0.35">
      <c r="D51" s="873"/>
      <c r="E51" s="805"/>
      <c r="F51" s="796"/>
      <c r="G51" s="796"/>
      <c r="H51" s="796"/>
      <c r="I51" s="796"/>
      <c r="J51" s="796"/>
      <c r="K51" s="796"/>
      <c r="L51" s="796"/>
      <c r="M51" s="796"/>
    </row>
    <row r="52" spans="4:40" ht="14.5" customHeight="1" x14ac:dyDescent="0.35">
      <c r="D52" s="873"/>
      <c r="E52" s="805" t="s">
        <v>1496</v>
      </c>
      <c r="F52" s="796">
        <f>F44-F21</f>
        <v>-4.5</v>
      </c>
      <c r="G52" s="796">
        <f t="shared" ref="G52:W52" si="14">G44-G21</f>
        <v>0.59999999999990905</v>
      </c>
      <c r="H52" s="796">
        <f t="shared" si="14"/>
        <v>10.300000000000182</v>
      </c>
      <c r="I52" s="796">
        <f t="shared" si="14"/>
        <v>17.699999999999818</v>
      </c>
      <c r="J52" s="796">
        <f t="shared" si="14"/>
        <v>57.200000000000273</v>
      </c>
      <c r="K52" s="796">
        <f t="shared" si="14"/>
        <v>-1.1000000000001364</v>
      </c>
      <c r="L52" s="796">
        <f t="shared" si="14"/>
        <v>-11.899999999999864</v>
      </c>
      <c r="M52" s="796">
        <f t="shared" si="14"/>
        <v>2.7000000000002728</v>
      </c>
      <c r="N52" s="796">
        <f t="shared" si="14"/>
        <v>-21.900000000000091</v>
      </c>
      <c r="O52" s="796">
        <f t="shared" si="14"/>
        <v>48.599999999999909</v>
      </c>
      <c r="P52" s="796">
        <f t="shared" si="14"/>
        <v>47.199999999999818</v>
      </c>
      <c r="Q52" s="796">
        <f t="shared" si="14"/>
        <v>70.599999999999909</v>
      </c>
      <c r="R52" s="796">
        <f t="shared" si="14"/>
        <v>96.800000000000182</v>
      </c>
      <c r="S52" s="796">
        <f t="shared" si="14"/>
        <v>98.220725829391995</v>
      </c>
      <c r="T52" s="796">
        <f>T44-T21</f>
        <v>99.501179116969524</v>
      </c>
      <c r="U52" s="796">
        <f t="shared" si="14"/>
        <v>100.75812292184764</v>
      </c>
      <c r="V52" s="796">
        <f t="shared" si="14"/>
        <v>102.02041002674059</v>
      </c>
      <c r="W52" s="796">
        <f t="shared" si="14"/>
        <v>103.26037805914439</v>
      </c>
    </row>
    <row r="53" spans="4:40" ht="14.5" customHeight="1" x14ac:dyDescent="0.35">
      <c r="D53" s="873"/>
      <c r="E53" s="805" t="s">
        <v>1498</v>
      </c>
      <c r="F53" s="818">
        <f>F44/F21-1</f>
        <v>-2.3751715401667539E-3</v>
      </c>
      <c r="G53" s="818">
        <f t="shared" ref="G53:X53" si="15">G44/G21-1</f>
        <v>3.1759474910009189E-4</v>
      </c>
      <c r="H53" s="818">
        <f t="shared" si="15"/>
        <v>5.4699946893257412E-3</v>
      </c>
      <c r="I53" s="818">
        <f t="shared" si="15"/>
        <v>9.3280632411065767E-3</v>
      </c>
      <c r="J53" s="818">
        <f t="shared" si="15"/>
        <v>3.1749555950266517E-2</v>
      </c>
      <c r="K53" s="818">
        <f t="shared" si="15"/>
        <v>-5.6897532716093657E-4</v>
      </c>
      <c r="L53" s="818">
        <f t="shared" si="15"/>
        <v>-6.0850889752505077E-3</v>
      </c>
      <c r="M53" s="818">
        <f t="shared" si="15"/>
        <v>1.3550135501356753E-3</v>
      </c>
      <c r="N53" s="818">
        <f t="shared" si="15"/>
        <v>-1.0484990664049398E-2</v>
      </c>
      <c r="O53" s="818">
        <f t="shared" si="15"/>
        <v>2.3583074534161419E-2</v>
      </c>
      <c r="P53" s="818">
        <f t="shared" si="15"/>
        <v>2.2265201188735206E-2</v>
      </c>
      <c r="Q53" s="818">
        <f t="shared" si="15"/>
        <v>3.2800594685002737E-2</v>
      </c>
      <c r="R53" s="818">
        <f t="shared" si="15"/>
        <v>4.401000227324392E-2</v>
      </c>
      <c r="S53" s="818">
        <f t="shared" si="15"/>
        <v>4.400097490925825E-2</v>
      </c>
      <c r="T53" s="818">
        <f t="shared" si="15"/>
        <v>4.3986631807654275E-2</v>
      </c>
      <c r="U53" s="818">
        <f t="shared" si="15"/>
        <v>4.4021582302380402E-2</v>
      </c>
      <c r="V53" s="818">
        <f t="shared" si="15"/>
        <v>4.406405855195783E-2</v>
      </c>
      <c r="W53" s="818">
        <f t="shared" si="15"/>
        <v>4.4110141023715244E-2</v>
      </c>
      <c r="X53" s="818">
        <f t="shared" si="15"/>
        <v>4.4144171334087323E-2</v>
      </c>
    </row>
    <row r="54" spans="4:40" ht="14.5" customHeight="1" x14ac:dyDescent="0.35">
      <c r="D54" s="873"/>
      <c r="E54" s="805" t="s">
        <v>1497</v>
      </c>
      <c r="F54" s="796">
        <f>F49-F26</f>
        <v>-1.7000000000000028</v>
      </c>
      <c r="G54" s="796">
        <f t="shared" ref="G54:W54" si="16">G49-G26</f>
        <v>-0.30000000000001137</v>
      </c>
      <c r="H54" s="796">
        <f t="shared" si="16"/>
        <v>0.30000000000001137</v>
      </c>
      <c r="I54" s="796">
        <f t="shared" si="16"/>
        <v>-1.2000000000000028</v>
      </c>
      <c r="J54" s="796">
        <f t="shared" si="16"/>
        <v>-3.1000000000000014</v>
      </c>
      <c r="K54" s="796">
        <f t="shared" si="16"/>
        <v>-4.1000000000000085</v>
      </c>
      <c r="L54" s="796">
        <f t="shared" si="16"/>
        <v>-6</v>
      </c>
      <c r="M54" s="796">
        <f t="shared" si="16"/>
        <v>-2.5</v>
      </c>
      <c r="N54" s="796">
        <f t="shared" si="16"/>
        <v>1.6000000000000085</v>
      </c>
      <c r="O54" s="796">
        <f t="shared" si="16"/>
        <v>0.89999999999999147</v>
      </c>
      <c r="P54" s="796">
        <f t="shared" si="16"/>
        <v>4.9000000000000057</v>
      </c>
      <c r="Q54" s="796">
        <f t="shared" si="16"/>
        <v>9.6999999999999886</v>
      </c>
      <c r="R54" s="796">
        <f t="shared" si="16"/>
        <v>9.7000000000000028</v>
      </c>
      <c r="S54" s="796">
        <f t="shared" si="16"/>
        <v>9.8943847615899472</v>
      </c>
      <c r="T54" s="796">
        <f t="shared" si="16"/>
        <v>9.9665275597058098</v>
      </c>
      <c r="U54" s="796">
        <f t="shared" si="16"/>
        <v>9.9484918601768442</v>
      </c>
      <c r="V54" s="796">
        <f t="shared" si="16"/>
        <v>9.894785554912815</v>
      </c>
      <c r="W54" s="796">
        <f t="shared" si="16"/>
        <v>9.8346665564829436</v>
      </c>
    </row>
    <row r="55" spans="4:40" ht="14.5" customHeight="1" x14ac:dyDescent="0.35">
      <c r="D55" s="873"/>
      <c r="E55" s="805"/>
      <c r="F55" s="796"/>
      <c r="G55" s="796"/>
      <c r="H55" s="796"/>
      <c r="I55" s="796"/>
      <c r="J55" s="796"/>
      <c r="K55" s="796"/>
      <c r="L55" s="796"/>
      <c r="M55" s="796"/>
    </row>
    <row r="56" spans="4:40" ht="14.5" customHeight="1" x14ac:dyDescent="0.35">
      <c r="D56" s="873"/>
      <c r="E56" s="805"/>
      <c r="F56" s="796"/>
      <c r="G56" s="796"/>
      <c r="H56" s="796"/>
      <c r="I56" s="796"/>
      <c r="J56" s="796"/>
      <c r="K56" s="796"/>
      <c r="L56" s="796"/>
      <c r="M56" s="796"/>
    </row>
    <row r="57" spans="4:40" ht="14.5" customHeight="1" x14ac:dyDescent="0.35">
      <c r="D57" s="873"/>
      <c r="E57" s="805"/>
      <c r="F57" s="874"/>
      <c r="G57" s="874"/>
      <c r="H57" s="796"/>
      <c r="I57" s="796"/>
      <c r="J57" s="796"/>
      <c r="K57" s="796"/>
      <c r="L57" s="796"/>
      <c r="AD57" s="538"/>
      <c r="AE57" s="538"/>
      <c r="AF57" s="538"/>
      <c r="AG57" s="538"/>
      <c r="AH57" s="538"/>
      <c r="AI57" s="538"/>
      <c r="AJ57" s="538"/>
      <c r="AK57" s="538"/>
      <c r="AL57" s="284"/>
      <c r="AM57" s="284"/>
      <c r="AN57" s="284"/>
    </row>
    <row r="58" spans="4:40" ht="14.5" customHeight="1" x14ac:dyDescent="0.35">
      <c r="D58" s="181"/>
      <c r="E58" s="142"/>
      <c r="F58" s="142"/>
      <c r="G58" s="142"/>
      <c r="H58" s="142"/>
      <c r="I58" s="142"/>
      <c r="J58" s="142"/>
      <c r="K58" s="142"/>
      <c r="L58" s="142"/>
      <c r="AD58" s="284"/>
      <c r="AE58" s="284"/>
      <c r="AF58" s="284"/>
      <c r="AG58" s="284"/>
      <c r="AH58" s="284"/>
      <c r="AI58" s="284"/>
      <c r="AJ58" s="284"/>
      <c r="AK58" s="284"/>
      <c r="AL58" s="284"/>
      <c r="AM58" s="284"/>
      <c r="AN58" s="284"/>
    </row>
    <row r="59" spans="4:40" ht="14.5" customHeight="1" x14ac:dyDescent="0.35">
      <c r="D59" s="1366" t="s">
        <v>1015</v>
      </c>
      <c r="E59" s="1367"/>
      <c r="F59" s="1368"/>
      <c r="G59" s="148">
        <v>2020</v>
      </c>
      <c r="H59" s="148">
        <v>2021</v>
      </c>
      <c r="I59" s="844">
        <v>2022</v>
      </c>
      <c r="J59" s="894">
        <v>2023</v>
      </c>
      <c r="K59" s="894">
        <v>2024</v>
      </c>
      <c r="L59" s="895">
        <v>2025</v>
      </c>
      <c r="AD59" s="284"/>
      <c r="AE59" s="284"/>
      <c r="AF59" s="284"/>
      <c r="AG59" s="284"/>
      <c r="AH59" s="284"/>
      <c r="AI59" s="284"/>
      <c r="AJ59" s="284"/>
      <c r="AK59" s="284"/>
      <c r="AL59" s="284"/>
      <c r="AM59" s="284"/>
      <c r="AN59" s="284"/>
    </row>
    <row r="60" spans="4:40" ht="14.5" customHeight="1" x14ac:dyDescent="0.35">
      <c r="D60" s="845" t="s">
        <v>554</v>
      </c>
      <c r="E60" s="311"/>
      <c r="F60" s="776"/>
      <c r="G60" s="839">
        <f>AVERAGE(H10:K10)</f>
        <v>1702.5749999999998</v>
      </c>
      <c r="H60" s="159">
        <v>1877.8879999999999</v>
      </c>
      <c r="I60" s="159">
        <f>H60*I73/H73</f>
        <v>2408.9346874084385</v>
      </c>
      <c r="J60" s="159">
        <f t="shared" ref="J60:L60" si="17">I60*J73/I73</f>
        <v>2368.8146341227671</v>
      </c>
      <c r="K60" s="159">
        <f t="shared" si="17"/>
        <v>2334.7056536832492</v>
      </c>
      <c r="L60" s="152">
        <f t="shared" si="17"/>
        <v>2332.341273868763</v>
      </c>
      <c r="M60" t="s">
        <v>996</v>
      </c>
      <c r="AD60" s="284"/>
      <c r="AE60" s="284"/>
    </row>
    <row r="61" spans="4:40" ht="14.5" customHeight="1" x14ac:dyDescent="0.35">
      <c r="D61" s="924" t="s">
        <v>561</v>
      </c>
      <c r="E61" s="144"/>
      <c r="F61" s="155"/>
      <c r="G61" s="839">
        <f>AVERAGE(H13:K13)</f>
        <v>1425.3999999999999</v>
      </c>
      <c r="H61" s="159">
        <v>1529.57</v>
      </c>
      <c r="I61" s="159">
        <f t="shared" ref="I61:L61" si="18">H61*I74/H74</f>
        <v>1704.7545636289196</v>
      </c>
      <c r="J61" s="159">
        <f t="shared" si="18"/>
        <v>1829.4015146626407</v>
      </c>
      <c r="K61" s="159">
        <f t="shared" si="18"/>
        <v>1891.4438894046671</v>
      </c>
      <c r="L61" s="152">
        <f t="shared" si="18"/>
        <v>1942.728776109363</v>
      </c>
      <c r="AD61" s="284"/>
      <c r="AE61" s="284"/>
    </row>
    <row r="62" spans="4:40" ht="14.5" customHeight="1" x14ac:dyDescent="0.35">
      <c r="D62" s="924" t="s">
        <v>105</v>
      </c>
      <c r="E62" s="144"/>
      <c r="F62" s="155"/>
      <c r="G62" s="839">
        <f>AVERAGE(H14:K14)</f>
        <v>161.30000000000001</v>
      </c>
      <c r="H62" s="159">
        <v>168.43899999999999</v>
      </c>
      <c r="I62" s="159">
        <f t="shared" ref="I62:L62" si="19">H62*I75/H75</f>
        <v>197.82868117790269</v>
      </c>
      <c r="J62" s="159">
        <f t="shared" si="19"/>
        <v>205.59215694420288</v>
      </c>
      <c r="K62" s="159">
        <f t="shared" si="19"/>
        <v>210.57614348282542</v>
      </c>
      <c r="L62" s="152">
        <f t="shared" si="19"/>
        <v>209.98379331954985</v>
      </c>
      <c r="AD62" s="284"/>
      <c r="AE62" s="284"/>
    </row>
    <row r="63" spans="4:40" ht="14.5" customHeight="1" x14ac:dyDescent="0.35">
      <c r="D63" s="924" t="s">
        <v>303</v>
      </c>
      <c r="E63" s="144"/>
      <c r="F63" s="155"/>
      <c r="G63" s="839">
        <f>AVERAGE(H17:K17)</f>
        <v>201.37499999999997</v>
      </c>
      <c r="H63" s="159">
        <v>259.06299999999999</v>
      </c>
      <c r="I63" s="159">
        <f>H63*I78/H78</f>
        <v>275.06601762628719</v>
      </c>
      <c r="J63" s="159">
        <f>I63*J78/I78</f>
        <v>317.70543069297611</v>
      </c>
      <c r="K63" s="159">
        <f>J63*K78/J78</f>
        <v>333.04795545019113</v>
      </c>
      <c r="L63" s="152">
        <f>K63*L78/K78</f>
        <v>336.62701860253719</v>
      </c>
      <c r="AD63" s="284"/>
      <c r="AE63" s="284"/>
    </row>
    <row r="64" spans="4:40" ht="14.5" customHeight="1" x14ac:dyDescent="0.35">
      <c r="D64" s="924" t="s">
        <v>1011</v>
      </c>
      <c r="E64" s="36"/>
      <c r="F64" s="707"/>
      <c r="G64" s="156"/>
      <c r="H64" s="835">
        <f>H60/G60-1+0.021</f>
        <v>0.12396932587404384</v>
      </c>
      <c r="I64" s="835">
        <f>I60/H60-1.05</f>
        <v>0.23278932897405946</v>
      </c>
      <c r="J64" s="840">
        <f>J60/I60-1</f>
        <v>-1.6654687026335768E-2</v>
      </c>
      <c r="K64" s="840">
        <f>K60/J60-1</f>
        <v>-1.4399176680259473E-2</v>
      </c>
      <c r="L64" s="841">
        <f t="shared" ref="L64:L67" si="20">L60/K60-1</f>
        <v>-1.0127100222488972E-3</v>
      </c>
      <c r="M64" t="s">
        <v>995</v>
      </c>
      <c r="AD64" s="284"/>
      <c r="AE64" s="284"/>
    </row>
    <row r="65" spans="4:40" ht="14.5" customHeight="1" x14ac:dyDescent="0.35">
      <c r="D65" s="924" t="s">
        <v>1012</v>
      </c>
      <c r="E65" s="36"/>
      <c r="F65" s="707"/>
      <c r="G65" s="156"/>
      <c r="H65" s="835">
        <f>H61/G61-1.03</f>
        <v>4.308124035358496E-2</v>
      </c>
      <c r="I65" s="835">
        <f>I61/H61-1.013</f>
        <v>0.10153190349504748</v>
      </c>
      <c r="J65" s="840">
        <f t="shared" ref="J65:K65" si="21">J61/I61-1</f>
        <v>7.3117241445234571E-2</v>
      </c>
      <c r="K65" s="840">
        <f t="shared" si="21"/>
        <v>3.3914028300926269E-2</v>
      </c>
      <c r="L65" s="841">
        <f t="shared" ref="L65:L66" si="22">L61/K61-1</f>
        <v>2.7114146495161418E-2</v>
      </c>
      <c r="M65" t="s">
        <v>997</v>
      </c>
      <c r="AD65" s="284"/>
      <c r="AE65" s="284"/>
    </row>
    <row r="66" spans="4:40" ht="14.5" customHeight="1" x14ac:dyDescent="0.35">
      <c r="D66" s="924" t="s">
        <v>1013</v>
      </c>
      <c r="E66" s="36"/>
      <c r="F66" s="707"/>
      <c r="G66" s="156"/>
      <c r="H66" s="835">
        <f t="shared" ref="H66:H67" si="23">H62/G62-1</f>
        <v>4.4259144451332721E-2</v>
      </c>
      <c r="I66" s="835">
        <f>I62/H62-1.01</f>
        <v>0.16448263868761215</v>
      </c>
      <c r="J66" s="840">
        <f t="shared" ref="J66:K66" si="24">J62/I62-1</f>
        <v>3.9243428809590419E-2</v>
      </c>
      <c r="K66" s="840">
        <f t="shared" si="24"/>
        <v>2.4242104429962108E-2</v>
      </c>
      <c r="L66" s="841">
        <f t="shared" si="22"/>
        <v>-2.8129974909711919E-3</v>
      </c>
      <c r="AD66" s="284"/>
      <c r="AE66" s="284"/>
    </row>
    <row r="67" spans="4:40" ht="14.5" customHeight="1" x14ac:dyDescent="0.35">
      <c r="D67" s="925" t="s">
        <v>1014</v>
      </c>
      <c r="E67" s="37"/>
      <c r="F67" s="700"/>
      <c r="G67" s="291"/>
      <c r="H67" s="836">
        <f t="shared" si="23"/>
        <v>0.28647051520794542</v>
      </c>
      <c r="I67" s="836">
        <f>I63/H63-1.103</f>
        <v>-4.1227312945935068E-2</v>
      </c>
      <c r="J67" s="842">
        <f>J63/I63-1</f>
        <v>0.15501519756838911</v>
      </c>
      <c r="K67" s="842">
        <f>K63/J63-1</f>
        <v>4.8291666666666844E-2</v>
      </c>
      <c r="L67" s="843">
        <f t="shared" si="20"/>
        <v>1.0746389802958278E-2</v>
      </c>
      <c r="AD67" s="284"/>
      <c r="AE67" s="284"/>
    </row>
    <row r="68" spans="4:40" ht="14.5" customHeight="1" x14ac:dyDescent="0.35">
      <c r="D68" s="873"/>
      <c r="E68" s="805"/>
      <c r="F68" s="874"/>
      <c r="G68" s="874"/>
      <c r="H68" s="796"/>
      <c r="I68" s="796"/>
      <c r="J68" s="796"/>
      <c r="K68" s="796"/>
      <c r="L68" s="796"/>
      <c r="AD68" s="284"/>
      <c r="AE68" s="284"/>
    </row>
    <row r="69" spans="4:40" ht="14.5" customHeight="1" x14ac:dyDescent="0.35">
      <c r="D69" s="873"/>
      <c r="E69" s="805"/>
      <c r="F69" s="874"/>
      <c r="G69" s="874"/>
      <c r="H69" s="796"/>
      <c r="I69" s="796"/>
      <c r="J69" s="796"/>
      <c r="K69" s="796"/>
      <c r="L69" s="796"/>
      <c r="AD69" s="284"/>
      <c r="AE69" s="284"/>
    </row>
    <row r="70" spans="4:40" ht="14.5" customHeight="1" x14ac:dyDescent="0.35">
      <c r="D70" s="873"/>
      <c r="E70" s="805"/>
      <c r="F70" s="874"/>
      <c r="G70" s="874"/>
      <c r="H70" s="796"/>
      <c r="I70" s="796"/>
      <c r="J70" s="796"/>
      <c r="K70" s="796"/>
      <c r="L70" s="796"/>
      <c r="AD70" s="284"/>
      <c r="AE70" s="284"/>
    </row>
    <row r="71" spans="4:40" ht="41.65" customHeight="1" x14ac:dyDescent="0.35">
      <c r="F71" s="156"/>
      <c r="G71" s="156"/>
      <c r="H71" s="197"/>
      <c r="I71" s="197"/>
      <c r="J71" s="197"/>
      <c r="K71" s="197"/>
      <c r="L71" s="197"/>
      <c r="M71" s="178"/>
      <c r="N71" s="178"/>
      <c r="AD71" s="197"/>
      <c r="AE71" s="197"/>
      <c r="AF71" s="197"/>
      <c r="AG71" s="197"/>
      <c r="AH71" s="197"/>
      <c r="AI71" s="197"/>
      <c r="AJ71" s="197"/>
      <c r="AK71" s="197"/>
      <c r="AM71" s="197"/>
      <c r="AN71" s="197"/>
    </row>
    <row r="72" spans="4:40" ht="30.75" customHeight="1" x14ac:dyDescent="0.35">
      <c r="D72" s="956" t="s">
        <v>1005</v>
      </c>
      <c r="E72" s="819">
        <v>2018</v>
      </c>
      <c r="F72" s="915">
        <v>2019</v>
      </c>
      <c r="G72" s="915">
        <v>2020</v>
      </c>
      <c r="H72" s="943">
        <v>2021</v>
      </c>
      <c r="I72" s="944">
        <v>2022</v>
      </c>
      <c r="J72" s="944">
        <v>2023</v>
      </c>
      <c r="K72" s="944">
        <v>2024</v>
      </c>
      <c r="L72" s="890">
        <v>2025</v>
      </c>
      <c r="N72" s="893"/>
      <c r="O72" s="301"/>
    </row>
    <row r="73" spans="4:40" ht="16.5" customHeight="1" x14ac:dyDescent="0.35">
      <c r="D73" s="910" t="s">
        <v>554</v>
      </c>
      <c r="E73" s="906">
        <v>1683.5</v>
      </c>
      <c r="F73" s="907">
        <v>1717.9</v>
      </c>
      <c r="G73" s="909">
        <v>1609</v>
      </c>
      <c r="H73" s="497">
        <v>2044.377</v>
      </c>
      <c r="I73" s="497">
        <v>2622.5050000000006</v>
      </c>
      <c r="J73" s="497">
        <v>2578.828</v>
      </c>
      <c r="K73" s="497">
        <v>2541.6950000000002</v>
      </c>
      <c r="L73" s="577">
        <v>2539.1210000000001</v>
      </c>
      <c r="M73" s="923" t="s">
        <v>555</v>
      </c>
      <c r="N73" s="881"/>
      <c r="O73" s="855"/>
      <c r="P73" s="878"/>
      <c r="Q73" s="878"/>
      <c r="R73" s="878"/>
      <c r="S73" s="878"/>
      <c r="T73" s="878"/>
      <c r="U73" s="878"/>
      <c r="V73" s="878"/>
      <c r="W73" s="878"/>
      <c r="X73" s="875"/>
      <c r="Y73" s="875"/>
      <c r="Z73" s="879"/>
    </row>
    <row r="74" spans="4:40" ht="16.5" customHeight="1" x14ac:dyDescent="0.35">
      <c r="D74" s="910" t="s">
        <v>556</v>
      </c>
      <c r="E74" s="908">
        <v>1170.7</v>
      </c>
      <c r="F74" s="876">
        <v>1243.4000000000001</v>
      </c>
      <c r="G74" s="945">
        <v>1310</v>
      </c>
      <c r="H74" s="497">
        <v>1314.088</v>
      </c>
      <c r="I74" s="497">
        <v>1464.5929999999998</v>
      </c>
      <c r="J74" s="497">
        <v>1571.68</v>
      </c>
      <c r="K74" s="497">
        <v>1624.982</v>
      </c>
      <c r="L74" s="577">
        <v>1669.0420000000001</v>
      </c>
      <c r="M74" s="875"/>
      <c r="N74" s="875"/>
      <c r="O74" s="855"/>
      <c r="P74" s="878"/>
      <c r="Q74" s="878"/>
      <c r="R74" s="878"/>
      <c r="S74" s="878"/>
      <c r="T74" s="878"/>
      <c r="U74" s="878"/>
      <c r="V74" s="878"/>
      <c r="W74" s="878"/>
      <c r="X74" s="875"/>
      <c r="Y74" s="875"/>
      <c r="Z74" s="879"/>
    </row>
    <row r="75" spans="4:40" x14ac:dyDescent="0.35">
      <c r="D75" s="179" t="s">
        <v>557</v>
      </c>
      <c r="E75" s="560">
        <f t="shared" ref="E75:L75" si="25">E76+E77</f>
        <v>136.30000000000001</v>
      </c>
      <c r="F75" s="497">
        <f t="shared" si="25"/>
        <v>170.6</v>
      </c>
      <c r="G75" s="577">
        <f t="shared" si="25"/>
        <v>156</v>
      </c>
      <c r="H75" s="497">
        <f t="shared" si="25"/>
        <v>155.25900000000001</v>
      </c>
      <c r="I75" s="497">
        <f t="shared" si="25"/>
        <v>182.34899999999999</v>
      </c>
      <c r="J75" s="497">
        <f t="shared" si="25"/>
        <v>189.505</v>
      </c>
      <c r="K75" s="497">
        <f t="shared" si="25"/>
        <v>194.09899999999999</v>
      </c>
      <c r="L75" s="577">
        <f t="shared" si="25"/>
        <v>193.553</v>
      </c>
      <c r="N75" s="142"/>
      <c r="P75" s="882"/>
      <c r="Q75" s="882"/>
      <c r="R75" s="882"/>
      <c r="S75" s="882"/>
      <c r="T75" s="882"/>
      <c r="U75" s="882"/>
      <c r="V75" s="882"/>
      <c r="W75" s="882"/>
    </row>
    <row r="76" spans="4:40" ht="16.5" customHeight="1" x14ac:dyDescent="0.35">
      <c r="D76" s="594" t="s">
        <v>1554</v>
      </c>
      <c r="E76" s="908">
        <v>95</v>
      </c>
      <c r="F76" s="876">
        <v>99.8</v>
      </c>
      <c r="G76" s="945">
        <v>87</v>
      </c>
      <c r="H76" s="497">
        <v>75.274000000000001</v>
      </c>
      <c r="I76" s="497">
        <v>87.554999999999993</v>
      </c>
      <c r="J76" s="497">
        <v>90.245999999999995</v>
      </c>
      <c r="K76" s="497">
        <f>93.706</f>
        <v>93.706000000000003</v>
      </c>
      <c r="L76" s="577">
        <f>92.66</f>
        <v>92.66</v>
      </c>
      <c r="M76" s="875"/>
      <c r="N76" s="875"/>
      <c r="O76" s="880"/>
      <c r="P76" s="878"/>
      <c r="Q76" s="878"/>
      <c r="R76" s="878"/>
      <c r="S76" s="878"/>
      <c r="T76" s="878"/>
      <c r="U76" s="878"/>
      <c r="V76" s="878"/>
      <c r="W76" s="878"/>
      <c r="X76" s="875"/>
      <c r="Y76" s="875"/>
      <c r="Z76" s="879"/>
    </row>
    <row r="77" spans="4:40" ht="16.5" customHeight="1" x14ac:dyDescent="0.35">
      <c r="D77" s="594" t="s">
        <v>558</v>
      </c>
      <c r="E77" s="908">
        <v>41.3</v>
      </c>
      <c r="F77" s="876">
        <v>70.8</v>
      </c>
      <c r="G77" s="945">
        <v>69</v>
      </c>
      <c r="H77" s="497">
        <v>79.984999999999999</v>
      </c>
      <c r="I77" s="497">
        <v>94.793999999999997</v>
      </c>
      <c r="J77" s="497">
        <v>99.259</v>
      </c>
      <c r="K77" s="497">
        <v>100.393</v>
      </c>
      <c r="L77" s="577">
        <v>100.893</v>
      </c>
      <c r="M77" s="875"/>
      <c r="N77" s="875"/>
      <c r="O77" s="880"/>
      <c r="P77" s="878"/>
      <c r="Q77" s="878"/>
      <c r="R77" s="878"/>
      <c r="S77" s="878"/>
      <c r="T77" s="878"/>
      <c r="U77" s="878"/>
      <c r="V77" s="878"/>
      <c r="W77" s="878"/>
      <c r="X77" s="875"/>
      <c r="Y77" s="875"/>
      <c r="Z77" s="879"/>
    </row>
    <row r="78" spans="4:40" ht="16.5" customHeight="1" x14ac:dyDescent="0.35">
      <c r="D78" s="910" t="s">
        <v>106</v>
      </c>
      <c r="E78" s="876">
        <v>204.7</v>
      </c>
      <c r="F78" s="876">
        <v>230.2</v>
      </c>
      <c r="G78" s="876">
        <v>212</v>
      </c>
      <c r="H78" s="497">
        <v>371.83100000000002</v>
      </c>
      <c r="I78" s="497">
        <v>394.8</v>
      </c>
      <c r="J78" s="497">
        <v>456</v>
      </c>
      <c r="K78" s="497">
        <f>478.021</f>
        <v>478.02100000000002</v>
      </c>
      <c r="L78" s="577">
        <f>483.158</f>
        <v>483.15800000000002</v>
      </c>
      <c r="M78" s="839"/>
      <c r="N78" s="839"/>
      <c r="O78" s="854"/>
      <c r="P78" s="876"/>
      <c r="Q78" s="876"/>
      <c r="R78" s="876"/>
      <c r="S78" s="876"/>
      <c r="T78" s="876"/>
      <c r="U78" s="876"/>
      <c r="V78" s="876"/>
      <c r="W78" s="876"/>
      <c r="X78" s="839"/>
      <c r="Y78" s="839"/>
      <c r="Z78" s="856"/>
    </row>
    <row r="79" spans="4:40" ht="16.5" customHeight="1" x14ac:dyDescent="0.35">
      <c r="D79" s="855"/>
      <c r="E79" s="862"/>
      <c r="F79" s="862"/>
      <c r="G79" s="839"/>
      <c r="H79" s="839"/>
      <c r="I79" s="839"/>
      <c r="J79" s="839"/>
      <c r="K79" s="839"/>
      <c r="L79" s="839"/>
      <c r="M79" s="839"/>
      <c r="N79" s="839"/>
      <c r="O79" s="839"/>
      <c r="P79" s="839"/>
      <c r="Q79" s="839"/>
      <c r="R79" s="839"/>
      <c r="S79" s="839"/>
      <c r="T79" s="839"/>
      <c r="U79" s="839"/>
      <c r="V79" s="839"/>
      <c r="W79" s="839"/>
      <c r="X79" s="839"/>
      <c r="Y79" s="839"/>
      <c r="Z79" s="856"/>
    </row>
    <row r="80" spans="4:40" x14ac:dyDescent="0.35">
      <c r="D80" s="865" t="s">
        <v>559</v>
      </c>
      <c r="E80" s="819">
        <v>2018</v>
      </c>
      <c r="F80" s="820">
        <v>2019</v>
      </c>
      <c r="G80" s="821">
        <v>2020</v>
      </c>
      <c r="H80" s="894">
        <v>2021</v>
      </c>
      <c r="I80" s="894">
        <v>2022</v>
      </c>
      <c r="J80" s="894">
        <v>2023</v>
      </c>
      <c r="K80" s="894">
        <v>2024</v>
      </c>
      <c r="L80" s="895">
        <v>2025</v>
      </c>
      <c r="O80" s="181" t="s">
        <v>560</v>
      </c>
    </row>
    <row r="81" spans="4:22" ht="14.65" customHeight="1" x14ac:dyDescent="0.35">
      <c r="D81" s="867" t="s">
        <v>554</v>
      </c>
      <c r="E81" s="144">
        <v>1622</v>
      </c>
      <c r="F81" s="144">
        <v>1687</v>
      </c>
      <c r="G81" s="861">
        <f t="shared" ref="G81:L84" si="26">G60</f>
        <v>1702.5749999999998</v>
      </c>
      <c r="H81" s="861">
        <f t="shared" si="26"/>
        <v>1877.8879999999999</v>
      </c>
      <c r="I81" s="861">
        <f t="shared" si="26"/>
        <v>2408.9346874084385</v>
      </c>
      <c r="J81" s="861">
        <f t="shared" si="26"/>
        <v>2368.8146341227671</v>
      </c>
      <c r="K81" s="861">
        <f t="shared" si="26"/>
        <v>2334.7056536832492</v>
      </c>
      <c r="L81" s="861">
        <f t="shared" si="26"/>
        <v>2332.341273868763</v>
      </c>
    </row>
    <row r="82" spans="4:22" x14ac:dyDescent="0.35">
      <c r="D82" s="867" t="s">
        <v>561</v>
      </c>
      <c r="E82" s="144">
        <v>1332</v>
      </c>
      <c r="F82" s="144">
        <v>1388</v>
      </c>
      <c r="G82" s="861">
        <f t="shared" si="26"/>
        <v>1425.3999999999999</v>
      </c>
      <c r="H82" s="861">
        <f t="shared" si="26"/>
        <v>1529.57</v>
      </c>
      <c r="I82" s="861">
        <f t="shared" si="26"/>
        <v>1704.7545636289196</v>
      </c>
      <c r="J82" s="861">
        <f t="shared" si="26"/>
        <v>1829.4015146626407</v>
      </c>
      <c r="K82" s="861">
        <f t="shared" si="26"/>
        <v>1891.4438894046671</v>
      </c>
      <c r="L82" s="861">
        <f t="shared" si="26"/>
        <v>1942.728776109363</v>
      </c>
      <c r="N82" s="872"/>
    </row>
    <row r="83" spans="4:22" x14ac:dyDescent="0.35">
      <c r="D83" s="867" t="s">
        <v>105</v>
      </c>
      <c r="E83" s="144">
        <v>150</v>
      </c>
      <c r="F83" s="144">
        <v>175</v>
      </c>
      <c r="G83" s="861">
        <f t="shared" si="26"/>
        <v>161.30000000000001</v>
      </c>
      <c r="H83" s="861">
        <f t="shared" si="26"/>
        <v>168.43899999999999</v>
      </c>
      <c r="I83" s="861">
        <f t="shared" si="26"/>
        <v>197.82868117790269</v>
      </c>
      <c r="J83" s="861">
        <f t="shared" si="26"/>
        <v>205.59215694420288</v>
      </c>
      <c r="K83" s="861">
        <f t="shared" si="26"/>
        <v>210.57614348282542</v>
      </c>
      <c r="L83" s="861">
        <f t="shared" si="26"/>
        <v>209.98379331954985</v>
      </c>
      <c r="N83" s="872"/>
    </row>
    <row r="84" spans="4:22" x14ac:dyDescent="0.35">
      <c r="D84" s="866" t="s">
        <v>303</v>
      </c>
      <c r="E84" s="158">
        <v>208</v>
      </c>
      <c r="F84" s="158">
        <v>219</v>
      </c>
      <c r="G84" s="962">
        <f t="shared" si="26"/>
        <v>201.37499999999997</v>
      </c>
      <c r="H84" s="962">
        <f t="shared" si="26"/>
        <v>259.06299999999999</v>
      </c>
      <c r="I84" s="962">
        <f t="shared" si="26"/>
        <v>275.06601762628719</v>
      </c>
      <c r="J84" s="962">
        <f t="shared" si="26"/>
        <v>317.70543069297611</v>
      </c>
      <c r="K84" s="962">
        <f t="shared" si="26"/>
        <v>333.04795545019113</v>
      </c>
      <c r="L84" s="962">
        <f t="shared" si="26"/>
        <v>336.62701860253719</v>
      </c>
      <c r="O84" s="1354" t="s">
        <v>990</v>
      </c>
      <c r="P84" s="1354" t="s">
        <v>990</v>
      </c>
      <c r="Q84" s="1354" t="s">
        <v>990</v>
      </c>
      <c r="R84" s="1354" t="s">
        <v>990</v>
      </c>
      <c r="S84" s="1354" t="s">
        <v>990</v>
      </c>
      <c r="T84" s="1354" t="s">
        <v>990</v>
      </c>
      <c r="U84" s="1354" t="s">
        <v>990</v>
      </c>
      <c r="V84" s="1355" t="s">
        <v>990</v>
      </c>
    </row>
    <row r="85" spans="4:22" ht="14.5" customHeight="1" x14ac:dyDescent="0.35">
      <c r="D85" s="296"/>
      <c r="E85" s="144"/>
      <c r="F85" s="144"/>
      <c r="G85" s="144"/>
      <c r="P85" s="1356">
        <v>2022</v>
      </c>
      <c r="Q85" s="1357">
        <v>2022</v>
      </c>
      <c r="R85" s="1357">
        <v>2022</v>
      </c>
      <c r="S85" s="1358">
        <v>2022</v>
      </c>
    </row>
    <row r="86" spans="4:22" ht="17.25" customHeight="1" x14ac:dyDescent="0.35">
      <c r="D86" s="182" t="s">
        <v>563</v>
      </c>
      <c r="E86" s="144"/>
      <c r="F86" s="144"/>
      <c r="G86" s="144"/>
      <c r="P86" s="955" t="s">
        <v>991</v>
      </c>
      <c r="Q86" s="955" t="s">
        <v>992</v>
      </c>
      <c r="R86" s="955" t="s">
        <v>993</v>
      </c>
      <c r="S86" s="955" t="s">
        <v>994</v>
      </c>
      <c r="T86" s="963" t="s">
        <v>1010</v>
      </c>
    </row>
    <row r="87" spans="4:22" ht="30" customHeight="1" x14ac:dyDescent="0.35">
      <c r="D87" s="947" t="s">
        <v>564</v>
      </c>
      <c r="E87" s="820">
        <v>2018</v>
      </c>
      <c r="F87" s="820">
        <v>2019</v>
      </c>
      <c r="G87" s="821">
        <v>2020</v>
      </c>
      <c r="H87" s="903">
        <v>2021</v>
      </c>
      <c r="I87" s="904">
        <v>2022</v>
      </c>
      <c r="J87" s="904">
        <v>2023</v>
      </c>
      <c r="K87" s="904">
        <v>2024</v>
      </c>
      <c r="L87" s="905">
        <v>2025</v>
      </c>
      <c r="O87" s="30" t="s">
        <v>562</v>
      </c>
      <c r="P87" s="953">
        <v>2973</v>
      </c>
      <c r="Q87" s="953">
        <v>3062.8</v>
      </c>
      <c r="R87" s="953">
        <v>3085.2</v>
      </c>
      <c r="S87" s="954">
        <v>2106.1999999999998</v>
      </c>
      <c r="T87" s="953">
        <v>3123.2</v>
      </c>
    </row>
    <row r="88" spans="4:22" x14ac:dyDescent="0.35">
      <c r="D88" s="867" t="s">
        <v>554</v>
      </c>
      <c r="E88" s="167">
        <f t="shared" ref="E88:K90" si="27">E81/E73</f>
        <v>0.96346896346896349</v>
      </c>
      <c r="F88" s="167">
        <f t="shared" si="27"/>
        <v>0.98201292275452579</v>
      </c>
      <c r="G88" s="167">
        <f t="shared" si="27"/>
        <v>1.0581572405220632</v>
      </c>
      <c r="H88" s="898">
        <f t="shared" si="27"/>
        <v>0.91856247649039291</v>
      </c>
      <c r="I88" s="899">
        <f t="shared" si="27"/>
        <v>0.91856247649039302</v>
      </c>
      <c r="J88" s="899">
        <f t="shared" si="27"/>
        <v>0.91856247649039291</v>
      </c>
      <c r="K88" s="899">
        <f t="shared" si="27"/>
        <v>0.91856247649039291</v>
      </c>
      <c r="L88" s="936"/>
      <c r="T88" s="301"/>
    </row>
    <row r="89" spans="4:22" x14ac:dyDescent="0.35">
      <c r="D89" s="867" t="s">
        <v>561</v>
      </c>
      <c r="E89" s="167">
        <f t="shared" si="27"/>
        <v>1.1377808148970701</v>
      </c>
      <c r="F89" s="167">
        <f t="shared" si="27"/>
        <v>1.1162940324915553</v>
      </c>
      <c r="G89" s="167">
        <f t="shared" si="27"/>
        <v>1.0880916030534351</v>
      </c>
      <c r="H89" s="900">
        <f t="shared" si="27"/>
        <v>1.1639783637016698</v>
      </c>
      <c r="I89" s="897">
        <f t="shared" si="27"/>
        <v>1.1639783637016698</v>
      </c>
      <c r="J89" s="897">
        <f t="shared" si="27"/>
        <v>1.1639783637016698</v>
      </c>
      <c r="K89" s="897">
        <f t="shared" si="27"/>
        <v>1.1639783637016701</v>
      </c>
      <c r="L89" s="946"/>
    </row>
    <row r="90" spans="4:22" x14ac:dyDescent="0.35">
      <c r="D90" s="867" t="s">
        <v>105</v>
      </c>
      <c r="E90" s="167">
        <f t="shared" si="27"/>
        <v>1.1005135730007336</v>
      </c>
      <c r="F90" s="167">
        <f t="shared" si="27"/>
        <v>1.0257913247362251</v>
      </c>
      <c r="G90" s="167">
        <f t="shared" si="27"/>
        <v>1.0339743589743591</v>
      </c>
      <c r="H90" s="900">
        <f t="shared" si="27"/>
        <v>1.084890408929595</v>
      </c>
      <c r="I90" s="897">
        <f t="shared" si="27"/>
        <v>1.084890408929595</v>
      </c>
      <c r="J90" s="897">
        <f t="shared" si="27"/>
        <v>1.084890408929595</v>
      </c>
      <c r="K90" s="897">
        <f t="shared" si="27"/>
        <v>1.0848904089295948</v>
      </c>
      <c r="L90" s="946"/>
    </row>
    <row r="91" spans="4:22" x14ac:dyDescent="0.35">
      <c r="D91" s="866" t="s">
        <v>303</v>
      </c>
      <c r="E91" s="174">
        <f t="shared" ref="E91:K91" si="28">E84/E78</f>
        <v>1.0161211529066927</v>
      </c>
      <c r="F91" s="174">
        <f t="shared" si="28"/>
        <v>0.95134665508253702</v>
      </c>
      <c r="G91" s="174">
        <f t="shared" si="28"/>
        <v>0.94988207547169801</v>
      </c>
      <c r="H91" s="901">
        <f t="shared" si="28"/>
        <v>0.69672243573021075</v>
      </c>
      <c r="I91" s="902">
        <f t="shared" si="28"/>
        <v>0.69672243573021064</v>
      </c>
      <c r="J91" s="902">
        <f t="shared" si="28"/>
        <v>0.69672243573021075</v>
      </c>
      <c r="K91" s="902">
        <f t="shared" si="28"/>
        <v>0.69672243573021087</v>
      </c>
      <c r="L91" s="896"/>
    </row>
    <row r="93" spans="4:22" x14ac:dyDescent="0.35">
      <c r="D93" s="296"/>
      <c r="E93" s="144"/>
      <c r="F93" s="144"/>
      <c r="G93" s="144"/>
    </row>
    <row r="94" spans="4:22" x14ac:dyDescent="0.35">
      <c r="D94" s="156" t="s">
        <v>565</v>
      </c>
    </row>
    <row r="95" spans="4:22" x14ac:dyDescent="0.35">
      <c r="D95" s="957" t="s">
        <v>1009</v>
      </c>
      <c r="E95" s="819">
        <v>2018</v>
      </c>
      <c r="F95" s="915">
        <v>2019</v>
      </c>
      <c r="G95" s="915">
        <v>2020</v>
      </c>
      <c r="H95" s="916">
        <v>2021</v>
      </c>
      <c r="I95" s="917">
        <v>2022</v>
      </c>
      <c r="J95" s="917">
        <v>2023</v>
      </c>
      <c r="K95" s="917">
        <v>2024</v>
      </c>
      <c r="L95" s="918">
        <v>2025</v>
      </c>
    </row>
    <row r="96" spans="4:22" x14ac:dyDescent="0.35">
      <c r="D96" s="924" t="s">
        <v>566</v>
      </c>
      <c r="E96" s="560">
        <v>14016.099999999999</v>
      </c>
      <c r="F96" s="497">
        <v>14604.2</v>
      </c>
      <c r="G96" s="577">
        <v>14711.300000000001</v>
      </c>
      <c r="H96" s="958">
        <v>20725.8</v>
      </c>
      <c r="I96" s="958">
        <v>21293</v>
      </c>
      <c r="J96" s="958">
        <v>22393.200000000001</v>
      </c>
      <c r="K96" s="958">
        <v>23451.7</v>
      </c>
      <c r="L96" s="959">
        <v>24455.1</v>
      </c>
    </row>
    <row r="97" spans="4:25" x14ac:dyDescent="0.35">
      <c r="D97" s="924" t="s">
        <v>567</v>
      </c>
      <c r="E97" s="312">
        <v>8804</v>
      </c>
      <c r="F97" s="144">
        <v>9209</v>
      </c>
      <c r="G97" s="577">
        <v>9300</v>
      </c>
      <c r="H97" s="958">
        <v>10082.5</v>
      </c>
      <c r="I97" s="958">
        <v>11062.4</v>
      </c>
      <c r="J97" s="958">
        <v>11616.3</v>
      </c>
      <c r="K97" s="958">
        <v>12028</v>
      </c>
      <c r="L97" s="959">
        <v>12433.6</v>
      </c>
    </row>
    <row r="98" spans="4:25" x14ac:dyDescent="0.35">
      <c r="D98" s="924" t="s">
        <v>568</v>
      </c>
      <c r="E98" s="312">
        <v>13844</v>
      </c>
      <c r="F98" s="144">
        <v>14403</v>
      </c>
      <c r="G98" s="577">
        <v>14201</v>
      </c>
      <c r="H98" s="958">
        <v>15279.9</v>
      </c>
      <c r="I98" s="958">
        <v>16817.599999999999</v>
      </c>
      <c r="J98" s="958">
        <v>17789.8</v>
      </c>
      <c r="K98" s="958">
        <v>18525.3</v>
      </c>
      <c r="L98" s="959">
        <v>19204.5</v>
      </c>
    </row>
    <row r="99" spans="4:25" x14ac:dyDescent="0.35">
      <c r="D99" s="925" t="s">
        <v>569</v>
      </c>
      <c r="E99" s="892">
        <v>2211</v>
      </c>
      <c r="F99" s="848">
        <v>2243</v>
      </c>
      <c r="G99" s="838">
        <v>2125</v>
      </c>
      <c r="H99" s="960">
        <v>2678.6</v>
      </c>
      <c r="I99" s="960">
        <v>2946.3</v>
      </c>
      <c r="J99" s="960">
        <v>3018.1</v>
      </c>
      <c r="K99" s="960">
        <v>3000.1</v>
      </c>
      <c r="L99" s="961">
        <v>3037.1</v>
      </c>
    </row>
    <row r="101" spans="4:25" x14ac:dyDescent="0.35">
      <c r="D101" s="156" t="s">
        <v>570</v>
      </c>
    </row>
    <row r="102" spans="4:25" x14ac:dyDescent="0.35">
      <c r="D102" s="865" t="s">
        <v>571</v>
      </c>
      <c r="E102" s="741">
        <v>2018</v>
      </c>
      <c r="F102" s="883">
        <v>2019</v>
      </c>
      <c r="G102" s="883">
        <v>2020</v>
      </c>
      <c r="H102" s="911">
        <v>2021</v>
      </c>
      <c r="I102" s="884">
        <v>2022</v>
      </c>
      <c r="J102" s="884">
        <v>2023</v>
      </c>
      <c r="K102" s="884">
        <v>2024</v>
      </c>
      <c r="L102" s="912">
        <v>2025</v>
      </c>
    </row>
    <row r="103" spans="4:25" x14ac:dyDescent="0.35">
      <c r="D103" s="926" t="s">
        <v>554</v>
      </c>
      <c r="E103" s="919">
        <f t="shared" ref="E103:L105" si="29">E73/E96</f>
        <v>0.12011187134794987</v>
      </c>
      <c r="F103" s="920">
        <f t="shared" si="29"/>
        <v>0.11763054463784391</v>
      </c>
      <c r="G103" s="922">
        <f t="shared" si="29"/>
        <v>0.10937170746297063</v>
      </c>
      <c r="H103" s="891">
        <f t="shared" si="29"/>
        <v>9.8639232261239621E-2</v>
      </c>
      <c r="I103" s="891">
        <f t="shared" si="29"/>
        <v>0.12316277649931905</v>
      </c>
      <c r="J103" s="891">
        <f t="shared" si="29"/>
        <v>0.11516120965293035</v>
      </c>
      <c r="K103" s="891">
        <f t="shared" si="29"/>
        <v>0.10837998951035532</v>
      </c>
      <c r="L103" s="914">
        <f t="shared" si="29"/>
        <v>0.10382787230475443</v>
      </c>
    </row>
    <row r="104" spans="4:25" x14ac:dyDescent="0.35">
      <c r="D104" s="926" t="s">
        <v>556</v>
      </c>
      <c r="E104" s="921">
        <f t="shared" si="29"/>
        <v>0.13297364834166289</v>
      </c>
      <c r="F104" s="166">
        <f t="shared" si="29"/>
        <v>0.13502008904332718</v>
      </c>
      <c r="G104" s="948">
        <f t="shared" si="29"/>
        <v>0.14086021505376345</v>
      </c>
      <c r="H104" s="871">
        <f t="shared" si="29"/>
        <v>0.1303335482271262</v>
      </c>
      <c r="I104" s="871">
        <f t="shared" si="29"/>
        <v>0.13239378435059299</v>
      </c>
      <c r="J104" s="871">
        <f t="shared" si="29"/>
        <v>0.13529953599683206</v>
      </c>
      <c r="K104" s="871">
        <f t="shared" si="29"/>
        <v>0.13509993348852678</v>
      </c>
      <c r="L104" s="949">
        <f t="shared" si="29"/>
        <v>0.13423642388367008</v>
      </c>
    </row>
    <row r="105" spans="4:25" x14ac:dyDescent="0.35">
      <c r="D105" s="924" t="s">
        <v>572</v>
      </c>
      <c r="E105" s="921">
        <f t="shared" si="29"/>
        <v>9.8454203987286912E-3</v>
      </c>
      <c r="F105" s="166">
        <f t="shared" si="29"/>
        <v>1.1844754565021176E-2</v>
      </c>
      <c r="G105" s="948">
        <f t="shared" si="29"/>
        <v>1.0985141891416098E-2</v>
      </c>
      <c r="H105" s="871">
        <f t="shared" si="29"/>
        <v>1.016099581803546E-2</v>
      </c>
      <c r="I105" s="871">
        <f t="shared" si="29"/>
        <v>1.0842748073446866E-2</v>
      </c>
      <c r="J105" s="871">
        <f t="shared" si="29"/>
        <v>1.065245252897728E-2</v>
      </c>
      <c r="K105" s="871">
        <f t="shared" si="29"/>
        <v>1.0477509136154341E-2</v>
      </c>
      <c r="L105" s="949">
        <f t="shared" si="29"/>
        <v>1.0078523262776954E-2</v>
      </c>
    </row>
    <row r="106" spans="4:25" x14ac:dyDescent="0.35">
      <c r="D106" s="927" t="s">
        <v>106</v>
      </c>
      <c r="E106" s="183">
        <f t="shared" ref="E106:L106" si="30">E78/E99</f>
        <v>9.258254183627318E-2</v>
      </c>
      <c r="F106" s="184">
        <f t="shared" si="30"/>
        <v>0.10263040570664288</v>
      </c>
      <c r="G106" s="185">
        <f t="shared" si="30"/>
        <v>9.9764705882352936E-2</v>
      </c>
      <c r="H106" s="858">
        <f t="shared" si="30"/>
        <v>0.13881542596878968</v>
      </c>
      <c r="I106" s="858">
        <f t="shared" si="30"/>
        <v>0.13399857448325017</v>
      </c>
      <c r="J106" s="858">
        <f t="shared" si="30"/>
        <v>0.15108843312017495</v>
      </c>
      <c r="K106" s="858">
        <f t="shared" si="30"/>
        <v>0.15933502216592782</v>
      </c>
      <c r="L106" s="859">
        <f t="shared" si="30"/>
        <v>0.15908531164597808</v>
      </c>
    </row>
    <row r="108" spans="4:25" x14ac:dyDescent="0.35">
      <c r="D108" s="156" t="s">
        <v>573</v>
      </c>
    </row>
    <row r="109" spans="4:25" x14ac:dyDescent="0.35">
      <c r="D109" s="938" t="s">
        <v>400</v>
      </c>
    </row>
    <row r="110" spans="4:25" x14ac:dyDescent="0.35">
      <c r="D110" s="865" t="s">
        <v>574</v>
      </c>
      <c r="E110" s="820">
        <v>2018</v>
      </c>
      <c r="F110" s="915">
        <v>2019</v>
      </c>
      <c r="G110" s="915">
        <v>2020</v>
      </c>
      <c r="H110" s="916">
        <v>2021</v>
      </c>
      <c r="I110" s="917">
        <v>2022</v>
      </c>
      <c r="J110" s="917">
        <v>2023</v>
      </c>
      <c r="K110" s="917">
        <v>2024</v>
      </c>
      <c r="L110" s="918">
        <v>2025</v>
      </c>
    </row>
    <row r="111" spans="4:25" ht="20.25" customHeight="1" x14ac:dyDescent="0.35">
      <c r="D111" s="868" t="s">
        <v>554</v>
      </c>
      <c r="E111" s="919">
        <f t="shared" ref="E111:G114" si="31">E103*E88</f>
        <v>0.11572406018792676</v>
      </c>
      <c r="F111" s="920">
        <f t="shared" si="31"/>
        <v>0.11551471494501581</v>
      </c>
      <c r="G111" s="920">
        <f t="shared" si="31"/>
        <v>0.11573246416020334</v>
      </c>
      <c r="H111" s="913">
        <f>N129</f>
        <v>0.13083976407289996</v>
      </c>
      <c r="I111" s="891">
        <f>H111</f>
        <v>0.13083976407289996</v>
      </c>
      <c r="J111" s="891">
        <f t="shared" ref="J111:L111" si="32">I111</f>
        <v>0.13083976407289996</v>
      </c>
      <c r="K111" s="891">
        <f t="shared" si="32"/>
        <v>0.13083976407289996</v>
      </c>
      <c r="L111" s="914">
        <f t="shared" si="32"/>
        <v>0.13083976407289996</v>
      </c>
      <c r="M111" s="929"/>
      <c r="N111" s="928"/>
      <c r="O111" s="166"/>
      <c r="P111" s="166"/>
      <c r="Q111" s="166"/>
      <c r="R111" s="166"/>
      <c r="S111" s="166"/>
      <c r="T111" s="166"/>
      <c r="U111" s="166"/>
      <c r="V111" s="166"/>
      <c r="W111" s="166"/>
      <c r="X111" s="166"/>
      <c r="Y111" s="166"/>
    </row>
    <row r="112" spans="4:25" ht="18.75" customHeight="1" x14ac:dyDescent="0.35">
      <c r="D112" s="868" t="s">
        <v>556</v>
      </c>
      <c r="E112" s="921">
        <f t="shared" si="31"/>
        <v>0.15129486597001363</v>
      </c>
      <c r="F112" s="166">
        <f t="shared" si="31"/>
        <v>0.15072211966554458</v>
      </c>
      <c r="G112" s="166">
        <f t="shared" si="31"/>
        <v>0.15326881720430108</v>
      </c>
      <c r="H112" s="870">
        <f>N130</f>
        <v>0.14822588114733906</v>
      </c>
      <c r="I112" s="871">
        <f>H112</f>
        <v>0.14822588114733906</v>
      </c>
      <c r="J112" s="871">
        <f>I112</f>
        <v>0.14822588114733906</v>
      </c>
      <c r="K112" s="871">
        <f t="shared" ref="K112:L112" si="33">J112</f>
        <v>0.14822588114733906</v>
      </c>
      <c r="L112" s="949">
        <f t="shared" si="33"/>
        <v>0.14822588114733906</v>
      </c>
      <c r="M112" s="929"/>
      <c r="N112" s="928"/>
      <c r="O112" s="166"/>
      <c r="P112" s="166"/>
      <c r="Q112" s="166"/>
      <c r="R112" s="166"/>
      <c r="S112" s="166"/>
      <c r="T112" s="166"/>
      <c r="U112" s="166"/>
      <c r="V112" s="166"/>
      <c r="W112" s="166"/>
      <c r="X112" s="166"/>
      <c r="Y112" s="166"/>
    </row>
    <row r="113" spans="4:32" ht="19.149999999999999" customHeight="1" x14ac:dyDescent="0.35">
      <c r="D113" s="867" t="s">
        <v>105</v>
      </c>
      <c r="E113" s="921">
        <f t="shared" si="31"/>
        <v>1.0835018780699219E-2</v>
      </c>
      <c r="F113" s="166">
        <f t="shared" si="31"/>
        <v>1.2150246476428523E-2</v>
      </c>
      <c r="G113" s="166">
        <f t="shared" si="31"/>
        <v>1.1358355045419337E-2</v>
      </c>
      <c r="H113" s="870">
        <f>N131</f>
        <v>1.1211939165902553E-2</v>
      </c>
      <c r="I113" s="871">
        <f>AVERAGE($F90:$G90)*I105</f>
        <v>1.1166760199402452E-2</v>
      </c>
      <c r="J113" s="871">
        <f>AVERAGE($F90:$G90)*J105</f>
        <v>1.0970778083271715E-2</v>
      </c>
      <c r="K113" s="871">
        <f>J113</f>
        <v>1.0970778083271715E-2</v>
      </c>
      <c r="L113" s="949">
        <f>K113</f>
        <v>1.0970778083271715E-2</v>
      </c>
      <c r="M113" s="929"/>
      <c r="N113" s="928"/>
      <c r="O113" s="166"/>
      <c r="P113" s="166"/>
      <c r="Q113" s="166"/>
      <c r="R113" s="166"/>
      <c r="S113" s="166"/>
      <c r="T113" s="166"/>
      <c r="U113" s="166"/>
      <c r="V113" s="166"/>
      <c r="W113" s="166"/>
      <c r="X113" s="166"/>
      <c r="Y113" s="166"/>
    </row>
    <row r="114" spans="4:32" ht="19.149999999999999" customHeight="1" x14ac:dyDescent="0.35">
      <c r="D114" s="869" t="s">
        <v>106</v>
      </c>
      <c r="E114" s="183">
        <f t="shared" si="31"/>
        <v>9.4075079149706017E-2</v>
      </c>
      <c r="F114" s="184">
        <f t="shared" si="31"/>
        <v>9.7637093178778417E-2</v>
      </c>
      <c r="G114" s="184">
        <f t="shared" si="31"/>
        <v>9.4764705882352931E-2</v>
      </c>
      <c r="H114" s="857">
        <f>M132</f>
        <v>0.11594202898550723</v>
      </c>
      <c r="I114" s="858">
        <f>N132</f>
        <v>0.11690415853101242</v>
      </c>
      <c r="J114" s="858">
        <f>I114</f>
        <v>0.11690415853101242</v>
      </c>
      <c r="K114" s="858">
        <f>J114</f>
        <v>0.11690415853101242</v>
      </c>
      <c r="L114" s="859">
        <f>K114</f>
        <v>0.11690415853101242</v>
      </c>
      <c r="M114" s="929"/>
      <c r="N114" s="928"/>
      <c r="O114" s="166"/>
      <c r="P114" s="166"/>
      <c r="Q114" s="166"/>
      <c r="R114" s="166"/>
      <c r="S114" s="166"/>
      <c r="T114" s="166"/>
      <c r="U114" s="166"/>
      <c r="V114" s="166"/>
      <c r="W114" s="166"/>
      <c r="X114" s="166"/>
      <c r="Y114" s="166"/>
    </row>
    <row r="115" spans="4:32" x14ac:dyDescent="0.35">
      <c r="E115" s="850"/>
      <c r="F115" s="850"/>
      <c r="G115" s="850"/>
      <c r="H115" s="850"/>
      <c r="I115" s="850"/>
      <c r="J115" s="850"/>
      <c r="K115" s="850"/>
      <c r="L115" s="850"/>
    </row>
    <row r="116" spans="4:32" x14ac:dyDescent="0.35">
      <c r="D116" s="937" t="s">
        <v>413</v>
      </c>
      <c r="E116" s="166"/>
      <c r="F116" s="166"/>
      <c r="G116" s="166"/>
      <c r="H116" s="166"/>
      <c r="I116" s="166"/>
      <c r="J116" s="166"/>
      <c r="K116" s="166"/>
      <c r="L116" s="166"/>
      <c r="M116" s="166"/>
      <c r="N116" s="166"/>
      <c r="O116" s="166"/>
      <c r="P116" s="166"/>
      <c r="Q116" s="166"/>
      <c r="R116" s="166"/>
      <c r="S116" s="166"/>
      <c r="T116" s="166"/>
      <c r="U116" s="166"/>
      <c r="V116" s="166"/>
      <c r="W116" s="166"/>
      <c r="X116" s="166"/>
      <c r="Y116" s="166"/>
    </row>
    <row r="117" spans="4:32" ht="14.65" customHeight="1" x14ac:dyDescent="0.35">
      <c r="D117" s="1349" t="s">
        <v>978</v>
      </c>
      <c r="E117" s="1359"/>
      <c r="F117" s="1244">
        <v>2019</v>
      </c>
      <c r="G117" s="1245"/>
      <c r="H117" s="1252"/>
      <c r="I117" s="1244">
        <v>2020</v>
      </c>
      <c r="J117" s="1245"/>
      <c r="K117" s="1245"/>
      <c r="L117" s="1252"/>
      <c r="M117" s="1244">
        <v>2021</v>
      </c>
      <c r="N117" s="1245"/>
      <c r="O117" s="1245"/>
      <c r="P117" s="1252"/>
      <c r="Q117" s="1282">
        <v>2022</v>
      </c>
      <c r="R117" s="1283"/>
      <c r="S117" s="317"/>
      <c r="T117" s="318"/>
      <c r="U117" s="1279">
        <v>2023</v>
      </c>
      <c r="V117" s="1280"/>
      <c r="W117" s="1280"/>
      <c r="X117" s="1281"/>
      <c r="Y117" s="1279">
        <v>2024</v>
      </c>
      <c r="Z117" s="1280"/>
      <c r="AA117" s="1280"/>
      <c r="AB117" s="1280"/>
      <c r="AC117" s="285">
        <v>2025</v>
      </c>
    </row>
    <row r="118" spans="4:32" x14ac:dyDescent="0.35">
      <c r="D118" s="1362"/>
      <c r="E118" s="1363"/>
      <c r="F118" s="154" t="s">
        <v>329</v>
      </c>
      <c r="G118" s="153" t="s">
        <v>238</v>
      </c>
      <c r="H118" s="224" t="s">
        <v>327</v>
      </c>
      <c r="I118" s="154" t="s">
        <v>328</v>
      </c>
      <c r="J118" s="153" t="s">
        <v>329</v>
      </c>
      <c r="K118" s="153" t="s">
        <v>238</v>
      </c>
      <c r="L118" s="224" t="s">
        <v>327</v>
      </c>
      <c r="M118" s="154" t="s">
        <v>328</v>
      </c>
      <c r="N118" s="153" t="s">
        <v>329</v>
      </c>
      <c r="O118" s="153" t="s">
        <v>238</v>
      </c>
      <c r="P118" s="224" t="s">
        <v>327</v>
      </c>
      <c r="Q118" s="154" t="s">
        <v>328</v>
      </c>
      <c r="R118" s="224" t="s">
        <v>329</v>
      </c>
      <c r="S118" s="429" t="s">
        <v>238</v>
      </c>
      <c r="T118" s="443" t="s">
        <v>327</v>
      </c>
      <c r="U118" s="302" t="s">
        <v>328</v>
      </c>
      <c r="V118" s="303" t="s">
        <v>329</v>
      </c>
      <c r="W118" s="303" t="s">
        <v>238</v>
      </c>
      <c r="X118" s="304" t="s">
        <v>327</v>
      </c>
      <c r="Y118" s="302" t="s">
        <v>328</v>
      </c>
      <c r="Z118" s="298" t="s">
        <v>329</v>
      </c>
      <c r="AA118" s="303" t="s">
        <v>238</v>
      </c>
      <c r="AB118" s="303" t="s">
        <v>327</v>
      </c>
      <c r="AC118" s="306" t="s">
        <v>328</v>
      </c>
    </row>
    <row r="119" spans="4:32" x14ac:dyDescent="0.35">
      <c r="D119" s="950" t="s">
        <v>566</v>
      </c>
      <c r="E119" s="885"/>
      <c r="F119" s="407">
        <f>F120+F121</f>
        <v>14660.3</v>
      </c>
      <c r="G119" s="408">
        <f t="shared" ref="G119:AC119" si="34">G120+G121</f>
        <v>14748</v>
      </c>
      <c r="H119" s="408">
        <f t="shared" si="34"/>
        <v>14896.1</v>
      </c>
      <c r="I119" s="408">
        <f t="shared" si="34"/>
        <v>15018.7</v>
      </c>
      <c r="J119" s="408">
        <f t="shared" si="34"/>
        <v>14127</v>
      </c>
      <c r="K119" s="408">
        <f t="shared" si="34"/>
        <v>14803.099999999999</v>
      </c>
      <c r="L119" s="408">
        <f t="shared" si="34"/>
        <v>15014.2</v>
      </c>
      <c r="M119" s="408">
        <f t="shared" si="34"/>
        <v>15152.900000000001</v>
      </c>
      <c r="N119" s="408">
        <f t="shared" si="34"/>
        <v>15654.4</v>
      </c>
      <c r="O119" s="408">
        <f t="shared" si="34"/>
        <v>15799.3</v>
      </c>
      <c r="P119" s="408">
        <f t="shared" si="34"/>
        <v>15983.8</v>
      </c>
      <c r="Q119" s="408">
        <f>Q120+Q121</f>
        <v>16571.400000000001</v>
      </c>
      <c r="R119" s="486">
        <f t="shared" si="34"/>
        <v>16848</v>
      </c>
      <c r="S119" s="931">
        <f t="shared" si="34"/>
        <v>17094.3</v>
      </c>
      <c r="T119" s="931">
        <f t="shared" si="34"/>
        <v>17315.8</v>
      </c>
      <c r="U119" s="931">
        <f t="shared" si="34"/>
        <v>17535.5</v>
      </c>
      <c r="V119" s="931">
        <f t="shared" si="34"/>
        <v>17756.5</v>
      </c>
      <c r="W119" s="931">
        <f t="shared" si="34"/>
        <v>17973.8</v>
      </c>
      <c r="X119" s="931">
        <f t="shared" si="34"/>
        <v>18172.2</v>
      </c>
      <c r="Y119" s="931">
        <f t="shared" si="34"/>
        <v>18369</v>
      </c>
      <c r="Z119" s="931">
        <f t="shared" si="34"/>
        <v>18550.099999999999</v>
      </c>
      <c r="AA119" s="931">
        <f t="shared" si="34"/>
        <v>18735.8</v>
      </c>
      <c r="AB119" s="931">
        <f t="shared" si="34"/>
        <v>18924.199999999997</v>
      </c>
      <c r="AC119" s="932">
        <f t="shared" si="34"/>
        <v>19105.7</v>
      </c>
    </row>
    <row r="120" spans="4:32" ht="27.65" customHeight="1" x14ac:dyDescent="0.35">
      <c r="D120" s="310" t="s">
        <v>567</v>
      </c>
      <c r="E120" s="633"/>
      <c r="F120" s="560">
        <v>9274.9</v>
      </c>
      <c r="G120" s="497">
        <v>9311.2999999999993</v>
      </c>
      <c r="H120" s="497">
        <v>9422.5</v>
      </c>
      <c r="I120" s="497">
        <v>9526.1</v>
      </c>
      <c r="J120" s="497">
        <v>8908.7999999999993</v>
      </c>
      <c r="K120" s="497">
        <v>9343.2999999999993</v>
      </c>
      <c r="L120" s="497">
        <v>9546</v>
      </c>
      <c r="M120" s="497">
        <v>9702.2000000000007</v>
      </c>
      <c r="N120" s="497">
        <v>9950.4</v>
      </c>
      <c r="O120" s="497">
        <v>10175.1</v>
      </c>
      <c r="P120" s="497">
        <v>10336.6</v>
      </c>
      <c r="Q120" s="497">
        <v>10995.9</v>
      </c>
      <c r="R120" s="577">
        <v>11172.6</v>
      </c>
      <c r="S120" s="497">
        <v>11320.4</v>
      </c>
      <c r="T120" s="497">
        <v>11443.5</v>
      </c>
      <c r="U120" s="497">
        <v>11560.2</v>
      </c>
      <c r="V120" s="497">
        <v>11675.6</v>
      </c>
      <c r="W120" s="497">
        <v>11786</v>
      </c>
      <c r="X120" s="497">
        <v>11879</v>
      </c>
      <c r="Y120" s="497">
        <v>11978</v>
      </c>
      <c r="Z120" s="497">
        <v>12076.9</v>
      </c>
      <c r="AA120" s="497">
        <v>12178.3</v>
      </c>
      <c r="AB120" s="497">
        <v>12278.8</v>
      </c>
      <c r="AC120" s="577">
        <v>12377.5</v>
      </c>
    </row>
    <row r="121" spans="4:32" ht="27.65" customHeight="1" x14ac:dyDescent="0.35">
      <c r="D121" s="310" t="s">
        <v>977</v>
      </c>
      <c r="E121" s="633"/>
      <c r="F121" s="560">
        <v>5385.4</v>
      </c>
      <c r="G121" s="497">
        <v>5436.7</v>
      </c>
      <c r="H121" s="497">
        <v>5473.6</v>
      </c>
      <c r="I121" s="497">
        <v>5492.6</v>
      </c>
      <c r="J121" s="497">
        <v>5218.2</v>
      </c>
      <c r="K121" s="497">
        <v>5459.8</v>
      </c>
      <c r="L121" s="497">
        <v>5468.2</v>
      </c>
      <c r="M121" s="497">
        <v>5450.7</v>
      </c>
      <c r="N121" s="497">
        <v>5704</v>
      </c>
      <c r="O121" s="497">
        <v>5624.2</v>
      </c>
      <c r="P121" s="497">
        <v>5647.2</v>
      </c>
      <c r="Q121" s="497">
        <v>5575.5</v>
      </c>
      <c r="R121" s="577">
        <v>5675.4</v>
      </c>
      <c r="S121" s="497">
        <v>5773.9</v>
      </c>
      <c r="T121" s="497">
        <v>5872.3</v>
      </c>
      <c r="U121" s="497">
        <v>5975.3</v>
      </c>
      <c r="V121" s="497">
        <v>6080.9</v>
      </c>
      <c r="W121" s="497">
        <v>6187.8</v>
      </c>
      <c r="X121" s="497">
        <v>6293.2</v>
      </c>
      <c r="Y121" s="497">
        <v>6391</v>
      </c>
      <c r="Z121" s="497">
        <v>6473.2</v>
      </c>
      <c r="AA121" s="497">
        <v>6557.5</v>
      </c>
      <c r="AB121" s="497">
        <v>6645.4</v>
      </c>
      <c r="AC121" s="577">
        <v>6728.2</v>
      </c>
    </row>
    <row r="122" spans="4:32" x14ac:dyDescent="0.35">
      <c r="D122" s="312" t="s">
        <v>568</v>
      </c>
      <c r="E122" s="633"/>
      <c r="F122" s="639"/>
      <c r="G122" s="633"/>
      <c r="H122" s="497"/>
      <c r="I122" s="497"/>
      <c r="J122" s="497"/>
      <c r="K122" s="497"/>
      <c r="L122" s="497"/>
      <c r="M122" s="497">
        <v>15041</v>
      </c>
      <c r="N122" s="497">
        <v>15551</v>
      </c>
      <c r="O122" s="497">
        <v>15824</v>
      </c>
      <c r="P122" s="497">
        <v>16056</v>
      </c>
      <c r="Q122" s="497">
        <v>16690.7</v>
      </c>
      <c r="R122" s="577">
        <v>16993</v>
      </c>
      <c r="S122" s="497">
        <v>17251.3</v>
      </c>
      <c r="T122" s="497">
        <v>17488.099999999999</v>
      </c>
      <c r="U122" s="497">
        <v>17692.3</v>
      </c>
      <c r="V122" s="497">
        <v>17892.599999999999</v>
      </c>
      <c r="W122" s="497">
        <v>18086.3</v>
      </c>
      <c r="X122" s="497">
        <v>18268.2</v>
      </c>
      <c r="Y122" s="497">
        <v>18446.3</v>
      </c>
      <c r="Z122" s="497">
        <v>18612.400000000001</v>
      </c>
      <c r="AA122" s="497">
        <v>18774.5</v>
      </c>
      <c r="AB122" s="497">
        <v>18946.900000000001</v>
      </c>
      <c r="AC122" s="577">
        <v>19117.900000000001</v>
      </c>
    </row>
    <row r="123" spans="4:32" x14ac:dyDescent="0.35">
      <c r="D123" s="313" t="s">
        <v>575</v>
      </c>
      <c r="E123" s="634"/>
      <c r="F123" s="666"/>
      <c r="G123" s="634"/>
      <c r="H123" s="848"/>
      <c r="I123" s="848"/>
      <c r="J123" s="848"/>
      <c r="K123" s="848"/>
      <c r="L123" s="848"/>
      <c r="M123" s="848">
        <v>1874</v>
      </c>
      <c r="N123" s="848">
        <v>2307</v>
      </c>
      <c r="O123" s="848">
        <v>2443</v>
      </c>
      <c r="P123" s="848">
        <v>2460</v>
      </c>
      <c r="Q123" s="848">
        <v>2329.5</v>
      </c>
      <c r="R123" s="838">
        <v>2420.1999999999998</v>
      </c>
      <c r="S123" s="848">
        <v>2468.6999999999998</v>
      </c>
      <c r="T123" s="848">
        <v>2486.6999999999998</v>
      </c>
      <c r="U123" s="848">
        <v>2482.1999999999998</v>
      </c>
      <c r="V123" s="848">
        <v>2468.8000000000002</v>
      </c>
      <c r="W123" s="848">
        <v>2453.8000000000002</v>
      </c>
      <c r="X123" s="848">
        <v>2440.6999999999998</v>
      </c>
      <c r="Y123" s="848">
        <v>2429.4</v>
      </c>
      <c r="Z123" s="848">
        <v>2426.5</v>
      </c>
      <c r="AA123" s="848">
        <v>2418</v>
      </c>
      <c r="AB123" s="848">
        <v>2431.3000000000002</v>
      </c>
      <c r="AC123" s="838">
        <v>2440.1</v>
      </c>
    </row>
    <row r="124" spans="4:32" x14ac:dyDescent="0.35">
      <c r="D124" s="952"/>
      <c r="E124" s="640"/>
      <c r="F124" s="640"/>
      <c r="G124" s="640"/>
      <c r="H124" s="497"/>
      <c r="I124" s="497"/>
      <c r="J124" s="497"/>
      <c r="K124" s="497"/>
      <c r="L124" s="497"/>
      <c r="M124" s="497"/>
      <c r="N124" s="497"/>
      <c r="O124" s="497"/>
      <c r="P124" s="497"/>
      <c r="Q124" s="497"/>
      <c r="R124" s="497"/>
      <c r="S124" s="497"/>
      <c r="T124" s="497"/>
      <c r="U124" s="497"/>
      <c r="V124" s="497"/>
      <c r="W124" s="497"/>
      <c r="X124" s="497"/>
      <c r="Y124" s="497"/>
      <c r="Z124" s="497"/>
      <c r="AA124" s="497"/>
      <c r="AB124" s="497"/>
      <c r="AC124" s="497"/>
    </row>
    <row r="125" spans="4:32" x14ac:dyDescent="0.35">
      <c r="D125" s="181"/>
    </row>
    <row r="126" spans="4:32" ht="14.65" customHeight="1" x14ac:dyDescent="0.35">
      <c r="D126" s="1349" t="s">
        <v>576</v>
      </c>
      <c r="E126" s="1359"/>
      <c r="F126" s="1244">
        <v>2019</v>
      </c>
      <c r="G126" s="1245"/>
      <c r="H126" s="1252"/>
      <c r="I126" s="1245">
        <v>2020</v>
      </c>
      <c r="J126" s="1245"/>
      <c r="K126" s="1245"/>
      <c r="L126" s="1252"/>
      <c r="M126" s="1244">
        <v>2021</v>
      </c>
      <c r="N126" s="1245"/>
      <c r="O126" s="1245"/>
      <c r="P126" s="1252"/>
      <c r="Q126" s="1282">
        <v>2022</v>
      </c>
      <c r="R126" s="1283"/>
      <c r="S126" s="317"/>
      <c r="T126" s="318"/>
      <c r="U126" s="1279">
        <v>2023</v>
      </c>
      <c r="V126" s="1280"/>
      <c r="W126" s="1280"/>
      <c r="X126" s="1281"/>
      <c r="Y126" s="1279">
        <v>2024</v>
      </c>
      <c r="Z126" s="1280"/>
      <c r="AA126" s="1280"/>
      <c r="AB126" s="1280"/>
      <c r="AC126" s="285">
        <v>2025</v>
      </c>
      <c r="AD126" s="877"/>
      <c r="AE126" s="877"/>
      <c r="AF126" s="877"/>
    </row>
    <row r="127" spans="4:32" x14ac:dyDescent="0.35">
      <c r="D127" s="1360"/>
      <c r="E127" s="1361"/>
      <c r="F127" s="154" t="s">
        <v>329</v>
      </c>
      <c r="G127" s="153" t="s">
        <v>238</v>
      </c>
      <c r="H127" s="224" t="s">
        <v>327</v>
      </c>
      <c r="I127" s="153" t="s">
        <v>328</v>
      </c>
      <c r="J127" s="153" t="s">
        <v>329</v>
      </c>
      <c r="K127" s="153" t="s">
        <v>238</v>
      </c>
      <c r="L127" s="224" t="s">
        <v>327</v>
      </c>
      <c r="M127" s="154" t="s">
        <v>328</v>
      </c>
      <c r="N127" s="153" t="s">
        <v>329</v>
      </c>
      <c r="O127" s="153" t="s">
        <v>238</v>
      </c>
      <c r="P127" s="224" t="s">
        <v>327</v>
      </c>
      <c r="Q127" s="154" t="s">
        <v>328</v>
      </c>
      <c r="R127" s="224" t="s">
        <v>329</v>
      </c>
      <c r="S127" s="429" t="s">
        <v>238</v>
      </c>
      <c r="T127" s="443" t="s">
        <v>327</v>
      </c>
      <c r="U127" s="302" t="s">
        <v>328</v>
      </c>
      <c r="V127" s="303" t="s">
        <v>329</v>
      </c>
      <c r="W127" s="303" t="s">
        <v>238</v>
      </c>
      <c r="X127" s="304" t="s">
        <v>327</v>
      </c>
      <c r="Y127" s="302" t="s">
        <v>328</v>
      </c>
      <c r="Z127" s="298" t="s">
        <v>329</v>
      </c>
      <c r="AA127" s="303" t="s">
        <v>238</v>
      </c>
      <c r="AB127" s="303" t="s">
        <v>327</v>
      </c>
      <c r="AC127" s="306" t="s">
        <v>328</v>
      </c>
    </row>
    <row r="128" spans="4:32" x14ac:dyDescent="0.35">
      <c r="D128" s="1352" t="s">
        <v>577</v>
      </c>
      <c r="E128" s="1353"/>
      <c r="F128" s="315"/>
      <c r="G128" s="311"/>
      <c r="H128" s="311"/>
      <c r="I128" s="311"/>
      <c r="J128" s="311"/>
      <c r="K128" s="311"/>
      <c r="L128" s="311"/>
      <c r="M128" s="311"/>
      <c r="N128" s="311"/>
      <c r="O128" s="311"/>
      <c r="P128" s="311"/>
      <c r="Q128" s="311"/>
      <c r="R128" s="776"/>
      <c r="S128" s="275"/>
      <c r="T128" s="275"/>
      <c r="U128" s="275"/>
      <c r="V128" s="275"/>
      <c r="W128" s="275"/>
      <c r="X128" s="275"/>
      <c r="Y128" s="275"/>
      <c r="Z128" s="275"/>
      <c r="AA128" s="275"/>
      <c r="AB128" s="275"/>
      <c r="AC128" s="276"/>
    </row>
    <row r="129" spans="4:30" x14ac:dyDescent="0.35">
      <c r="D129" s="594" t="s">
        <v>545</v>
      </c>
      <c r="F129" s="921"/>
      <c r="G129" s="166"/>
      <c r="H129" s="166">
        <f t="shared" ref="H129:R129" si="35">H10/H134</f>
        <v>0.11520931070611083</v>
      </c>
      <c r="I129" s="166">
        <f t="shared" si="35"/>
        <v>0.11566144134388082</v>
      </c>
      <c r="J129" s="166">
        <f t="shared" si="35"/>
        <v>0.11281835698020669</v>
      </c>
      <c r="K129" s="166">
        <f t="shared" si="35"/>
        <v>0.11518678305073408</v>
      </c>
      <c r="L129" s="166">
        <f t="shared" si="35"/>
        <v>0.11990448353254346</v>
      </c>
      <c r="M129" s="166">
        <f t="shared" si="35"/>
        <v>0.12789328127541891</v>
      </c>
      <c r="N129" s="166">
        <f t="shared" si="35"/>
        <v>0.13083976407289996</v>
      </c>
      <c r="O129" s="166">
        <f t="shared" si="35"/>
        <v>0.13349080813015168</v>
      </c>
      <c r="P129" s="166">
        <f t="shared" si="35"/>
        <v>0.13507699001667917</v>
      </c>
      <c r="Q129" s="166">
        <f t="shared" si="35"/>
        <v>0.15293907130714859</v>
      </c>
      <c r="R129" s="948">
        <f t="shared" si="35"/>
        <v>0.1529085515284406</v>
      </c>
      <c r="S129" s="429"/>
      <c r="T129" s="429"/>
      <c r="U129" s="429"/>
      <c r="V129" s="429"/>
      <c r="W129" s="429"/>
      <c r="X129" s="429"/>
      <c r="Y129" s="429"/>
      <c r="Z129" s="429"/>
      <c r="AA129" s="429"/>
      <c r="AB129" s="429"/>
      <c r="AC129" s="443"/>
    </row>
    <row r="130" spans="4:30" x14ac:dyDescent="0.35">
      <c r="D130" s="594" t="s">
        <v>546</v>
      </c>
      <c r="F130" s="921"/>
      <c r="G130" s="166"/>
      <c r="H130" s="166">
        <f t="shared" ref="H130:R130" si="36">H13/H139</f>
        <v>0.15062717402761674</v>
      </c>
      <c r="I130" s="166">
        <f t="shared" si="36"/>
        <v>0.15103642270684339</v>
      </c>
      <c r="J130" s="166">
        <f t="shared" si="36"/>
        <v>0.15387605940440088</v>
      </c>
      <c r="K130" s="166">
        <f t="shared" si="36"/>
        <v>0.15183673469387757</v>
      </c>
      <c r="L130" s="166">
        <f t="shared" si="36"/>
        <v>0.1496195679926467</v>
      </c>
      <c r="M130" s="166">
        <f t="shared" si="36"/>
        <v>0.14955735161391731</v>
      </c>
      <c r="N130" s="166">
        <f t="shared" si="36"/>
        <v>0.14822588114733906</v>
      </c>
      <c r="O130" s="166">
        <f t="shared" si="36"/>
        <v>0.14724543781628582</v>
      </c>
      <c r="P130" s="166">
        <f t="shared" si="36"/>
        <v>0.14666765802020501</v>
      </c>
      <c r="Q130" s="166">
        <f t="shared" si="36"/>
        <v>0.1478248151161409</v>
      </c>
      <c r="R130" s="948">
        <f t="shared" si="36"/>
        <v>0.147739226598815</v>
      </c>
      <c r="S130" s="429"/>
      <c r="T130" s="429"/>
      <c r="U130" s="429"/>
      <c r="V130" s="429"/>
      <c r="W130" s="429"/>
      <c r="X130" s="429"/>
      <c r="Y130" s="429"/>
      <c r="Z130" s="429"/>
      <c r="AA130" s="429"/>
      <c r="AB130" s="429"/>
      <c r="AC130" s="443"/>
    </row>
    <row r="131" spans="4:30" x14ac:dyDescent="0.35">
      <c r="D131" s="594" t="s">
        <v>547</v>
      </c>
      <c r="F131" s="921"/>
      <c r="G131" s="166"/>
      <c r="H131" s="166">
        <f t="shared" ref="H131:R131" si="37">H14/H140</f>
        <v>1.2100690881729256E-2</v>
      </c>
      <c r="I131" s="166">
        <f t="shared" si="37"/>
        <v>1.2922258694477915E-2</v>
      </c>
      <c r="J131" s="166">
        <f t="shared" si="37"/>
        <v>1.016107526552131E-2</v>
      </c>
      <c r="K131" s="166">
        <f t="shared" si="37"/>
        <v>1.0362298192331481E-2</v>
      </c>
      <c r="L131" s="166">
        <f t="shared" si="37"/>
        <v>1.0626628273687096E-2</v>
      </c>
      <c r="M131" s="166">
        <f t="shared" si="37"/>
        <v>1.0349271387502891E-2</v>
      </c>
      <c r="N131" s="166">
        <f t="shared" si="37"/>
        <v>1.1211939165902553E-2</v>
      </c>
      <c r="O131" s="166">
        <f t="shared" si="37"/>
        <v>1.0949198937283633E-2</v>
      </c>
      <c r="P131" s="166">
        <f t="shared" si="37"/>
        <v>1.135730718004601E-2</v>
      </c>
      <c r="Q131" s="166">
        <f t="shared" si="37"/>
        <v>1.1994216227747885E-2</v>
      </c>
      <c r="R131" s="948">
        <f t="shared" si="37"/>
        <v>1.2131183630433398E-2</v>
      </c>
      <c r="S131" s="429"/>
      <c r="T131" s="429"/>
      <c r="U131" s="429"/>
      <c r="V131" s="429"/>
      <c r="W131" s="429"/>
      <c r="X131" s="429"/>
      <c r="Y131" s="429"/>
      <c r="Z131" s="429"/>
      <c r="AA131" s="429"/>
      <c r="AB131" s="429"/>
      <c r="AC131" s="443"/>
    </row>
    <row r="132" spans="4:30" x14ac:dyDescent="0.35">
      <c r="D132" s="474" t="s">
        <v>548</v>
      </c>
      <c r="F132" s="921"/>
      <c r="G132" s="166"/>
      <c r="H132" s="166">
        <f t="shared" ref="H132:R132" si="38">H17/H141</f>
        <v>0.11697176543592926</v>
      </c>
      <c r="I132" s="166">
        <f t="shared" si="38"/>
        <v>0.10545412659102689</v>
      </c>
      <c r="J132" s="166">
        <f t="shared" si="38"/>
        <v>0.11132677978836643</v>
      </c>
      <c r="K132" s="166">
        <f t="shared" si="38"/>
        <v>0.10700112684336878</v>
      </c>
      <c r="L132" s="166">
        <f t="shared" si="38"/>
        <v>0.11630892472013966</v>
      </c>
      <c r="M132" s="166">
        <f t="shared" si="38"/>
        <v>0.11594202898550723</v>
      </c>
      <c r="N132" s="166">
        <f t="shared" si="38"/>
        <v>0.11690415853101242</v>
      </c>
      <c r="O132" s="166">
        <f t="shared" si="38"/>
        <v>0.11448309893905748</v>
      </c>
      <c r="P132" s="166">
        <f t="shared" si="38"/>
        <v>0.12475442043222006</v>
      </c>
      <c r="Q132" s="166">
        <f t="shared" si="38"/>
        <v>0.12899247749414233</v>
      </c>
      <c r="R132" s="166">
        <f t="shared" si="38"/>
        <v>0.13911536492181653</v>
      </c>
      <c r="S132" s="429"/>
      <c r="T132" s="429"/>
      <c r="U132" s="429"/>
      <c r="V132" s="429"/>
      <c r="W132" s="429"/>
      <c r="X132" s="429"/>
      <c r="Y132" s="429"/>
      <c r="Z132" s="429"/>
      <c r="AA132" s="429"/>
      <c r="AB132" s="429"/>
      <c r="AC132" s="443"/>
    </row>
    <row r="133" spans="4:30" x14ac:dyDescent="0.35">
      <c r="D133" s="701" t="s">
        <v>578</v>
      </c>
      <c r="F133" s="312"/>
      <c r="G133" s="144"/>
      <c r="H133" s="144"/>
      <c r="I133" s="144"/>
      <c r="J133" s="144"/>
      <c r="K133" s="144"/>
      <c r="L133" s="144"/>
      <c r="M133" s="144"/>
      <c r="N133" s="144"/>
      <c r="O133" s="144"/>
      <c r="P133" s="144"/>
      <c r="Q133" s="144"/>
      <c r="R133" s="155"/>
      <c r="S133" s="429"/>
      <c r="T133" s="429"/>
      <c r="U133" s="429"/>
      <c r="V133" s="429"/>
      <c r="W133" s="429"/>
      <c r="X133" s="429"/>
      <c r="Y133" s="429"/>
      <c r="Z133" s="429"/>
      <c r="AA133" s="429"/>
      <c r="AB133" s="429"/>
      <c r="AC133" s="443"/>
    </row>
    <row r="134" spans="4:30" x14ac:dyDescent="0.35">
      <c r="D134" s="852" t="s">
        <v>579</v>
      </c>
      <c r="F134" s="560">
        <f>SUM(F135:F138)</f>
        <v>14677.800000000003</v>
      </c>
      <c r="G134" s="497">
        <f t="shared" ref="G134:O134" si="39">SUM(G135:G138)</f>
        <v>14803.5</v>
      </c>
      <c r="H134" s="497">
        <f t="shared" si="39"/>
        <v>14984.9</v>
      </c>
      <c r="I134" s="497">
        <f t="shared" si="39"/>
        <v>15144.2</v>
      </c>
      <c r="J134" s="497">
        <f t="shared" si="39"/>
        <v>14272.5</v>
      </c>
      <c r="K134" s="497">
        <f t="shared" si="39"/>
        <v>14950.5</v>
      </c>
      <c r="L134" s="497">
        <f t="shared" si="39"/>
        <v>15327.199999999999</v>
      </c>
      <c r="M134" s="497">
        <f t="shared" si="39"/>
        <v>15367.5</v>
      </c>
      <c r="N134" s="497">
        <f t="shared" si="39"/>
        <v>15835.400000000001</v>
      </c>
      <c r="O134" s="497">
        <f t="shared" si="39"/>
        <v>16171.900000000001</v>
      </c>
      <c r="P134" s="497">
        <f t="shared" ref="P134:R134" si="40">SUM(P135:P138)</f>
        <v>16547.599999999999</v>
      </c>
      <c r="Q134" s="497">
        <f t="shared" si="40"/>
        <v>16765.5</v>
      </c>
      <c r="R134" s="577">
        <f t="shared" si="40"/>
        <v>17056.599999999999</v>
      </c>
      <c r="S134" s="429"/>
      <c r="T134" s="429"/>
      <c r="U134" s="429"/>
      <c r="V134" s="429"/>
      <c r="W134" s="429"/>
      <c r="X134" s="429"/>
      <c r="Y134" s="429"/>
      <c r="Z134" s="429"/>
      <c r="AA134" s="429"/>
      <c r="AB134" s="429"/>
      <c r="AC134" s="443"/>
    </row>
    <row r="135" spans="4:30" x14ac:dyDescent="0.35">
      <c r="D135" s="930" t="s">
        <v>853</v>
      </c>
      <c r="E135" s="156" t="s">
        <v>849</v>
      </c>
      <c r="F135" s="560">
        <f>'Haver Pivoted'!GQ81</f>
        <v>9284.7000000000007</v>
      </c>
      <c r="G135" s="497">
        <f>'Haver Pivoted'!GR81</f>
        <v>9340.5</v>
      </c>
      <c r="H135" s="497">
        <f>'Haver Pivoted'!GS81</f>
        <v>9487</v>
      </c>
      <c r="I135" s="497">
        <f>'Haver Pivoted'!GT81</f>
        <v>9634.1</v>
      </c>
      <c r="J135" s="497">
        <f>'Haver Pivoted'!GU81</f>
        <v>9002.7000000000007</v>
      </c>
      <c r="K135" s="497">
        <f>'Haver Pivoted'!GV81</f>
        <v>9432.5</v>
      </c>
      <c r="L135" s="497">
        <f>'Haver Pivoted'!GW81</f>
        <v>9791.5</v>
      </c>
      <c r="M135" s="497">
        <f>'Haver Pivoted'!GX81</f>
        <v>9861.1</v>
      </c>
      <c r="N135" s="497">
        <f>'Haver Pivoted'!GY81</f>
        <v>10148.700000000001</v>
      </c>
      <c r="O135" s="497">
        <f>'Haver Pivoted'!GZ81</f>
        <v>10433.6</v>
      </c>
      <c r="P135" s="497">
        <f>'Haver Pivoted'!HA81</f>
        <v>10759.7</v>
      </c>
      <c r="Q135" s="497">
        <f>'Haver Pivoted'!HB81</f>
        <v>10939.3</v>
      </c>
      <c r="R135" s="577">
        <f>'Haver Pivoted'!HC81</f>
        <v>11122.3</v>
      </c>
      <c r="S135" s="429"/>
      <c r="T135" s="429"/>
      <c r="U135" s="429"/>
      <c r="V135" s="429"/>
      <c r="W135" s="429"/>
      <c r="X135" s="429"/>
      <c r="Y135" s="429"/>
      <c r="Z135" s="429"/>
      <c r="AA135" s="429"/>
      <c r="AB135" s="429"/>
      <c r="AC135" s="443"/>
    </row>
    <row r="136" spans="4:30" x14ac:dyDescent="0.35">
      <c r="D136" s="930" t="s">
        <v>580</v>
      </c>
      <c r="E136" s="156" t="s">
        <v>850</v>
      </c>
      <c r="F136" s="560">
        <f>'Haver Pivoted'!GQ82</f>
        <v>1575.2</v>
      </c>
      <c r="G136" s="497">
        <f>'Haver Pivoted'!GR82</f>
        <v>1615.3</v>
      </c>
      <c r="H136" s="497">
        <f>'Haver Pivoted'!GS82</f>
        <v>1631.9</v>
      </c>
      <c r="I136" s="497">
        <f>'Haver Pivoted'!GT82</f>
        <v>1643.2</v>
      </c>
      <c r="J136" s="497">
        <f>'Haver Pivoted'!GU82</f>
        <v>1475.6</v>
      </c>
      <c r="K136" s="497">
        <f>'Haver Pivoted'!GV82</f>
        <v>1751.6</v>
      </c>
      <c r="L136" s="497">
        <f>'Haver Pivoted'!GW82</f>
        <v>1702</v>
      </c>
      <c r="M136" s="497">
        <f>'Haver Pivoted'!GX82</f>
        <v>1655</v>
      </c>
      <c r="N136" s="497">
        <f>'Haver Pivoted'!GY82</f>
        <v>1776.9</v>
      </c>
      <c r="O136" s="497">
        <f>'Haver Pivoted'!GZ82</f>
        <v>1792.7</v>
      </c>
      <c r="P136" s="497">
        <f>'Haver Pivoted'!HA82</f>
        <v>1789.8</v>
      </c>
      <c r="Q136" s="497">
        <f>'Haver Pivoted'!HB82</f>
        <v>1811.4</v>
      </c>
      <c r="R136" s="577">
        <f>'Haver Pivoted'!HC82</f>
        <v>1835.4</v>
      </c>
      <c r="S136" s="429"/>
      <c r="T136" s="429"/>
      <c r="U136" s="429"/>
      <c r="V136" s="429"/>
      <c r="W136" s="429"/>
      <c r="X136" s="429"/>
      <c r="Y136" s="429"/>
      <c r="Z136" s="429"/>
      <c r="AA136" s="429"/>
      <c r="AB136" s="429"/>
      <c r="AC136" s="443"/>
    </row>
    <row r="137" spans="4:30" x14ac:dyDescent="0.35">
      <c r="D137" s="930" t="s">
        <v>581</v>
      </c>
      <c r="E137" s="156" t="s">
        <v>856</v>
      </c>
      <c r="F137" s="560">
        <f>'Haver Pivoted'!GQ83</f>
        <v>696.1</v>
      </c>
      <c r="G137" s="497">
        <f>'Haver Pivoted'!GR83</f>
        <v>699.1</v>
      </c>
      <c r="H137" s="497">
        <f>'Haver Pivoted'!GS83</f>
        <v>708</v>
      </c>
      <c r="I137" s="497">
        <f>'Haver Pivoted'!GT83</f>
        <v>722.6</v>
      </c>
      <c r="J137" s="497">
        <f>'Haver Pivoted'!GU83</f>
        <v>717.9</v>
      </c>
      <c r="K137" s="497">
        <f>'Haver Pivoted'!GV83</f>
        <v>722.6</v>
      </c>
      <c r="L137" s="497">
        <f>'Haver Pivoted'!GW83</f>
        <v>716.3</v>
      </c>
      <c r="M137" s="497">
        <f>'Haver Pivoted'!GX83</f>
        <v>719.4</v>
      </c>
      <c r="N137" s="497">
        <f>'Haver Pivoted'!GY83</f>
        <v>713.5</v>
      </c>
      <c r="O137" s="497">
        <f>'Haver Pivoted'!GZ83</f>
        <v>722.7</v>
      </c>
      <c r="P137" s="497">
        <f>'Haver Pivoted'!HA83</f>
        <v>739.6</v>
      </c>
      <c r="Q137" s="497">
        <f>'Haver Pivoted'!HB83</f>
        <v>744.9</v>
      </c>
      <c r="R137" s="577">
        <f>'Haver Pivoted'!HC83</f>
        <v>775.9</v>
      </c>
      <c r="S137" s="429"/>
      <c r="T137" s="429"/>
      <c r="U137" s="429"/>
      <c r="V137" s="429"/>
      <c r="W137" s="429"/>
      <c r="X137" s="429"/>
      <c r="Y137" s="429"/>
      <c r="Z137" s="429"/>
      <c r="AA137" s="429"/>
      <c r="AB137" s="429"/>
      <c r="AC137" s="443"/>
    </row>
    <row r="138" spans="4:30" x14ac:dyDescent="0.35">
      <c r="D138" s="930" t="s">
        <v>582</v>
      </c>
      <c r="E138" s="156" t="s">
        <v>852</v>
      </c>
      <c r="F138" s="560">
        <f>'Haver Pivoted'!GQ84</f>
        <v>3121.8</v>
      </c>
      <c r="G138" s="497">
        <f>'Haver Pivoted'!GR84</f>
        <v>3148.6</v>
      </c>
      <c r="H138" s="497">
        <f>'Haver Pivoted'!GS84</f>
        <v>3158</v>
      </c>
      <c r="I138" s="497">
        <f>'Haver Pivoted'!GT84</f>
        <v>3144.3</v>
      </c>
      <c r="J138" s="497">
        <f>'Haver Pivoted'!GU84</f>
        <v>3076.3</v>
      </c>
      <c r="K138" s="497">
        <f>'Haver Pivoted'!GV84</f>
        <v>3043.8</v>
      </c>
      <c r="L138" s="497">
        <f>'Haver Pivoted'!GW84</f>
        <v>3117.4</v>
      </c>
      <c r="M138" s="497">
        <f>'Haver Pivoted'!GX84</f>
        <v>3132</v>
      </c>
      <c r="N138" s="497">
        <f>'Haver Pivoted'!GY84</f>
        <v>3196.3</v>
      </c>
      <c r="O138" s="497">
        <f>'Haver Pivoted'!GZ84</f>
        <v>3222.9</v>
      </c>
      <c r="P138" s="497">
        <f>'Haver Pivoted'!HA84</f>
        <v>3258.5</v>
      </c>
      <c r="Q138" s="497">
        <f>'Haver Pivoted'!HB84</f>
        <v>3269.9</v>
      </c>
      <c r="R138" s="577">
        <f>'Haver Pivoted'!HC84</f>
        <v>3323</v>
      </c>
      <c r="S138" s="429"/>
      <c r="T138" s="429"/>
      <c r="U138" s="429"/>
      <c r="V138" s="429"/>
      <c r="W138" s="429"/>
      <c r="X138" s="429"/>
      <c r="Y138" s="429"/>
      <c r="Z138" s="429"/>
      <c r="AA138" s="429"/>
      <c r="AB138" s="429"/>
      <c r="AC138" s="443"/>
    </row>
    <row r="139" spans="4:30" x14ac:dyDescent="0.35">
      <c r="D139" s="852" t="s">
        <v>567</v>
      </c>
      <c r="F139" s="560">
        <f>F135</f>
        <v>9284.7000000000007</v>
      </c>
      <c r="G139" s="497">
        <f t="shared" ref="G139:O139" si="41">G135</f>
        <v>9340.5</v>
      </c>
      <c r="H139" s="497">
        <f t="shared" si="41"/>
        <v>9487</v>
      </c>
      <c r="I139" s="497">
        <f t="shared" si="41"/>
        <v>9634.1</v>
      </c>
      <c r="J139" s="497">
        <f t="shared" si="41"/>
        <v>9002.7000000000007</v>
      </c>
      <c r="K139" s="497">
        <f t="shared" si="41"/>
        <v>9432.5</v>
      </c>
      <c r="L139" s="497">
        <f t="shared" si="41"/>
        <v>9791.5</v>
      </c>
      <c r="M139" s="497">
        <f t="shared" si="41"/>
        <v>9861.1</v>
      </c>
      <c r="N139" s="497">
        <f t="shared" si="41"/>
        <v>10148.700000000001</v>
      </c>
      <c r="O139" s="497">
        <f t="shared" si="41"/>
        <v>10433.6</v>
      </c>
      <c r="P139" s="497">
        <f t="shared" ref="P139:R139" si="42">P135</f>
        <v>10759.7</v>
      </c>
      <c r="Q139" s="497">
        <f t="shared" si="42"/>
        <v>10939.3</v>
      </c>
      <c r="R139" s="577">
        <f t="shared" si="42"/>
        <v>11122.3</v>
      </c>
      <c r="S139" s="429"/>
      <c r="T139" s="429"/>
      <c r="U139" s="429"/>
      <c r="V139" s="429"/>
      <c r="W139" s="429"/>
      <c r="X139" s="429"/>
      <c r="Y139" s="429"/>
      <c r="Z139" s="429"/>
      <c r="AA139" s="429"/>
      <c r="AB139" s="429"/>
      <c r="AC139" s="443"/>
    </row>
    <row r="140" spans="4:30" x14ac:dyDescent="0.35">
      <c r="D140" s="852" t="s">
        <v>568</v>
      </c>
      <c r="E140" s="156" t="s">
        <v>586</v>
      </c>
      <c r="F140" s="560">
        <f>'Haver Pivoted'!GQ5</f>
        <v>14323.7</v>
      </c>
      <c r="G140" s="497">
        <f>'Haver Pivoted'!GR5</f>
        <v>14482.2</v>
      </c>
      <c r="H140" s="497">
        <f>'Haver Pivoted'!GS5</f>
        <v>14619</v>
      </c>
      <c r="I140" s="497">
        <f>'Haver Pivoted'!GT5</f>
        <v>14440.2</v>
      </c>
      <c r="J140" s="497">
        <f>'Haver Pivoted'!GU5</f>
        <v>13049.8</v>
      </c>
      <c r="K140" s="497">
        <f>'Haver Pivoted'!GV5</f>
        <v>14388.7</v>
      </c>
      <c r="L140" s="497">
        <f>'Haver Pivoted'!GW5</f>
        <v>14586</v>
      </c>
      <c r="M140" s="497">
        <f>'Haver Pivoted'!GX5</f>
        <v>15131.5</v>
      </c>
      <c r="N140" s="497">
        <f>'Haver Pivoted'!GY5</f>
        <v>15813.5</v>
      </c>
      <c r="O140" s="497">
        <f>'Haver Pivoted'!GZ5</f>
        <v>16147.3</v>
      </c>
      <c r="P140" s="497">
        <f>'Haver Pivoted'!HA5</f>
        <v>16518</v>
      </c>
      <c r="Q140" s="497">
        <f>'Haver Pivoted'!HB5</f>
        <v>16874.8</v>
      </c>
      <c r="R140" s="577">
        <f>'Haver Pivoted'!HC5</f>
        <v>17261.3</v>
      </c>
      <c r="S140" s="429"/>
      <c r="T140" s="429"/>
      <c r="U140" s="429"/>
      <c r="V140" s="429"/>
      <c r="W140" s="429"/>
      <c r="X140" s="429"/>
      <c r="Y140" s="429"/>
      <c r="Z140" s="429"/>
      <c r="AA140" s="429"/>
      <c r="AB140" s="429"/>
      <c r="AC140" s="443"/>
    </row>
    <row r="141" spans="4:30" x14ac:dyDescent="0.35">
      <c r="D141" s="852" t="s">
        <v>583</v>
      </c>
      <c r="E141" s="156" t="s">
        <v>851</v>
      </c>
      <c r="F141" s="560">
        <f>'Haver Pivoted'!GQ85</f>
        <v>1872</v>
      </c>
      <c r="G141" s="497">
        <f>'Haver Pivoted'!GR85</f>
        <v>1882</v>
      </c>
      <c r="H141" s="497">
        <f>'Haver Pivoted'!GS85</f>
        <v>1933.8</v>
      </c>
      <c r="I141" s="497">
        <f>'Haver Pivoted'!GT85</f>
        <v>1736.3</v>
      </c>
      <c r="J141" s="497">
        <f>'Haver Pivoted'!GU85</f>
        <v>1597.1</v>
      </c>
      <c r="K141" s="497">
        <f>'Haver Pivoted'!GV85</f>
        <v>2041.1</v>
      </c>
      <c r="L141" s="497">
        <f>'Haver Pivoted'!GW85</f>
        <v>1947.4</v>
      </c>
      <c r="M141" s="497">
        <f>'Haver Pivoted'!GX85</f>
        <v>2152.8000000000002</v>
      </c>
      <c r="N141" s="497">
        <f>'Haver Pivoted'!GY85</f>
        <v>2407.1</v>
      </c>
      <c r="O141" s="497">
        <f>'Haver Pivoted'!GZ85</f>
        <v>2431.8000000000002</v>
      </c>
      <c r="P141" s="497">
        <f>'Haver Pivoted'!HA85</f>
        <v>2443.1999999999998</v>
      </c>
      <c r="Q141" s="497">
        <f>'Haver Pivoted'!HB85</f>
        <v>2432.6999999999998</v>
      </c>
      <c r="R141" s="497">
        <f>'Haver Pivoted'!HC85</f>
        <v>2538.9</v>
      </c>
      <c r="S141" s="429"/>
      <c r="T141" s="429"/>
      <c r="U141" s="429"/>
      <c r="V141" s="429"/>
      <c r="W141" s="429"/>
      <c r="X141" s="429"/>
      <c r="Y141" s="429"/>
      <c r="Z141" s="429"/>
      <c r="AA141" s="429"/>
      <c r="AB141" s="429"/>
      <c r="AC141" s="443"/>
    </row>
    <row r="142" spans="4:30" x14ac:dyDescent="0.35">
      <c r="D142" s="701" t="s">
        <v>584</v>
      </c>
      <c r="F142" s="312"/>
      <c r="G142" s="144"/>
      <c r="H142" s="144"/>
      <c r="I142" s="144"/>
      <c r="J142" s="144"/>
      <c r="K142" s="144"/>
      <c r="L142" s="144"/>
      <c r="M142" s="144"/>
      <c r="N142" s="144"/>
      <c r="O142" s="144"/>
      <c r="P142" s="144"/>
      <c r="Q142" s="144"/>
      <c r="R142" s="155"/>
      <c r="S142" s="429"/>
      <c r="T142" s="429"/>
      <c r="U142" s="429"/>
      <c r="V142" s="429"/>
      <c r="W142" s="429"/>
      <c r="X142" s="429"/>
      <c r="Y142" s="429"/>
      <c r="Z142" s="429"/>
      <c r="AA142" s="429"/>
      <c r="AB142" s="429"/>
      <c r="AC142" s="443"/>
    </row>
    <row r="143" spans="4:30" x14ac:dyDescent="0.35">
      <c r="D143" s="924" t="s">
        <v>549</v>
      </c>
      <c r="F143" s="921">
        <f t="shared" ref="F143:R143" si="43">F23/F134</f>
        <v>3.6040823556663798E-2</v>
      </c>
      <c r="G143" s="166">
        <f t="shared" si="43"/>
        <v>3.3451548620258724E-2</v>
      </c>
      <c r="H143" s="166">
        <f t="shared" si="43"/>
        <v>3.2672890709981382E-2</v>
      </c>
      <c r="I143" s="166">
        <f t="shared" si="43"/>
        <v>3.2850860395398897E-2</v>
      </c>
      <c r="J143" s="166">
        <f t="shared" si="43"/>
        <v>3.419162725521107E-2</v>
      </c>
      <c r="K143" s="166">
        <f t="shared" si="43"/>
        <v>3.4473763419283633E-2</v>
      </c>
      <c r="L143" s="166">
        <f t="shared" si="43"/>
        <v>3.4115820241139933E-2</v>
      </c>
      <c r="M143" s="166">
        <f t="shared" si="43"/>
        <v>3.5373352855051249E-2</v>
      </c>
      <c r="N143" s="166">
        <f t="shared" si="43"/>
        <v>3.5780592848933403E-2</v>
      </c>
      <c r="O143" s="166">
        <f t="shared" si="43"/>
        <v>3.3044973070573025E-2</v>
      </c>
      <c r="P143" s="166">
        <f t="shared" si="43"/>
        <v>3.449442819502526E-2</v>
      </c>
      <c r="Q143" s="166">
        <f t="shared" si="43"/>
        <v>3.4672392711222445E-2</v>
      </c>
      <c r="R143" s="948">
        <f t="shared" si="43"/>
        <v>3.4578989951103971E-2</v>
      </c>
      <c r="S143" s="933">
        <f>R143</f>
        <v>3.4578989951103971E-2</v>
      </c>
      <c r="T143" s="933">
        <f t="shared" ref="T143:AC145" si="44">S143</f>
        <v>3.4578989951103971E-2</v>
      </c>
      <c r="U143" s="933">
        <f t="shared" si="44"/>
        <v>3.4578989951103971E-2</v>
      </c>
      <c r="V143" s="933">
        <f t="shared" si="44"/>
        <v>3.4578989951103971E-2</v>
      </c>
      <c r="W143" s="933">
        <f t="shared" si="44"/>
        <v>3.4578989951103971E-2</v>
      </c>
      <c r="X143" s="933">
        <f>W143</f>
        <v>3.4578989951103971E-2</v>
      </c>
      <c r="Y143" s="933">
        <f t="shared" si="44"/>
        <v>3.4578989951103971E-2</v>
      </c>
      <c r="Z143" s="933">
        <f t="shared" si="44"/>
        <v>3.4578989951103971E-2</v>
      </c>
      <c r="AA143" s="933">
        <f t="shared" si="44"/>
        <v>3.4578989951103971E-2</v>
      </c>
      <c r="AB143" s="933">
        <f t="shared" si="44"/>
        <v>3.4578989951103971E-2</v>
      </c>
      <c r="AC143" s="951">
        <f t="shared" si="44"/>
        <v>3.4578989951103971E-2</v>
      </c>
      <c r="AD143" s="166"/>
    </row>
    <row r="144" spans="4:30" x14ac:dyDescent="0.35">
      <c r="D144" s="924" t="s">
        <v>546</v>
      </c>
      <c r="F144" s="921">
        <f t="shared" ref="F144:R144" si="45">F24/F139</f>
        <v>2.2402447036522452E-3</v>
      </c>
      <c r="G144" s="166">
        <f t="shared" si="45"/>
        <v>2.2161554520635941E-3</v>
      </c>
      <c r="H144" s="166">
        <f t="shared" si="45"/>
        <v>2.1819331717086539E-3</v>
      </c>
      <c r="I144" s="166">
        <f t="shared" si="45"/>
        <v>2.1486179300609291E-3</v>
      </c>
      <c r="J144" s="166">
        <f t="shared" si="45"/>
        <v>2.1993401979406176E-3</v>
      </c>
      <c r="K144" s="166">
        <f t="shared" si="45"/>
        <v>2.1733368672144184E-3</v>
      </c>
      <c r="L144" s="166">
        <f t="shared" si="45"/>
        <v>2.1753561762753409E-3</v>
      </c>
      <c r="M144" s="166">
        <f t="shared" si="45"/>
        <v>2.2309884292827371E-3</v>
      </c>
      <c r="N144" s="166">
        <f t="shared" si="45"/>
        <v>2.2367396809443571E-3</v>
      </c>
      <c r="O144" s="166">
        <f t="shared" si="45"/>
        <v>2.2235853396718294E-3</v>
      </c>
      <c r="P144" s="166">
        <f t="shared" si="45"/>
        <v>2.1747818247720659E-3</v>
      </c>
      <c r="Q144" s="166">
        <f t="shared" si="45"/>
        <v>2.1390765405464702E-3</v>
      </c>
      <c r="R144" s="948">
        <f t="shared" si="45"/>
        <v>2.1218632836733412E-3</v>
      </c>
      <c r="S144" s="933">
        <f>R144</f>
        <v>2.1218632836733412E-3</v>
      </c>
      <c r="T144" s="933">
        <f t="shared" si="44"/>
        <v>2.1218632836733412E-3</v>
      </c>
      <c r="U144" s="933">
        <f t="shared" si="44"/>
        <v>2.1218632836733412E-3</v>
      </c>
      <c r="V144" s="933">
        <f t="shared" si="44"/>
        <v>2.1218632836733412E-3</v>
      </c>
      <c r="W144" s="933">
        <f t="shared" si="44"/>
        <v>2.1218632836733412E-3</v>
      </c>
      <c r="X144" s="933">
        <f>W144</f>
        <v>2.1218632836733412E-3</v>
      </c>
      <c r="Y144" s="933">
        <f t="shared" si="44"/>
        <v>2.1218632836733412E-3</v>
      </c>
      <c r="Z144" s="933">
        <f t="shared" si="44"/>
        <v>2.1218632836733412E-3</v>
      </c>
      <c r="AA144" s="933">
        <f t="shared" si="44"/>
        <v>2.1218632836733412E-3</v>
      </c>
      <c r="AB144" s="933">
        <f t="shared" si="44"/>
        <v>2.1218632836733412E-3</v>
      </c>
      <c r="AC144" s="951">
        <f t="shared" si="44"/>
        <v>2.1218632836733412E-3</v>
      </c>
      <c r="AD144" s="166"/>
    </row>
    <row r="145" spans="4:30" x14ac:dyDescent="0.35">
      <c r="D145" s="924" t="s">
        <v>547</v>
      </c>
      <c r="F145" s="921">
        <f t="shared" ref="F145:R145" si="46">F25/F140</f>
        <v>9.3886356178920244E-2</v>
      </c>
      <c r="G145" s="166">
        <f t="shared" si="46"/>
        <v>9.4826752841419115E-2</v>
      </c>
      <c r="H145" s="166">
        <f t="shared" si="46"/>
        <v>9.3898351460428214E-2</v>
      </c>
      <c r="I145" s="166">
        <f t="shared" si="46"/>
        <v>9.5518067616792005E-2</v>
      </c>
      <c r="J145" s="166">
        <f t="shared" si="46"/>
        <v>9.9143281889377613E-2</v>
      </c>
      <c r="K145" s="166">
        <f t="shared" si="46"/>
        <v>9.7117877223098684E-2</v>
      </c>
      <c r="L145" s="166">
        <f t="shared" si="46"/>
        <v>9.6764020293432063E-2</v>
      </c>
      <c r="M145" s="166">
        <f t="shared" si="46"/>
        <v>9.4306578990846907E-2</v>
      </c>
      <c r="N145" s="166">
        <f t="shared" si="46"/>
        <v>9.4817719037531223E-2</v>
      </c>
      <c r="O145" s="166">
        <f t="shared" si="46"/>
        <v>9.309296291020791E-2</v>
      </c>
      <c r="P145" s="166">
        <f t="shared" si="46"/>
        <v>9.236590386245308E-2</v>
      </c>
      <c r="Q145" s="166">
        <f t="shared" si="46"/>
        <v>9.1716642567615622E-2</v>
      </c>
      <c r="R145" s="948">
        <f t="shared" si="46"/>
        <v>9.072897174604462E-2</v>
      </c>
      <c r="S145" s="933">
        <f>R145</f>
        <v>9.072897174604462E-2</v>
      </c>
      <c r="T145" s="933">
        <f t="shared" si="44"/>
        <v>9.072897174604462E-2</v>
      </c>
      <c r="U145" s="933">
        <f t="shared" si="44"/>
        <v>9.072897174604462E-2</v>
      </c>
      <c r="V145" s="933">
        <f t="shared" si="44"/>
        <v>9.072897174604462E-2</v>
      </c>
      <c r="W145" s="933">
        <f t="shared" si="44"/>
        <v>9.072897174604462E-2</v>
      </c>
      <c r="X145" s="933">
        <f>W145</f>
        <v>9.072897174604462E-2</v>
      </c>
      <c r="Y145" s="933">
        <f t="shared" si="44"/>
        <v>9.072897174604462E-2</v>
      </c>
      <c r="Z145" s="933">
        <f t="shared" si="44"/>
        <v>9.072897174604462E-2</v>
      </c>
      <c r="AA145" s="933">
        <f t="shared" si="44"/>
        <v>9.072897174604462E-2</v>
      </c>
      <c r="AB145" s="933">
        <f t="shared" si="44"/>
        <v>9.072897174604462E-2</v>
      </c>
      <c r="AC145" s="951">
        <f t="shared" si="44"/>
        <v>9.072897174604462E-2</v>
      </c>
      <c r="AD145" s="166"/>
    </row>
    <row r="146" spans="4:30" x14ac:dyDescent="0.35">
      <c r="D146" s="925" t="s">
        <v>585</v>
      </c>
      <c r="E146" s="291"/>
      <c r="F146" s="183">
        <f t="shared" ref="F146:R146" si="47">F26/F141</f>
        <v>3.9797008547008544E-2</v>
      </c>
      <c r="G146" s="184">
        <f t="shared" si="47"/>
        <v>3.9001062699256114E-2</v>
      </c>
      <c r="H146" s="184">
        <f t="shared" si="47"/>
        <v>3.728410383700486E-2</v>
      </c>
      <c r="I146" s="184">
        <f t="shared" si="47"/>
        <v>3.8990957783793127E-2</v>
      </c>
      <c r="J146" s="184">
        <f t="shared" si="47"/>
        <v>4.0698766514307184E-2</v>
      </c>
      <c r="K146" s="184">
        <f t="shared" si="47"/>
        <v>3.9635490666797321E-2</v>
      </c>
      <c r="L146" s="184">
        <f t="shared" si="47"/>
        <v>4.3545239806922049E-2</v>
      </c>
      <c r="M146" s="184">
        <f t="shared" si="47"/>
        <v>4.0876997398736528E-2</v>
      </c>
      <c r="N146" s="184">
        <f t="shared" si="47"/>
        <v>3.7514021021145774E-2</v>
      </c>
      <c r="O146" s="184">
        <f t="shared" si="47"/>
        <v>3.8818981824163171E-2</v>
      </c>
      <c r="P146" s="184">
        <f t="shared" si="47"/>
        <v>4.52275703994761E-2</v>
      </c>
      <c r="Q146" s="184">
        <f t="shared" si="47"/>
        <v>6.8195831791836234E-2</v>
      </c>
      <c r="R146" s="184">
        <f t="shared" si="47"/>
        <v>4.3247075505140016E-2</v>
      </c>
      <c r="S146" s="934">
        <f>R146</f>
        <v>4.3247075505140016E-2</v>
      </c>
      <c r="T146" s="934">
        <f>S146</f>
        <v>4.3247075505140016E-2</v>
      </c>
      <c r="U146" s="934">
        <f t="shared" ref="U146:AC146" si="48">T146</f>
        <v>4.3247075505140016E-2</v>
      </c>
      <c r="V146" s="934">
        <f t="shared" si="48"/>
        <v>4.3247075505140016E-2</v>
      </c>
      <c r="W146" s="934">
        <f t="shared" si="48"/>
        <v>4.3247075505140016E-2</v>
      </c>
      <c r="X146" s="934">
        <f>W146</f>
        <v>4.3247075505140016E-2</v>
      </c>
      <c r="Y146" s="934">
        <f t="shared" si="48"/>
        <v>4.3247075505140016E-2</v>
      </c>
      <c r="Z146" s="934">
        <f t="shared" si="48"/>
        <v>4.3247075505140016E-2</v>
      </c>
      <c r="AA146" s="934">
        <f t="shared" si="48"/>
        <v>4.3247075505140016E-2</v>
      </c>
      <c r="AB146" s="934">
        <f t="shared" si="48"/>
        <v>4.3247075505140016E-2</v>
      </c>
      <c r="AC146" s="935">
        <f t="shared" si="48"/>
        <v>4.3247075505140016E-2</v>
      </c>
      <c r="AD146" s="166"/>
    </row>
    <row r="148" spans="4:30" ht="18.75" customHeight="1" x14ac:dyDescent="0.35"/>
    <row r="149" spans="4:30" x14ac:dyDescent="0.35">
      <c r="R149" s="156"/>
      <c r="S149" s="156"/>
      <c r="T149" s="156"/>
      <c r="U149" s="156"/>
      <c r="V149" s="156"/>
      <c r="W149" s="156"/>
      <c r="X149" s="156"/>
    </row>
    <row r="151" spans="4:30" ht="14.5" customHeight="1" x14ac:dyDescent="0.35"/>
    <row r="152" spans="4:30" ht="14.5" customHeight="1" x14ac:dyDescent="0.35"/>
    <row r="153" spans="4:30" ht="14.5" customHeight="1" x14ac:dyDescent="0.35"/>
  </sheetData>
  <mergeCells count="29">
    <mergeCell ref="D1:AC1"/>
    <mergeCell ref="Y117:AB117"/>
    <mergeCell ref="Y6:AB6"/>
    <mergeCell ref="D117:E118"/>
    <mergeCell ref="U6:X6"/>
    <mergeCell ref="F117:H117"/>
    <mergeCell ref="F6:H6"/>
    <mergeCell ref="I6:L6"/>
    <mergeCell ref="D5:E7"/>
    <mergeCell ref="M6:P6"/>
    <mergeCell ref="D59:F59"/>
    <mergeCell ref="I117:L117"/>
    <mergeCell ref="D2:AC3"/>
    <mergeCell ref="Q6:R6"/>
    <mergeCell ref="Q117:R117"/>
    <mergeCell ref="F5:R5"/>
    <mergeCell ref="S5:AC5"/>
    <mergeCell ref="D128:E128"/>
    <mergeCell ref="O84:V84"/>
    <mergeCell ref="P85:S85"/>
    <mergeCell ref="U117:X117"/>
    <mergeCell ref="M117:P117"/>
    <mergeCell ref="M126:P126"/>
    <mergeCell ref="F126:H126"/>
    <mergeCell ref="I126:L126"/>
    <mergeCell ref="D126:E127"/>
    <mergeCell ref="U126:X126"/>
    <mergeCell ref="Y126:AB126"/>
    <mergeCell ref="Q126:R12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topLeftCell="A22" zoomScale="67" workbookViewId="0">
      <selection activeCell="A51" sqref="A51:P53"/>
    </sheetView>
  </sheetViews>
  <sheetFormatPr defaultColWidth="11.453125" defaultRowHeight="14.5" x14ac:dyDescent="0.35"/>
  <cols>
    <col min="3" max="3" width="33.7265625" customWidth="1"/>
  </cols>
  <sheetData>
    <row r="3" spans="1:17" x14ac:dyDescent="0.35">
      <c r="A3" s="854" t="s">
        <v>589</v>
      </c>
      <c r="B3" s="156"/>
    </row>
    <row r="4" spans="1:17" x14ac:dyDescent="0.35">
      <c r="A4" s="980" t="s">
        <v>590</v>
      </c>
      <c r="B4" s="981"/>
      <c r="C4" s="981"/>
    </row>
    <row r="7" spans="1:17" x14ac:dyDescent="0.35">
      <c r="A7" s="1373" t="s">
        <v>591</v>
      </c>
      <c r="B7" s="1374"/>
      <c r="C7" s="1374"/>
      <c r="D7" s="1374"/>
      <c r="E7" s="1374"/>
      <c r="F7" s="1374"/>
      <c r="G7" s="1374"/>
      <c r="H7" s="1374"/>
      <c r="I7" s="1374"/>
      <c r="J7" s="1374"/>
      <c r="K7" s="1374"/>
      <c r="L7" s="1374"/>
      <c r="M7" s="1374"/>
      <c r="N7" s="1374"/>
      <c r="O7" s="1374"/>
      <c r="P7" s="1374"/>
    </row>
    <row r="8" spans="1:17" x14ac:dyDescent="0.35">
      <c r="A8" s="291" t="s">
        <v>592</v>
      </c>
      <c r="B8" s="291"/>
      <c r="C8" s="291"/>
      <c r="D8" s="975"/>
      <c r="E8" s="291"/>
      <c r="F8" s="291"/>
      <c r="G8" s="291"/>
      <c r="H8" s="291"/>
      <c r="I8" s="291"/>
      <c r="J8" s="291"/>
      <c r="K8" s="291"/>
      <c r="L8" s="291"/>
      <c r="M8" s="291"/>
      <c r="N8" s="291"/>
      <c r="O8" s="291"/>
      <c r="P8" s="291"/>
    </row>
    <row r="9" spans="1:17" x14ac:dyDescent="0.35">
      <c r="A9" s="156"/>
      <c r="B9" s="156"/>
      <c r="C9" s="156"/>
      <c r="D9" s="976"/>
      <c r="E9" s="156"/>
      <c r="F9" s="156"/>
      <c r="G9" s="156"/>
      <c r="H9" s="156"/>
      <c r="I9" s="156"/>
      <c r="J9" s="156"/>
      <c r="K9" s="156"/>
      <c r="L9" s="156"/>
      <c r="M9" s="156"/>
      <c r="N9" s="156"/>
      <c r="O9" s="156"/>
      <c r="P9" s="156"/>
    </row>
    <row r="10" spans="1:17" x14ac:dyDescent="0.35">
      <c r="A10" s="156"/>
      <c r="B10" s="156"/>
      <c r="C10" s="156"/>
      <c r="D10" s="976"/>
      <c r="E10" s="156"/>
      <c r="F10" s="156"/>
      <c r="G10" s="156"/>
      <c r="H10" s="156"/>
      <c r="I10" s="156"/>
      <c r="J10" s="156"/>
      <c r="K10" s="156"/>
      <c r="L10" s="156"/>
      <c r="M10" s="156"/>
      <c r="N10" s="156"/>
      <c r="O10" s="1375" t="s">
        <v>360</v>
      </c>
      <c r="P10" s="1375"/>
    </row>
    <row r="11" spans="1:17" x14ac:dyDescent="0.35">
      <c r="A11" s="156"/>
      <c r="B11" s="156"/>
      <c r="C11" s="197"/>
      <c r="D11" s="297"/>
      <c r="E11" s="197"/>
      <c r="F11" s="197"/>
      <c r="G11" s="197"/>
      <c r="H11" s="197"/>
      <c r="I11" s="197"/>
      <c r="J11" s="197"/>
      <c r="K11" s="197"/>
      <c r="L11" s="197"/>
      <c r="M11" s="197"/>
      <c r="N11" s="197"/>
      <c r="O11" s="676" t="s">
        <v>593</v>
      </c>
      <c r="P11" s="676" t="s">
        <v>593</v>
      </c>
    </row>
    <row r="12" spans="1:17" x14ac:dyDescent="0.35">
      <c r="A12" s="291"/>
      <c r="B12" s="291"/>
      <c r="C12" s="291"/>
      <c r="D12" s="975">
        <v>2020</v>
      </c>
      <c r="E12" s="975">
        <v>2021</v>
      </c>
      <c r="F12" s="975">
        <v>2022</v>
      </c>
      <c r="G12" s="975">
        <v>2023</v>
      </c>
      <c r="H12" s="975">
        <v>2024</v>
      </c>
      <c r="I12" s="975">
        <v>2025</v>
      </c>
      <c r="J12" s="975">
        <v>2026</v>
      </c>
      <c r="K12" s="975">
        <v>2027</v>
      </c>
      <c r="L12" s="975">
        <v>2028</v>
      </c>
      <c r="M12" s="975">
        <v>2029</v>
      </c>
      <c r="N12" s="975">
        <v>2030</v>
      </c>
      <c r="O12" s="972">
        <v>2025</v>
      </c>
      <c r="P12" s="972">
        <v>2030</v>
      </c>
    </row>
    <row r="13" spans="1:17" x14ac:dyDescent="0.35">
      <c r="A13" s="197" t="s">
        <v>594</v>
      </c>
      <c r="B13" s="197"/>
      <c r="C13" s="197"/>
      <c r="D13" s="983">
        <v>540.56299999999999</v>
      </c>
      <c r="E13" s="983">
        <v>0</v>
      </c>
      <c r="F13" s="983">
        <v>0</v>
      </c>
      <c r="G13" s="983">
        <v>0</v>
      </c>
      <c r="H13" s="983">
        <v>0</v>
      </c>
      <c r="I13" s="983">
        <v>0</v>
      </c>
      <c r="J13" s="983">
        <v>0</v>
      </c>
      <c r="K13" s="983">
        <v>0</v>
      </c>
      <c r="L13" s="983">
        <v>0</v>
      </c>
      <c r="M13" s="983">
        <v>0</v>
      </c>
      <c r="N13" s="983">
        <v>0</v>
      </c>
      <c r="O13" s="983">
        <v>0</v>
      </c>
      <c r="P13" s="983">
        <v>0</v>
      </c>
      <c r="Q13" t="s">
        <v>50</v>
      </c>
    </row>
    <row r="14" spans="1:17" x14ac:dyDescent="0.35">
      <c r="A14" s="156" t="s">
        <v>595</v>
      </c>
      <c r="B14" s="156"/>
      <c r="C14" s="156"/>
      <c r="D14" s="297"/>
      <c r="E14" s="197"/>
      <c r="F14" s="197"/>
      <c r="G14" s="197"/>
      <c r="H14" s="197"/>
      <c r="I14" s="197"/>
      <c r="J14" s="197"/>
      <c r="K14" s="197"/>
      <c r="L14" s="197"/>
      <c r="M14" s="197"/>
      <c r="N14" s="197"/>
      <c r="O14" s="197"/>
      <c r="P14" s="197"/>
      <c r="Q14" t="s">
        <v>596</v>
      </c>
    </row>
    <row r="15" spans="1:17" x14ac:dyDescent="0.35">
      <c r="A15" s="156"/>
      <c r="B15" s="156" t="s">
        <v>597</v>
      </c>
      <c r="C15" s="156"/>
      <c r="D15" s="297">
        <v>285.56</v>
      </c>
      <c r="E15" s="297">
        <v>5</v>
      </c>
      <c r="F15" s="297">
        <v>0</v>
      </c>
      <c r="G15" s="297">
        <v>0</v>
      </c>
      <c r="H15" s="297">
        <v>0</v>
      </c>
      <c r="I15" s="297">
        <v>0</v>
      </c>
      <c r="J15" s="297">
        <v>0</v>
      </c>
      <c r="K15" s="297">
        <v>0</v>
      </c>
      <c r="L15" s="297">
        <v>0</v>
      </c>
      <c r="M15" s="297">
        <v>0</v>
      </c>
      <c r="N15" s="297">
        <v>0</v>
      </c>
      <c r="O15" s="297">
        <v>5</v>
      </c>
      <c r="P15" s="297">
        <v>5</v>
      </c>
    </row>
    <row r="16" spans="1:17" x14ac:dyDescent="0.35">
      <c r="A16" s="197"/>
      <c r="B16" s="156" t="s">
        <v>598</v>
      </c>
      <c r="C16" s="197"/>
      <c r="D16" s="297">
        <v>67.209999999999994</v>
      </c>
      <c r="E16" s="297">
        <v>13.68</v>
      </c>
      <c r="F16" s="297">
        <v>0</v>
      </c>
      <c r="G16" s="297">
        <v>0</v>
      </c>
      <c r="H16" s="297">
        <v>0</v>
      </c>
      <c r="I16" s="297">
        <v>0</v>
      </c>
      <c r="J16" s="297">
        <v>0</v>
      </c>
      <c r="K16" s="297">
        <v>0</v>
      </c>
      <c r="L16" s="297">
        <v>0</v>
      </c>
      <c r="M16" s="297">
        <v>0</v>
      </c>
      <c r="N16" s="297">
        <v>0</v>
      </c>
      <c r="O16" s="297">
        <v>13.68</v>
      </c>
      <c r="P16" s="297">
        <v>13.68</v>
      </c>
    </row>
    <row r="17" spans="1:17" x14ac:dyDescent="0.35">
      <c r="A17" s="197"/>
      <c r="B17" s="156" t="s">
        <v>599</v>
      </c>
      <c r="C17" s="197"/>
      <c r="D17" s="297">
        <v>11.12</v>
      </c>
      <c r="E17" s="297">
        <v>47.8</v>
      </c>
      <c r="F17" s="297">
        <v>0</v>
      </c>
      <c r="G17" s="297">
        <v>0</v>
      </c>
      <c r="H17" s="297">
        <v>0</v>
      </c>
      <c r="I17" s="297">
        <v>0</v>
      </c>
      <c r="J17" s="297">
        <v>0</v>
      </c>
      <c r="K17" s="297">
        <v>0</v>
      </c>
      <c r="L17" s="297">
        <v>0</v>
      </c>
      <c r="M17" s="297">
        <v>0</v>
      </c>
      <c r="N17" s="297">
        <v>0</v>
      </c>
      <c r="O17" s="297">
        <v>47.8</v>
      </c>
      <c r="P17" s="297">
        <v>47.8</v>
      </c>
    </row>
    <row r="18" spans="1:17" x14ac:dyDescent="0.35">
      <c r="A18" s="197"/>
      <c r="B18" s="156" t="s">
        <v>600</v>
      </c>
      <c r="C18" s="197"/>
      <c r="D18" s="297">
        <v>6.2149999999999999</v>
      </c>
      <c r="E18" s="297">
        <v>5.0049999999999999</v>
      </c>
      <c r="F18" s="297">
        <v>0</v>
      </c>
      <c r="G18" s="297">
        <v>0</v>
      </c>
      <c r="H18" s="297">
        <v>0</v>
      </c>
      <c r="I18" s="297">
        <v>0</v>
      </c>
      <c r="J18" s="297">
        <v>0</v>
      </c>
      <c r="K18" s="297">
        <v>0</v>
      </c>
      <c r="L18" s="297">
        <v>0</v>
      </c>
      <c r="M18" s="297">
        <v>0</v>
      </c>
      <c r="N18" s="297">
        <v>0</v>
      </c>
      <c r="O18" s="297">
        <v>5.0049999999999999</v>
      </c>
      <c r="P18" s="297">
        <v>5.0049999999999999</v>
      </c>
    </row>
    <row r="19" spans="1:17" x14ac:dyDescent="0.35">
      <c r="A19" s="197"/>
      <c r="B19" s="156"/>
      <c r="C19" s="197"/>
      <c r="D19" s="297" t="s">
        <v>601</v>
      </c>
      <c r="E19" s="297" t="s">
        <v>601</v>
      </c>
      <c r="F19" s="297" t="s">
        <v>601</v>
      </c>
      <c r="G19" s="297" t="s">
        <v>601</v>
      </c>
      <c r="H19" s="297" t="s">
        <v>601</v>
      </c>
      <c r="I19" s="297" t="s">
        <v>601</v>
      </c>
      <c r="J19" s="297" t="s">
        <v>601</v>
      </c>
      <c r="K19" s="297" t="s">
        <v>601</v>
      </c>
      <c r="L19" s="297" t="s">
        <v>601</v>
      </c>
      <c r="M19" s="297" t="s">
        <v>601</v>
      </c>
      <c r="N19" s="297" t="s">
        <v>601</v>
      </c>
      <c r="O19" s="297" t="s">
        <v>601</v>
      </c>
      <c r="P19" s="297" t="s">
        <v>601</v>
      </c>
    </row>
    <row r="20" spans="1:17" x14ac:dyDescent="0.35">
      <c r="A20" s="197"/>
      <c r="B20" s="156"/>
      <c r="C20" s="197" t="s">
        <v>602</v>
      </c>
      <c r="D20" s="297">
        <v>370.10500000000002</v>
      </c>
      <c r="E20" s="297">
        <v>71.484999999999999</v>
      </c>
      <c r="F20" s="297">
        <v>0</v>
      </c>
      <c r="G20" s="297">
        <v>0</v>
      </c>
      <c r="H20" s="297">
        <v>0</v>
      </c>
      <c r="I20" s="297">
        <v>0</v>
      </c>
      <c r="J20" s="297">
        <v>0</v>
      </c>
      <c r="K20" s="297">
        <v>0</v>
      </c>
      <c r="L20" s="297">
        <v>0</v>
      </c>
      <c r="M20" s="297">
        <v>0</v>
      </c>
      <c r="N20" s="297">
        <v>0</v>
      </c>
      <c r="O20" s="297">
        <v>71.484999999999999</v>
      </c>
      <c r="P20" s="297">
        <v>71.484999999999999</v>
      </c>
    </row>
    <row r="21" spans="1:17" x14ac:dyDescent="0.35">
      <c r="A21" s="197"/>
      <c r="B21" s="156"/>
      <c r="C21" s="197"/>
      <c r="D21" s="297"/>
      <c r="E21" s="297"/>
      <c r="F21" s="297"/>
      <c r="G21" s="297"/>
      <c r="H21" s="297"/>
      <c r="I21" s="297"/>
      <c r="J21" s="297"/>
      <c r="K21" s="297"/>
      <c r="L21" s="297"/>
      <c r="M21" s="297"/>
      <c r="N21" s="297"/>
      <c r="O21" s="297"/>
      <c r="P21" s="297"/>
    </row>
    <row r="22" spans="1:17" ht="16.899999999999999" customHeight="1" x14ac:dyDescent="0.35">
      <c r="A22" s="197" t="s">
        <v>603</v>
      </c>
      <c r="B22" s="156"/>
      <c r="C22" s="197"/>
      <c r="D22" s="297">
        <v>271.98399999999998</v>
      </c>
      <c r="E22" s="297">
        <v>9.327</v>
      </c>
      <c r="F22" s="297">
        <v>0</v>
      </c>
      <c r="G22" s="297">
        <v>0</v>
      </c>
      <c r="H22" s="297">
        <v>0</v>
      </c>
      <c r="I22" s="297">
        <v>0</v>
      </c>
      <c r="J22" s="297">
        <v>0</v>
      </c>
      <c r="K22" s="297">
        <v>0</v>
      </c>
      <c r="L22" s="297">
        <v>0</v>
      </c>
      <c r="M22" s="297">
        <v>0</v>
      </c>
      <c r="N22" s="297">
        <v>0</v>
      </c>
      <c r="O22" s="297">
        <v>9.327</v>
      </c>
      <c r="P22" s="297">
        <v>9.327</v>
      </c>
      <c r="Q22" t="s">
        <v>604</v>
      </c>
    </row>
    <row r="23" spans="1:17" x14ac:dyDescent="0.35">
      <c r="A23" s="197" t="s">
        <v>149</v>
      </c>
      <c r="B23" s="156"/>
      <c r="C23" s="156"/>
      <c r="D23" s="297">
        <v>149.97300000000001</v>
      </c>
      <c r="E23" s="297">
        <v>2.5999999999999999E-2</v>
      </c>
      <c r="F23" s="297">
        <v>0</v>
      </c>
      <c r="G23" s="297">
        <v>0</v>
      </c>
      <c r="H23" s="297">
        <v>0</v>
      </c>
      <c r="I23" s="297">
        <v>0</v>
      </c>
      <c r="J23" s="297">
        <v>0</v>
      </c>
      <c r="K23" s="297">
        <v>0</v>
      </c>
      <c r="L23" s="297">
        <v>0</v>
      </c>
      <c r="M23" s="297">
        <v>0</v>
      </c>
      <c r="N23" s="297">
        <v>0</v>
      </c>
      <c r="O23" s="297">
        <v>2.5999999999999999E-2</v>
      </c>
      <c r="P23" s="297">
        <v>2.5999999999999999E-2</v>
      </c>
      <c r="Q23" t="s">
        <v>51</v>
      </c>
    </row>
    <row r="24" spans="1:17" x14ac:dyDescent="0.35">
      <c r="A24" s="197" t="s">
        <v>605</v>
      </c>
      <c r="B24" s="156"/>
      <c r="C24" s="156"/>
      <c r="D24" s="297">
        <v>135.41999999999999</v>
      </c>
      <c r="E24" s="297">
        <v>72.537999999999997</v>
      </c>
      <c r="F24" s="297">
        <v>10.331</v>
      </c>
      <c r="G24" s="297">
        <v>4.2670000000000003</v>
      </c>
      <c r="H24" s="297">
        <v>1.347</v>
      </c>
      <c r="I24" s="297">
        <v>0.67400000000000004</v>
      </c>
      <c r="J24" s="297">
        <v>0</v>
      </c>
      <c r="K24" s="297">
        <v>0</v>
      </c>
      <c r="L24" s="297">
        <v>0</v>
      </c>
      <c r="M24" s="297">
        <v>0</v>
      </c>
      <c r="N24" s="297">
        <v>0</v>
      </c>
      <c r="O24" s="297">
        <v>89.156999999999996</v>
      </c>
      <c r="P24" s="297">
        <v>89.156999999999996</v>
      </c>
      <c r="Q24" t="s">
        <v>606</v>
      </c>
    </row>
    <row r="25" spans="1:17" x14ac:dyDescent="0.35">
      <c r="A25" s="197" t="s">
        <v>607</v>
      </c>
      <c r="B25" s="156"/>
      <c r="C25" s="156"/>
      <c r="D25" s="297"/>
      <c r="E25" s="297"/>
      <c r="F25" s="297"/>
      <c r="G25" s="297"/>
      <c r="H25" s="297"/>
      <c r="I25" s="297"/>
      <c r="J25" s="297"/>
      <c r="K25" s="297"/>
      <c r="L25" s="297"/>
      <c r="M25" s="297"/>
      <c r="N25" s="297"/>
      <c r="O25" s="297"/>
      <c r="P25" s="297"/>
    </row>
    <row r="26" spans="1:17" x14ac:dyDescent="0.35">
      <c r="A26" s="197" t="s">
        <v>608</v>
      </c>
      <c r="B26" s="156"/>
      <c r="C26" s="156"/>
      <c r="D26" s="297">
        <v>40.831000000000003</v>
      </c>
      <c r="E26" s="297">
        <v>79.391999999999996</v>
      </c>
      <c r="F26" s="297">
        <v>47.442999999999998</v>
      </c>
      <c r="G26" s="297">
        <v>4.7220000000000004</v>
      </c>
      <c r="H26" s="297">
        <v>0</v>
      </c>
      <c r="I26" s="297">
        <v>0</v>
      </c>
      <c r="J26" s="297">
        <v>0</v>
      </c>
      <c r="K26" s="297">
        <v>0</v>
      </c>
      <c r="L26" s="297">
        <v>0</v>
      </c>
      <c r="M26" s="297">
        <v>0</v>
      </c>
      <c r="N26" s="297">
        <v>0</v>
      </c>
      <c r="O26" s="297">
        <v>131.55699999999999</v>
      </c>
      <c r="P26" s="297">
        <v>131.55699999999999</v>
      </c>
      <c r="Q26" t="s">
        <v>133</v>
      </c>
    </row>
    <row r="27" spans="1:17" x14ac:dyDescent="0.35">
      <c r="A27" s="197" t="s">
        <v>609</v>
      </c>
      <c r="B27" s="156"/>
      <c r="C27" s="156"/>
      <c r="D27" s="297">
        <v>58.054000000000002</v>
      </c>
      <c r="E27" s="297">
        <v>14.755000000000001</v>
      </c>
      <c r="F27" s="297">
        <v>3.4750000000000001</v>
      </c>
      <c r="G27" s="297">
        <v>3.9249999999999998</v>
      </c>
      <c r="H27" s="297">
        <v>4.375</v>
      </c>
      <c r="I27" s="297">
        <v>4.375</v>
      </c>
      <c r="J27" s="297">
        <v>4.5</v>
      </c>
      <c r="K27" s="297">
        <v>4.5</v>
      </c>
      <c r="L27" s="297">
        <v>4.5</v>
      </c>
      <c r="M27" s="297">
        <v>4.5</v>
      </c>
      <c r="N27" s="297">
        <v>4.5</v>
      </c>
      <c r="O27" s="297">
        <v>30.905000000000001</v>
      </c>
      <c r="P27" s="297">
        <v>53.405000000000001</v>
      </c>
    </row>
    <row r="28" spans="1:17" x14ac:dyDescent="0.35">
      <c r="A28" s="197" t="s">
        <v>610</v>
      </c>
      <c r="B28" s="156"/>
      <c r="C28" s="156"/>
      <c r="D28" s="297">
        <v>47.372999999999998</v>
      </c>
      <c r="E28" s="297">
        <v>-46.081000000000003</v>
      </c>
      <c r="F28" s="297">
        <v>0</v>
      </c>
      <c r="G28" s="297">
        <v>0</v>
      </c>
      <c r="H28" s="297">
        <v>0</v>
      </c>
      <c r="I28" s="297">
        <v>0</v>
      </c>
      <c r="J28" s="297">
        <v>0</v>
      </c>
      <c r="K28" s="297">
        <v>0</v>
      </c>
      <c r="L28" s="297">
        <v>0</v>
      </c>
      <c r="M28" s="297">
        <v>0</v>
      </c>
      <c r="N28" s="297">
        <v>0</v>
      </c>
      <c r="O28" s="297">
        <v>-46.081000000000003</v>
      </c>
      <c r="P28" s="297">
        <v>-46.081000000000003</v>
      </c>
      <c r="Q28" t="s">
        <v>55</v>
      </c>
    </row>
    <row r="29" spans="1:17" x14ac:dyDescent="0.35">
      <c r="A29" s="197" t="s">
        <v>611</v>
      </c>
      <c r="B29" s="156"/>
      <c r="C29" s="156"/>
      <c r="D29" s="297">
        <v>24.475000000000001</v>
      </c>
      <c r="E29" s="297">
        <v>32.784999999999997</v>
      </c>
      <c r="F29" s="297">
        <v>8.4600000000000009</v>
      </c>
      <c r="G29" s="297">
        <v>0</v>
      </c>
      <c r="H29" s="297">
        <v>0</v>
      </c>
      <c r="I29" s="297">
        <v>0</v>
      </c>
      <c r="J29" s="297">
        <v>0</v>
      </c>
      <c r="K29" s="297">
        <v>0</v>
      </c>
      <c r="L29" s="297">
        <v>0</v>
      </c>
      <c r="M29" s="297">
        <v>0</v>
      </c>
      <c r="N29" s="297">
        <v>0</v>
      </c>
      <c r="O29" s="297">
        <v>41.244999999999997</v>
      </c>
      <c r="P29" s="297">
        <v>41.244999999999997</v>
      </c>
      <c r="Q29" t="s">
        <v>612</v>
      </c>
    </row>
    <row r="30" spans="1:17" x14ac:dyDescent="0.35">
      <c r="A30" s="197" t="s">
        <v>613</v>
      </c>
      <c r="B30" s="156"/>
      <c r="C30" s="156"/>
      <c r="D30" s="297">
        <v>27.5</v>
      </c>
      <c r="E30" s="297">
        <v>0.86</v>
      </c>
      <c r="F30" s="297">
        <v>-0.22</v>
      </c>
      <c r="G30" s="297">
        <v>-0.49</v>
      </c>
      <c r="H30" s="297">
        <v>-0.56000000000000005</v>
      </c>
      <c r="I30" s="297">
        <v>-0.98</v>
      </c>
      <c r="J30" s="297">
        <v>-0.76</v>
      </c>
      <c r="K30" s="297">
        <v>-0.74</v>
      </c>
      <c r="L30" s="297">
        <v>-0.72</v>
      </c>
      <c r="M30" s="297">
        <v>-0.7</v>
      </c>
      <c r="N30" s="297">
        <v>-0.69</v>
      </c>
      <c r="O30" s="297">
        <v>-1.39</v>
      </c>
      <c r="P30" s="297">
        <v>-5</v>
      </c>
      <c r="Q30" t="s">
        <v>52</v>
      </c>
    </row>
    <row r="31" spans="1:17" x14ac:dyDescent="0.35">
      <c r="A31" s="197" t="s">
        <v>150</v>
      </c>
      <c r="B31" s="156"/>
      <c r="C31" s="156"/>
      <c r="D31" s="297">
        <v>11.407999999999999</v>
      </c>
      <c r="E31" s="297">
        <v>10.763</v>
      </c>
      <c r="F31" s="297">
        <v>5.7809999999999997</v>
      </c>
      <c r="G31" s="297">
        <v>0.92300000000000004</v>
      </c>
      <c r="H31" s="297">
        <v>0.52300000000000002</v>
      </c>
      <c r="I31" s="297">
        <v>0.43099999999999999</v>
      </c>
      <c r="J31" s="297">
        <v>0.246</v>
      </c>
      <c r="K31" s="297">
        <v>0</v>
      </c>
      <c r="L31" s="297">
        <v>0</v>
      </c>
      <c r="M31" s="297">
        <v>0</v>
      </c>
      <c r="N31" s="297">
        <v>0</v>
      </c>
      <c r="O31" s="297">
        <v>18.420999999999999</v>
      </c>
      <c r="P31" s="297">
        <v>18.667000000000002</v>
      </c>
      <c r="Q31" t="s">
        <v>614</v>
      </c>
    </row>
    <row r="32" spans="1:17" x14ac:dyDescent="0.35">
      <c r="A32" s="197" t="s">
        <v>615</v>
      </c>
      <c r="B32" s="156"/>
      <c r="C32" s="156"/>
      <c r="D32" s="297">
        <v>99.444000000000003</v>
      </c>
      <c r="E32" s="297">
        <v>61.634</v>
      </c>
      <c r="F32" s="297">
        <v>23.815000000000001</v>
      </c>
      <c r="G32" s="297">
        <v>7.35</v>
      </c>
      <c r="H32" s="297">
        <v>4.4029999999999996</v>
      </c>
      <c r="I32" s="297">
        <v>1.663</v>
      </c>
      <c r="J32" s="297">
        <v>0.74399999999999999</v>
      </c>
      <c r="K32" s="297">
        <v>0.65500000000000003</v>
      </c>
      <c r="L32" s="297">
        <v>0.68799999999999994</v>
      </c>
      <c r="M32" s="297">
        <v>10.603</v>
      </c>
      <c r="N32" s="297">
        <v>-35.328000000000003</v>
      </c>
      <c r="O32" s="297">
        <v>98.864999999999995</v>
      </c>
      <c r="P32" s="297">
        <v>76.227000000000004</v>
      </c>
      <c r="Q32" t="s">
        <v>616</v>
      </c>
    </row>
    <row r="33" spans="1:16" x14ac:dyDescent="0.35">
      <c r="A33" s="197"/>
      <c r="B33" s="156"/>
      <c r="C33" s="156"/>
      <c r="D33" s="297"/>
      <c r="E33" s="297"/>
      <c r="F33" s="297"/>
      <c r="G33" s="297"/>
      <c r="H33" s="297"/>
      <c r="I33" s="297"/>
      <c r="J33" s="297"/>
      <c r="K33" s="297"/>
      <c r="L33" s="297"/>
      <c r="M33" s="297"/>
      <c r="N33" s="297"/>
      <c r="O33" s="297"/>
      <c r="P33" s="297"/>
    </row>
    <row r="34" spans="1:16" x14ac:dyDescent="0.35">
      <c r="A34" s="973"/>
      <c r="B34" s="973"/>
      <c r="C34" s="973" t="s">
        <v>360</v>
      </c>
      <c r="D34" s="974">
        <v>1777.13</v>
      </c>
      <c r="E34" s="974">
        <v>307.48399999999998</v>
      </c>
      <c r="F34" s="974">
        <v>99.084999999999994</v>
      </c>
      <c r="G34" s="974">
        <v>20.696999999999999</v>
      </c>
      <c r="H34" s="974">
        <v>10.087999999999999</v>
      </c>
      <c r="I34" s="974">
        <v>6.1630000000000003</v>
      </c>
      <c r="J34" s="974">
        <v>4.7300000000000004</v>
      </c>
      <c r="K34" s="974">
        <v>4.415</v>
      </c>
      <c r="L34" s="974">
        <v>4.468</v>
      </c>
      <c r="M34" s="974">
        <v>14.403</v>
      </c>
      <c r="N34" s="974">
        <v>-31.518000000000001</v>
      </c>
      <c r="O34" s="974">
        <v>443.517</v>
      </c>
      <c r="P34" s="974">
        <v>440.01499999999999</v>
      </c>
    </row>
    <row r="35" spans="1:16" x14ac:dyDescent="0.35">
      <c r="A35" s="156"/>
      <c r="B35" s="156"/>
      <c r="C35" s="156"/>
      <c r="D35" s="982"/>
      <c r="E35" s="550"/>
      <c r="F35" s="197"/>
      <c r="G35" s="197"/>
      <c r="H35" s="197"/>
      <c r="I35" s="197"/>
      <c r="J35" s="197"/>
      <c r="K35" s="197"/>
      <c r="L35" s="197"/>
      <c r="M35" s="197"/>
      <c r="N35" s="197"/>
      <c r="O35" s="197"/>
      <c r="P35" s="197"/>
    </row>
    <row r="36" spans="1:16" x14ac:dyDescent="0.35">
      <c r="A36" s="971" t="s">
        <v>617</v>
      </c>
      <c r="B36" s="971"/>
      <c r="C36" s="971"/>
      <c r="D36" s="977"/>
      <c r="E36" s="971"/>
      <c r="F36" s="971"/>
      <c r="G36" s="971"/>
      <c r="H36" s="971"/>
      <c r="I36" s="971"/>
      <c r="J36" s="971"/>
      <c r="K36" s="971"/>
      <c r="L36" s="971"/>
      <c r="M36" s="971"/>
      <c r="N36" s="971"/>
      <c r="O36" s="971"/>
      <c r="P36" s="971"/>
    </row>
    <row r="37" spans="1:16" x14ac:dyDescent="0.35">
      <c r="A37" s="971"/>
      <c r="B37" s="971"/>
      <c r="C37" s="971"/>
      <c r="D37" s="977"/>
      <c r="E37" s="971"/>
      <c r="F37" s="971"/>
      <c r="G37" s="971"/>
      <c r="H37" s="971"/>
      <c r="I37" s="971"/>
      <c r="J37" s="971"/>
      <c r="K37" s="971"/>
      <c r="L37" s="971"/>
      <c r="M37" s="971"/>
      <c r="N37" s="971"/>
      <c r="O37" s="971"/>
      <c r="P37" s="971"/>
    </row>
    <row r="38" spans="1:16" x14ac:dyDescent="0.35">
      <c r="A38" s="1378" t="s">
        <v>618</v>
      </c>
      <c r="B38" s="1378"/>
      <c r="C38" s="1378"/>
      <c r="D38" s="1378"/>
      <c r="E38" s="1378"/>
      <c r="F38" s="1378"/>
      <c r="G38" s="1378"/>
      <c r="H38" s="1378"/>
      <c r="I38" s="1378"/>
      <c r="J38" s="1378"/>
      <c r="K38" s="1378"/>
      <c r="L38" s="1378"/>
      <c r="M38" s="1378"/>
      <c r="N38" s="1378"/>
      <c r="O38" s="1378"/>
      <c r="P38" s="1378"/>
    </row>
    <row r="39" spans="1:16" x14ac:dyDescent="0.35">
      <c r="A39" s="1378"/>
      <c r="B39" s="1378"/>
      <c r="C39" s="1378"/>
      <c r="D39" s="1378"/>
      <c r="E39" s="1378"/>
      <c r="F39" s="1378"/>
      <c r="G39" s="1378"/>
      <c r="H39" s="1378"/>
      <c r="I39" s="1378"/>
      <c r="J39" s="1378"/>
      <c r="K39" s="1378"/>
      <c r="L39" s="1378"/>
      <c r="M39" s="1378"/>
      <c r="N39" s="1378"/>
      <c r="O39" s="1378"/>
      <c r="P39" s="1378"/>
    </row>
    <row r="40" spans="1:16" x14ac:dyDescent="0.35">
      <c r="A40" s="1378"/>
      <c r="B40" s="1378"/>
      <c r="C40" s="1378"/>
      <c r="D40" s="1378"/>
      <c r="E40" s="1378"/>
      <c r="F40" s="1378"/>
      <c r="G40" s="1378"/>
      <c r="H40" s="1378"/>
      <c r="I40" s="1378"/>
      <c r="J40" s="1378"/>
      <c r="K40" s="1378"/>
      <c r="L40" s="1378"/>
      <c r="M40" s="1378"/>
      <c r="N40" s="1378"/>
      <c r="O40" s="1378"/>
      <c r="P40" s="1378"/>
    </row>
    <row r="41" spans="1:16" x14ac:dyDescent="0.35">
      <c r="A41" s="1378"/>
      <c r="B41" s="1378"/>
      <c r="C41" s="1378"/>
      <c r="D41" s="1378"/>
      <c r="E41" s="1378"/>
      <c r="F41" s="1378"/>
      <c r="G41" s="1378"/>
      <c r="H41" s="1378"/>
      <c r="I41" s="1378"/>
      <c r="J41" s="1378"/>
      <c r="K41" s="1378"/>
      <c r="L41" s="1378"/>
      <c r="M41" s="1378"/>
      <c r="N41" s="1378"/>
      <c r="O41" s="1378"/>
      <c r="P41" s="1378"/>
    </row>
    <row r="42" spans="1:16" x14ac:dyDescent="0.35">
      <c r="A42" s="1378"/>
      <c r="B42" s="1378"/>
      <c r="C42" s="1378"/>
      <c r="D42" s="1378"/>
      <c r="E42" s="1378"/>
      <c r="F42" s="1378"/>
      <c r="G42" s="1378"/>
      <c r="H42" s="1378"/>
      <c r="I42" s="1378"/>
      <c r="J42" s="1378"/>
      <c r="K42" s="1378"/>
      <c r="L42" s="1378"/>
      <c r="M42" s="1378"/>
      <c r="N42" s="1378"/>
      <c r="O42" s="1378"/>
      <c r="P42" s="1378"/>
    </row>
    <row r="43" spans="1:16" x14ac:dyDescent="0.35">
      <c r="A43" s="145"/>
      <c r="B43" s="145"/>
      <c r="C43" s="145"/>
      <c r="D43" s="145"/>
      <c r="E43" s="145"/>
      <c r="F43" s="145"/>
      <c r="G43" s="145"/>
      <c r="H43" s="145"/>
      <c r="I43" s="145"/>
      <c r="J43" s="145"/>
      <c r="K43" s="145"/>
      <c r="L43" s="145"/>
      <c r="M43" s="145"/>
      <c r="N43" s="145"/>
      <c r="O43" s="145"/>
      <c r="P43" s="145"/>
    </row>
    <row r="44" spans="1:16" x14ac:dyDescent="0.35">
      <c r="A44" s="1242" t="s">
        <v>619</v>
      </c>
      <c r="B44" s="1242"/>
      <c r="C44" s="1242"/>
      <c r="D44" s="1242"/>
      <c r="E44" s="1242"/>
      <c r="F44" s="1242"/>
      <c r="G44" s="1242"/>
      <c r="H44" s="1242"/>
      <c r="I44" s="1242"/>
      <c r="J44" s="1242"/>
      <c r="K44" s="1242"/>
      <c r="L44" s="1242"/>
      <c r="M44" s="1242"/>
      <c r="N44" s="1242"/>
      <c r="O44" s="1242"/>
      <c r="P44" s="1242"/>
    </row>
    <row r="45" spans="1:16" x14ac:dyDescent="0.35">
      <c r="A45" s="1242"/>
      <c r="B45" s="1242"/>
      <c r="C45" s="1242"/>
      <c r="D45" s="1242"/>
      <c r="E45" s="1242"/>
      <c r="F45" s="1242"/>
      <c r="G45" s="1242"/>
      <c r="H45" s="1242"/>
      <c r="I45" s="1242"/>
      <c r="J45" s="1242"/>
      <c r="K45" s="1242"/>
      <c r="L45" s="1242"/>
      <c r="M45" s="1242"/>
      <c r="N45" s="1242"/>
      <c r="O45" s="1242"/>
      <c r="P45" s="1242"/>
    </row>
    <row r="46" spans="1:16" x14ac:dyDescent="0.35">
      <c r="A46" s="1242"/>
      <c r="B46" s="1242"/>
      <c r="C46" s="1242"/>
      <c r="D46" s="1242"/>
      <c r="E46" s="1242"/>
      <c r="F46" s="1242"/>
      <c r="G46" s="1242"/>
      <c r="H46" s="1242"/>
      <c r="I46" s="1242"/>
      <c r="J46" s="1242"/>
      <c r="K46" s="1242"/>
      <c r="L46" s="1242"/>
      <c r="M46" s="1242"/>
      <c r="N46" s="1242"/>
      <c r="O46" s="1242"/>
      <c r="P46" s="1242"/>
    </row>
    <row r="47" spans="1:16" x14ac:dyDescent="0.35">
      <c r="A47" s="971"/>
      <c r="B47" s="971"/>
      <c r="C47" s="971"/>
      <c r="D47" s="977"/>
      <c r="E47" s="971"/>
      <c r="F47" s="971"/>
      <c r="G47" s="971"/>
      <c r="H47" s="971"/>
      <c r="I47" s="971"/>
      <c r="J47" s="971"/>
      <c r="K47" s="971"/>
      <c r="L47" s="971"/>
      <c r="M47" s="971"/>
      <c r="N47" s="971"/>
      <c r="O47" s="971"/>
      <c r="P47" s="971"/>
    </row>
    <row r="48" spans="1:16" x14ac:dyDescent="0.35">
      <c r="A48" s="1376" t="s">
        <v>620</v>
      </c>
      <c r="B48" s="1377"/>
      <c r="C48" s="1377"/>
      <c r="D48" s="1377"/>
      <c r="E48" s="1377"/>
      <c r="F48" s="1377"/>
      <c r="G48" s="1377"/>
      <c r="H48" s="1377"/>
      <c r="I48" s="1377"/>
      <c r="J48" s="1377"/>
      <c r="K48" s="1377"/>
      <c r="L48" s="1377"/>
      <c r="M48" s="1377"/>
      <c r="N48" s="1377"/>
      <c r="O48" s="1377"/>
      <c r="P48" s="1377"/>
    </row>
    <row r="49" spans="1:16" x14ac:dyDescent="0.35">
      <c r="A49" s="1377"/>
      <c r="B49" s="1377"/>
      <c r="C49" s="1377"/>
      <c r="D49" s="1377"/>
      <c r="E49" s="1377"/>
      <c r="F49" s="1377"/>
      <c r="G49" s="1377"/>
      <c r="H49" s="1377"/>
      <c r="I49" s="1377"/>
      <c r="J49" s="1377"/>
      <c r="K49" s="1377"/>
      <c r="L49" s="1377"/>
      <c r="M49" s="1377"/>
      <c r="N49" s="1377"/>
      <c r="O49" s="1377"/>
      <c r="P49" s="1377"/>
    </row>
    <row r="50" spans="1:16" x14ac:dyDescent="0.35">
      <c r="A50" s="971"/>
      <c r="B50" s="971"/>
      <c r="C50" s="971"/>
      <c r="D50" s="977"/>
      <c r="E50" s="971"/>
      <c r="F50" s="971"/>
      <c r="G50" s="971"/>
      <c r="H50" s="971"/>
      <c r="I50" s="971"/>
      <c r="J50" s="971"/>
      <c r="K50" s="971"/>
      <c r="L50" s="971"/>
      <c r="M50" s="971"/>
      <c r="N50" s="971"/>
      <c r="O50" s="971"/>
      <c r="P50" s="971"/>
    </row>
    <row r="51" spans="1:16" x14ac:dyDescent="0.35">
      <c r="A51" s="1372" t="s">
        <v>621</v>
      </c>
      <c r="B51" s="1372"/>
      <c r="C51" s="1372"/>
      <c r="D51" s="1372"/>
      <c r="E51" s="1372"/>
      <c r="F51" s="1372"/>
      <c r="G51" s="1372"/>
      <c r="H51" s="1372"/>
      <c r="I51" s="1372"/>
      <c r="J51" s="1372"/>
      <c r="K51" s="1372"/>
      <c r="L51" s="1372"/>
      <c r="M51" s="1372"/>
      <c r="N51" s="1372"/>
      <c r="O51" s="1372"/>
      <c r="P51" s="1372"/>
    </row>
    <row r="52" spans="1:16" x14ac:dyDescent="0.35">
      <c r="A52" s="1372"/>
      <c r="B52" s="1372"/>
      <c r="C52" s="1372"/>
      <c r="D52" s="1372"/>
      <c r="E52" s="1372"/>
      <c r="F52" s="1372"/>
      <c r="G52" s="1372"/>
      <c r="H52" s="1372"/>
      <c r="I52" s="1372"/>
      <c r="J52" s="1372"/>
      <c r="K52" s="1372"/>
      <c r="L52" s="1372"/>
      <c r="M52" s="1372"/>
      <c r="N52" s="1372"/>
      <c r="O52" s="1372"/>
      <c r="P52" s="1372"/>
    </row>
    <row r="53" spans="1:16" x14ac:dyDescent="0.35">
      <c r="A53" s="1372"/>
      <c r="B53" s="1372"/>
      <c r="C53" s="1372"/>
      <c r="D53" s="1372"/>
      <c r="E53" s="1372"/>
      <c r="F53" s="1372"/>
      <c r="G53" s="1372"/>
      <c r="H53" s="1372"/>
      <c r="I53" s="1372"/>
      <c r="J53" s="1372"/>
      <c r="K53" s="1372"/>
      <c r="L53" s="1372"/>
      <c r="M53" s="1372"/>
      <c r="N53" s="1372"/>
      <c r="O53" s="1372"/>
      <c r="P53" s="1372"/>
    </row>
    <row r="54" spans="1:16" x14ac:dyDescent="0.35">
      <c r="A54" s="978"/>
      <c r="B54" s="978"/>
      <c r="C54" s="978"/>
      <c r="D54" s="979"/>
      <c r="E54" s="978"/>
      <c r="F54" s="978"/>
      <c r="G54" s="978"/>
      <c r="H54" s="978"/>
      <c r="I54" s="978"/>
      <c r="J54" s="978"/>
      <c r="K54" s="978"/>
      <c r="L54" s="978"/>
      <c r="M54" s="978"/>
      <c r="N54" s="978"/>
      <c r="O54" s="978"/>
      <c r="P54" s="978"/>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72" workbookViewId="0">
      <selection activeCell="E176" sqref="E176"/>
    </sheetView>
  </sheetViews>
  <sheetFormatPr defaultColWidth="11.453125" defaultRowHeight="14.5" x14ac:dyDescent="0.35"/>
  <cols>
    <col min="1" max="1" width="36" customWidth="1"/>
    <col min="2" max="2" width="15.54296875" customWidth="1"/>
    <col min="15" max="15" width="19.7265625" customWidth="1"/>
    <col min="16" max="16" width="125.81640625" customWidth="1"/>
  </cols>
  <sheetData>
    <row r="1" spans="1:15" x14ac:dyDescent="0.35">
      <c r="A1" s="87" t="s">
        <v>1508</v>
      </c>
      <c r="D1" s="984">
        <v>2022</v>
      </c>
      <c r="E1" s="984">
        <v>2023</v>
      </c>
      <c r="F1" s="984">
        <v>2024</v>
      </c>
      <c r="G1" s="984">
        <v>2025</v>
      </c>
      <c r="H1" s="984">
        <v>2026</v>
      </c>
      <c r="I1" s="984">
        <v>2027</v>
      </c>
      <c r="J1" s="984">
        <v>2028</v>
      </c>
      <c r="K1" s="984">
        <v>2029</v>
      </c>
      <c r="L1" s="984">
        <v>2030</v>
      </c>
      <c r="M1" s="985">
        <v>2031</v>
      </c>
      <c r="N1" s="986" t="s">
        <v>1298</v>
      </c>
      <c r="O1" s="986" t="s">
        <v>1299</v>
      </c>
    </row>
    <row r="2" spans="1:15" x14ac:dyDescent="0.35">
      <c r="C2" s="1379" t="s">
        <v>1509</v>
      </c>
      <c r="D2" s="1379"/>
      <c r="E2" s="1379"/>
      <c r="F2" s="1379"/>
      <c r="G2" s="1379"/>
      <c r="H2" s="1379"/>
      <c r="I2" s="1379"/>
      <c r="J2" s="1379"/>
      <c r="K2" s="1379"/>
      <c r="L2" s="1379"/>
      <c r="M2" s="1379"/>
      <c r="N2" s="1379"/>
      <c r="O2" s="1379"/>
    </row>
    <row r="3" spans="1:15" x14ac:dyDescent="0.35">
      <c r="A3" s="72" t="s">
        <v>1307</v>
      </c>
      <c r="B3" s="72">
        <v>13601</v>
      </c>
      <c r="C3" s="72" t="s">
        <v>1510</v>
      </c>
      <c r="D3" s="72">
        <v>0</v>
      </c>
      <c r="E3" s="72">
        <v>0</v>
      </c>
      <c r="F3" s="72">
        <v>601</v>
      </c>
      <c r="G3" s="72">
        <v>1038</v>
      </c>
      <c r="H3" s="72">
        <v>1251</v>
      </c>
      <c r="I3" s="72">
        <v>1431</v>
      </c>
      <c r="J3" s="72">
        <v>1492</v>
      </c>
      <c r="K3" s="72">
        <v>1530</v>
      </c>
      <c r="L3" s="72">
        <v>1567</v>
      </c>
      <c r="M3" s="72">
        <v>1606</v>
      </c>
      <c r="N3" s="72">
        <v>2890</v>
      </c>
      <c r="O3" s="72">
        <v>10516</v>
      </c>
    </row>
    <row r="4" spans="1:15" x14ac:dyDescent="0.35">
      <c r="A4" s="72" t="s">
        <v>1320</v>
      </c>
      <c r="B4" s="72">
        <v>10301</v>
      </c>
      <c r="C4" s="72" t="s">
        <v>1510</v>
      </c>
      <c r="D4" s="72">
        <v>0</v>
      </c>
      <c r="E4" s="72">
        <v>3823</v>
      </c>
      <c r="F4" s="72">
        <v>3380</v>
      </c>
      <c r="G4" s="72">
        <v>4970</v>
      </c>
      <c r="H4" s="72">
        <v>6248</v>
      </c>
      <c r="I4" s="72">
        <v>7996</v>
      </c>
      <c r="J4" s="72">
        <v>10106</v>
      </c>
      <c r="K4" s="72">
        <v>12617</v>
      </c>
      <c r="L4" s="72">
        <v>15072</v>
      </c>
      <c r="M4" s="72">
        <v>15388</v>
      </c>
      <c r="N4" s="72">
        <v>18421</v>
      </c>
      <c r="O4" s="72">
        <v>79600</v>
      </c>
    </row>
    <row r="5" spans="1:15" x14ac:dyDescent="0.35">
      <c r="A5" s="72" t="s">
        <v>1322</v>
      </c>
      <c r="B5" s="72">
        <v>13802</v>
      </c>
      <c r="C5" s="72" t="s">
        <v>1510</v>
      </c>
      <c r="D5" s="72">
        <v>0</v>
      </c>
      <c r="E5" s="72">
        <v>55</v>
      </c>
      <c r="F5" s="72">
        <v>55</v>
      </c>
      <c r="G5" s="72">
        <v>55</v>
      </c>
      <c r="H5" s="72">
        <v>55</v>
      </c>
      <c r="I5" s="72">
        <v>55</v>
      </c>
      <c r="J5" s="72">
        <v>55</v>
      </c>
      <c r="K5" s="72">
        <v>55</v>
      </c>
      <c r="L5" s="72">
        <v>55</v>
      </c>
      <c r="M5" s="72">
        <v>55</v>
      </c>
      <c r="N5" s="72">
        <v>220</v>
      </c>
      <c r="O5" s="72">
        <v>495</v>
      </c>
    </row>
    <row r="6" spans="1:15" x14ac:dyDescent="0.35">
      <c r="A6" s="72" t="s">
        <v>1324</v>
      </c>
      <c r="B6" s="72">
        <v>22005</v>
      </c>
      <c r="C6" s="72" t="s">
        <v>1510</v>
      </c>
      <c r="D6" s="72">
        <v>0</v>
      </c>
      <c r="E6" s="72">
        <v>19</v>
      </c>
      <c r="F6" s="72">
        <v>26</v>
      </c>
      <c r="G6" s="72">
        <v>27</v>
      </c>
      <c r="H6" s="72">
        <v>17</v>
      </c>
      <c r="I6" s="72">
        <v>7</v>
      </c>
      <c r="J6" s="72">
        <v>3</v>
      </c>
      <c r="K6" s="72">
        <v>1</v>
      </c>
      <c r="L6" s="72">
        <v>0</v>
      </c>
      <c r="M6" s="72">
        <v>0</v>
      </c>
      <c r="N6" s="72">
        <v>89</v>
      </c>
      <c r="O6" s="72">
        <v>100</v>
      </c>
    </row>
    <row r="7" spans="1:15" x14ac:dyDescent="0.35">
      <c r="A7" s="72" t="s">
        <v>1310</v>
      </c>
      <c r="B7" s="72">
        <v>23001</v>
      </c>
      <c r="C7" s="72" t="s">
        <v>1510</v>
      </c>
      <c r="D7" s="72">
        <v>0</v>
      </c>
      <c r="E7" s="72">
        <v>35</v>
      </c>
      <c r="F7" s="72">
        <v>125</v>
      </c>
      <c r="G7" s="72">
        <v>170</v>
      </c>
      <c r="H7" s="72">
        <v>375</v>
      </c>
      <c r="I7" s="72">
        <v>470</v>
      </c>
      <c r="J7" s="72">
        <v>415</v>
      </c>
      <c r="K7" s="72">
        <v>280</v>
      </c>
      <c r="L7" s="72">
        <v>217</v>
      </c>
      <c r="M7" s="72">
        <v>58</v>
      </c>
      <c r="N7" s="72">
        <v>705</v>
      </c>
      <c r="O7" s="72">
        <v>2145</v>
      </c>
    </row>
    <row r="8" spans="1:15" x14ac:dyDescent="0.35">
      <c r="A8" s="72" t="s">
        <v>1326</v>
      </c>
      <c r="B8" s="72">
        <v>23005</v>
      </c>
      <c r="C8" s="72" t="s">
        <v>1510</v>
      </c>
      <c r="D8" s="72">
        <v>0</v>
      </c>
      <c r="E8" s="72">
        <v>15</v>
      </c>
      <c r="F8" s="72">
        <v>15</v>
      </c>
      <c r="G8" s="72">
        <v>15</v>
      </c>
      <c r="H8" s="72">
        <v>10</v>
      </c>
      <c r="I8" s="72">
        <v>10</v>
      </c>
      <c r="J8" s="72">
        <v>10</v>
      </c>
      <c r="K8" s="72">
        <v>10</v>
      </c>
      <c r="L8" s="72">
        <v>10</v>
      </c>
      <c r="M8" s="72">
        <v>5</v>
      </c>
      <c r="N8" s="72">
        <v>55</v>
      </c>
      <c r="O8" s="72">
        <v>100</v>
      </c>
    </row>
    <row r="9" spans="1:15" x14ac:dyDescent="0.35">
      <c r="A9" s="72" t="s">
        <v>1379</v>
      </c>
      <c r="B9" s="72">
        <v>23003</v>
      </c>
      <c r="C9" s="72" t="s">
        <v>1366</v>
      </c>
      <c r="D9" s="72">
        <v>0</v>
      </c>
      <c r="E9" s="72">
        <v>65</v>
      </c>
      <c r="F9" s="72">
        <v>150</v>
      </c>
      <c r="G9" s="72">
        <v>290</v>
      </c>
      <c r="H9" s="72">
        <v>290</v>
      </c>
      <c r="I9" s="72">
        <v>290</v>
      </c>
      <c r="J9" s="72">
        <v>285</v>
      </c>
      <c r="K9" s="72">
        <v>250</v>
      </c>
      <c r="L9" s="72">
        <v>220</v>
      </c>
      <c r="M9" s="72">
        <v>160</v>
      </c>
      <c r="N9" s="72">
        <v>795</v>
      </c>
      <c r="O9" s="72">
        <v>2000</v>
      </c>
    </row>
    <row r="10" spans="1:15" x14ac:dyDescent="0.35">
      <c r="A10" s="72" t="s">
        <v>1407</v>
      </c>
      <c r="B10" s="72">
        <v>11102</v>
      </c>
      <c r="C10" s="72" t="s">
        <v>210</v>
      </c>
      <c r="D10" s="72">
        <v>0</v>
      </c>
      <c r="E10" s="72">
        <v>110</v>
      </c>
      <c r="F10" s="72">
        <v>504</v>
      </c>
      <c r="G10" s="72">
        <v>878</v>
      </c>
      <c r="H10" s="72">
        <v>1193</v>
      </c>
      <c r="I10" s="72">
        <v>1596</v>
      </c>
      <c r="J10" s="72">
        <v>2081</v>
      </c>
      <c r="K10" s="72">
        <v>2587</v>
      </c>
      <c r="L10" s="72">
        <v>3117</v>
      </c>
      <c r="M10" s="72">
        <v>3648</v>
      </c>
      <c r="N10" s="72">
        <v>2685</v>
      </c>
      <c r="O10" s="72">
        <v>15714</v>
      </c>
    </row>
    <row r="11" spans="1:15" x14ac:dyDescent="0.35">
      <c r="A11" s="72" t="s">
        <v>1409</v>
      </c>
      <c r="B11" s="72">
        <v>11405</v>
      </c>
      <c r="C11" s="72" t="s">
        <v>210</v>
      </c>
      <c r="D11" s="72">
        <v>0</v>
      </c>
      <c r="E11" s="72">
        <v>0</v>
      </c>
      <c r="F11" s="72">
        <v>235</v>
      </c>
      <c r="G11" s="72">
        <v>317</v>
      </c>
      <c r="H11" s="72">
        <v>304</v>
      </c>
      <c r="I11" s="72">
        <v>314</v>
      </c>
      <c r="J11" s="72">
        <v>324</v>
      </c>
      <c r="K11" s="72">
        <v>335</v>
      </c>
      <c r="L11" s="72">
        <v>346</v>
      </c>
      <c r="M11" s="72">
        <v>359</v>
      </c>
      <c r="N11" s="72">
        <v>856</v>
      </c>
      <c r="O11" s="72">
        <v>2534</v>
      </c>
    </row>
    <row r="12" spans="1:15" x14ac:dyDescent="0.35">
      <c r="A12" s="72" t="s">
        <v>1411</v>
      </c>
      <c r="B12" s="72">
        <v>11001</v>
      </c>
      <c r="C12" s="72" t="s">
        <v>211</v>
      </c>
      <c r="D12" s="72">
        <v>0</v>
      </c>
      <c r="E12" s="72">
        <v>0</v>
      </c>
      <c r="F12" s="72">
        <v>0</v>
      </c>
      <c r="G12" s="72">
        <v>0</v>
      </c>
      <c r="H12" s="72">
        <v>-3728</v>
      </c>
      <c r="I12" s="72">
        <v>-8317</v>
      </c>
      <c r="J12" s="72">
        <v>-17535</v>
      </c>
      <c r="K12" s="72">
        <v>-21009</v>
      </c>
      <c r="L12" s="72">
        <v>-23416</v>
      </c>
      <c r="M12" s="72">
        <v>-24516</v>
      </c>
      <c r="N12" s="72">
        <v>-3728</v>
      </c>
      <c r="O12" s="72">
        <v>-98521</v>
      </c>
    </row>
    <row r="13" spans="1:15" x14ac:dyDescent="0.35">
      <c r="A13" s="72">
        <v>0</v>
      </c>
      <c r="B13" s="72">
        <v>11004</v>
      </c>
      <c r="C13" s="72" t="s">
        <v>211</v>
      </c>
      <c r="D13" s="72">
        <v>0</v>
      </c>
      <c r="E13" s="72">
        <v>333</v>
      </c>
      <c r="F13" s="72">
        <v>314</v>
      </c>
      <c r="G13" s="72">
        <v>314</v>
      </c>
      <c r="H13" s="72">
        <v>314</v>
      </c>
      <c r="I13" s="72">
        <v>314</v>
      </c>
      <c r="J13" s="72">
        <v>314</v>
      </c>
      <c r="K13" s="72">
        <v>314</v>
      </c>
      <c r="L13" s="72">
        <v>314</v>
      </c>
      <c r="M13" s="72">
        <v>314</v>
      </c>
      <c r="N13" s="72">
        <v>1275</v>
      </c>
      <c r="O13" s="72">
        <v>2845</v>
      </c>
    </row>
    <row r="14" spans="1:15" x14ac:dyDescent="0.35">
      <c r="A14" s="72" t="s">
        <v>1407</v>
      </c>
      <c r="B14" s="72">
        <v>11102</v>
      </c>
      <c r="C14" s="72" t="s">
        <v>211</v>
      </c>
      <c r="D14" s="72">
        <v>0</v>
      </c>
      <c r="E14" s="72">
        <v>-719</v>
      </c>
      <c r="F14" s="72">
        <v>-1051</v>
      </c>
      <c r="G14" s="72">
        <v>-18680</v>
      </c>
      <c r="H14" s="72">
        <v>-7174</v>
      </c>
      <c r="I14" s="72">
        <v>-7523</v>
      </c>
      <c r="J14" s="72">
        <v>-7820</v>
      </c>
      <c r="K14" s="72">
        <v>-8529</v>
      </c>
      <c r="L14" s="72">
        <v>-9564</v>
      </c>
      <c r="M14" s="72">
        <v>-10720</v>
      </c>
      <c r="N14" s="72">
        <v>-27624</v>
      </c>
      <c r="O14" s="72">
        <v>-71780</v>
      </c>
    </row>
    <row r="15" spans="1:15" x14ac:dyDescent="0.35">
      <c r="A15" s="72">
        <v>0</v>
      </c>
      <c r="B15" s="72">
        <v>11102</v>
      </c>
      <c r="C15" s="72" t="s">
        <v>211</v>
      </c>
      <c r="D15" s="72">
        <v>0</v>
      </c>
      <c r="E15" s="72">
        <v>-23</v>
      </c>
      <c r="F15" s="72">
        <v>-60</v>
      </c>
      <c r="G15" s="72">
        <v>-61</v>
      </c>
      <c r="H15" s="72">
        <v>-43</v>
      </c>
      <c r="I15" s="72">
        <v>-30</v>
      </c>
      <c r="J15" s="72">
        <v>-34</v>
      </c>
      <c r="K15" s="72">
        <v>-26</v>
      </c>
      <c r="L15" s="72">
        <v>-3</v>
      </c>
      <c r="M15" s="72">
        <v>7</v>
      </c>
      <c r="N15" s="72">
        <v>-187</v>
      </c>
      <c r="O15" s="72">
        <v>-273</v>
      </c>
    </row>
    <row r="16" spans="1:15" x14ac:dyDescent="0.35">
      <c r="A16" s="72" t="s">
        <v>1414</v>
      </c>
      <c r="B16" s="72">
        <v>11201</v>
      </c>
      <c r="C16" s="72" t="s">
        <v>211</v>
      </c>
      <c r="D16" s="72">
        <v>0</v>
      </c>
      <c r="E16" s="72">
        <v>48</v>
      </c>
      <c r="F16" s="72">
        <v>2541</v>
      </c>
      <c r="G16" s="72">
        <v>4311</v>
      </c>
      <c r="H16" s="72">
        <v>3827</v>
      </c>
      <c r="I16" s="72">
        <v>4927</v>
      </c>
      <c r="J16" s="72">
        <v>5162</v>
      </c>
      <c r="K16" s="72">
        <v>4780</v>
      </c>
      <c r="L16" s="72">
        <v>2375</v>
      </c>
      <c r="M16" s="72">
        <v>1866</v>
      </c>
      <c r="N16" s="72">
        <v>10727</v>
      </c>
      <c r="O16" s="72">
        <v>29837</v>
      </c>
    </row>
    <row r="17" spans="1:15" x14ac:dyDescent="0.35">
      <c r="A17" s="72" t="s">
        <v>1511</v>
      </c>
      <c r="B17" s="72">
        <v>11202</v>
      </c>
      <c r="C17" s="72" t="s">
        <v>211</v>
      </c>
      <c r="D17" s="72">
        <v>0</v>
      </c>
      <c r="E17" s="72">
        <v>5</v>
      </c>
      <c r="F17" s="72">
        <v>3</v>
      </c>
      <c r="G17" s="72">
        <v>17</v>
      </c>
      <c r="H17" s="72">
        <v>15</v>
      </c>
      <c r="I17" s="72">
        <v>15</v>
      </c>
      <c r="J17" s="72">
        <v>20</v>
      </c>
      <c r="K17" s="72">
        <v>15</v>
      </c>
      <c r="L17" s="72">
        <v>15</v>
      </c>
      <c r="M17" s="72">
        <v>20</v>
      </c>
      <c r="N17" s="72">
        <v>40</v>
      </c>
      <c r="O17" s="72">
        <v>125</v>
      </c>
    </row>
    <row r="18" spans="1:15" x14ac:dyDescent="0.35">
      <c r="A18" s="72" t="s">
        <v>1416</v>
      </c>
      <c r="B18" s="72">
        <v>11301</v>
      </c>
      <c r="C18" s="72" t="s">
        <v>211</v>
      </c>
      <c r="D18" s="72">
        <v>0</v>
      </c>
      <c r="E18" s="72">
        <v>0</v>
      </c>
      <c r="F18" s="72">
        <v>0</v>
      </c>
      <c r="G18" s="72">
        <v>0</v>
      </c>
      <c r="H18" s="72">
        <v>0</v>
      </c>
      <c r="I18" s="72">
        <v>-16290</v>
      </c>
      <c r="J18" s="72">
        <v>-25656</v>
      </c>
      <c r="K18" s="72">
        <v>-23394</v>
      </c>
      <c r="L18" s="72">
        <v>-27561</v>
      </c>
      <c r="M18" s="72">
        <v>-29250</v>
      </c>
      <c r="N18" s="72">
        <v>0</v>
      </c>
      <c r="O18" s="72">
        <v>-122151</v>
      </c>
    </row>
    <row r="19" spans="1:15" x14ac:dyDescent="0.35">
      <c r="A19" s="72" t="s">
        <v>1418</v>
      </c>
      <c r="B19" s="72">
        <v>11401</v>
      </c>
      <c r="C19" s="72" t="s">
        <v>211</v>
      </c>
      <c r="D19" s="72">
        <v>0</v>
      </c>
      <c r="E19" s="72">
        <v>-69</v>
      </c>
      <c r="F19" s="72">
        <v>301</v>
      </c>
      <c r="G19" s="72">
        <v>863</v>
      </c>
      <c r="H19" s="72">
        <v>579</v>
      </c>
      <c r="I19" s="72">
        <v>466</v>
      </c>
      <c r="J19" s="72">
        <v>551</v>
      </c>
      <c r="K19" s="72">
        <v>503</v>
      </c>
      <c r="L19" s="72">
        <v>593</v>
      </c>
      <c r="M19" s="72">
        <v>632</v>
      </c>
      <c r="N19" s="72">
        <v>1674</v>
      </c>
      <c r="O19" s="72">
        <v>4419</v>
      </c>
    </row>
    <row r="20" spans="1:15" x14ac:dyDescent="0.35">
      <c r="A20" s="72">
        <v>0</v>
      </c>
      <c r="B20" s="72">
        <v>11402</v>
      </c>
      <c r="C20" s="72" t="s">
        <v>211</v>
      </c>
      <c r="D20" s="72">
        <v>0</v>
      </c>
      <c r="E20" s="72">
        <v>-1</v>
      </c>
      <c r="F20" s="72">
        <v>-1</v>
      </c>
      <c r="G20" s="72">
        <v>-1</v>
      </c>
      <c r="H20" s="72">
        <v>-2</v>
      </c>
      <c r="I20" s="72">
        <v>-2</v>
      </c>
      <c r="J20" s="72">
        <v>-2</v>
      </c>
      <c r="K20" s="72">
        <v>-2</v>
      </c>
      <c r="L20" s="72">
        <v>-2</v>
      </c>
      <c r="M20" s="72">
        <v>-2</v>
      </c>
      <c r="N20" s="72">
        <v>-5</v>
      </c>
      <c r="O20" s="72">
        <v>-15</v>
      </c>
    </row>
    <row r="21" spans="1:15" x14ac:dyDescent="0.35">
      <c r="A21" s="72">
        <v>0</v>
      </c>
      <c r="B21" s="72">
        <v>11403</v>
      </c>
      <c r="C21" s="72" t="s">
        <v>211</v>
      </c>
      <c r="D21" s="72">
        <v>0</v>
      </c>
      <c r="E21" s="72">
        <v>0</v>
      </c>
      <c r="F21" s="72">
        <v>0</v>
      </c>
      <c r="G21" s="72">
        <v>0</v>
      </c>
      <c r="H21" s="72">
        <v>0</v>
      </c>
      <c r="I21" s="72">
        <v>0</v>
      </c>
      <c r="J21" s="72">
        <v>0</v>
      </c>
      <c r="K21" s="72">
        <v>0</v>
      </c>
      <c r="L21" s="72">
        <v>0</v>
      </c>
      <c r="M21" s="72">
        <v>0</v>
      </c>
      <c r="N21" s="72">
        <v>0</v>
      </c>
      <c r="O21" s="72">
        <v>0</v>
      </c>
    </row>
    <row r="22" spans="1:15" x14ac:dyDescent="0.35">
      <c r="A22" s="72">
        <v>0</v>
      </c>
      <c r="B22" s="72">
        <v>11406</v>
      </c>
      <c r="C22" s="72" t="s">
        <v>211</v>
      </c>
      <c r="D22" s="72">
        <v>0</v>
      </c>
      <c r="E22" s="72">
        <v>1</v>
      </c>
      <c r="F22" s="72">
        <v>501</v>
      </c>
      <c r="G22" s="72">
        <v>506</v>
      </c>
      <c r="H22" s="72">
        <v>561</v>
      </c>
      <c r="I22" s="72">
        <v>628</v>
      </c>
      <c r="J22" s="72">
        <v>681</v>
      </c>
      <c r="K22" s="72">
        <v>608</v>
      </c>
      <c r="L22" s="72">
        <v>659</v>
      </c>
      <c r="M22" s="72">
        <v>684</v>
      </c>
      <c r="N22" s="72">
        <v>1569</v>
      </c>
      <c r="O22" s="72">
        <v>4829</v>
      </c>
    </row>
    <row r="23" spans="1:15" x14ac:dyDescent="0.35">
      <c r="A23" s="72">
        <v>0</v>
      </c>
      <c r="B23" s="72">
        <v>11407</v>
      </c>
      <c r="C23" s="72" t="s">
        <v>211</v>
      </c>
      <c r="D23" s="72">
        <v>0</v>
      </c>
      <c r="E23" s="72">
        <v>10</v>
      </c>
      <c r="F23" s="72">
        <v>25</v>
      </c>
      <c r="G23" s="72">
        <v>28</v>
      </c>
      <c r="H23" s="72">
        <v>29</v>
      </c>
      <c r="I23" s="72">
        <v>31</v>
      </c>
      <c r="J23" s="72">
        <v>33</v>
      </c>
      <c r="K23" s="72">
        <v>33</v>
      </c>
      <c r="L23" s="72">
        <v>35</v>
      </c>
      <c r="M23" s="72">
        <v>37</v>
      </c>
      <c r="N23" s="72">
        <v>92</v>
      </c>
      <c r="O23" s="72">
        <v>261</v>
      </c>
    </row>
    <row r="24" spans="1:15" x14ac:dyDescent="0.35">
      <c r="A24" s="72">
        <v>0</v>
      </c>
      <c r="B24" s="72">
        <v>11408</v>
      </c>
      <c r="C24" s="72" t="s">
        <v>211</v>
      </c>
      <c r="D24" s="72">
        <v>0</v>
      </c>
      <c r="E24" s="72">
        <v>0</v>
      </c>
      <c r="F24" s="72">
        <v>0</v>
      </c>
      <c r="G24" s="72">
        <v>0</v>
      </c>
      <c r="H24" s="72">
        <v>0</v>
      </c>
      <c r="I24" s="72">
        <v>0</v>
      </c>
      <c r="J24" s="72">
        <v>0</v>
      </c>
      <c r="K24" s="72">
        <v>0</v>
      </c>
      <c r="L24" s="72">
        <v>0</v>
      </c>
      <c r="M24" s="72">
        <v>0</v>
      </c>
      <c r="N24" s="72">
        <v>0</v>
      </c>
      <c r="O24" s="72">
        <v>0</v>
      </c>
    </row>
    <row r="25" spans="1:15" x14ac:dyDescent="0.35">
      <c r="A25" s="72" t="s">
        <v>1420</v>
      </c>
      <c r="B25" s="72">
        <v>11404</v>
      </c>
      <c r="C25" s="72" t="s">
        <v>211</v>
      </c>
      <c r="D25" s="72">
        <v>0</v>
      </c>
      <c r="E25" s="72">
        <v>0</v>
      </c>
      <c r="F25" s="72">
        <v>195</v>
      </c>
      <c r="G25" s="72">
        <v>230</v>
      </c>
      <c r="H25" s="72">
        <v>248</v>
      </c>
      <c r="I25" s="72">
        <v>266</v>
      </c>
      <c r="J25" s="72">
        <v>311</v>
      </c>
      <c r="K25" s="72">
        <v>281</v>
      </c>
      <c r="L25" s="72">
        <v>327</v>
      </c>
      <c r="M25" s="72">
        <v>347</v>
      </c>
      <c r="N25" s="72">
        <v>673</v>
      </c>
      <c r="O25" s="72">
        <v>2205</v>
      </c>
    </row>
    <row r="26" spans="1:15" x14ac:dyDescent="0.35">
      <c r="A26" s="72" t="s">
        <v>1432</v>
      </c>
      <c r="B26" s="72">
        <v>12001</v>
      </c>
      <c r="C26" s="72" t="s">
        <v>1512</v>
      </c>
      <c r="D26" s="72">
        <v>0</v>
      </c>
      <c r="E26" s="72">
        <v>20892</v>
      </c>
      <c r="F26" s="72">
        <v>11288</v>
      </c>
      <c r="G26" s="72">
        <v>9651</v>
      </c>
      <c r="H26" s="72">
        <v>-8548</v>
      </c>
      <c r="I26" s="72">
        <v>-463</v>
      </c>
      <c r="J26" s="72">
        <v>0</v>
      </c>
      <c r="K26" s="72">
        <v>0</v>
      </c>
      <c r="L26" s="72">
        <v>0</v>
      </c>
      <c r="M26" s="72">
        <v>0</v>
      </c>
      <c r="N26" s="72">
        <v>33283</v>
      </c>
      <c r="O26" s="72">
        <v>32820</v>
      </c>
    </row>
    <row r="27" spans="1:15" x14ac:dyDescent="0.35">
      <c r="A27" s="72" t="s">
        <v>1434</v>
      </c>
      <c r="B27" s="72">
        <v>22003</v>
      </c>
      <c r="C27" s="72" t="s">
        <v>1512</v>
      </c>
      <c r="D27" s="72">
        <v>0</v>
      </c>
      <c r="E27" s="72">
        <v>24</v>
      </c>
      <c r="F27" s="72">
        <v>65</v>
      </c>
      <c r="G27" s="72">
        <v>112</v>
      </c>
      <c r="H27" s="72">
        <v>130</v>
      </c>
      <c r="I27" s="72">
        <v>98</v>
      </c>
      <c r="J27" s="72">
        <v>56</v>
      </c>
      <c r="K27" s="72">
        <v>15</v>
      </c>
      <c r="L27" s="72">
        <v>0</v>
      </c>
      <c r="M27" s="72">
        <v>0</v>
      </c>
      <c r="N27" s="72">
        <v>331</v>
      </c>
      <c r="O27" s="72">
        <v>500</v>
      </c>
    </row>
    <row r="28" spans="1:15" x14ac:dyDescent="0.35">
      <c r="A28" s="72" t="s">
        <v>1436</v>
      </c>
      <c r="B28" s="72">
        <v>22004</v>
      </c>
      <c r="C28" s="72" t="s">
        <v>1512</v>
      </c>
      <c r="D28" s="72">
        <v>0</v>
      </c>
      <c r="E28" s="72">
        <v>50</v>
      </c>
      <c r="F28" s="72">
        <v>500</v>
      </c>
      <c r="G28" s="72">
        <v>920</v>
      </c>
      <c r="H28" s="72">
        <v>1310</v>
      </c>
      <c r="I28" s="72">
        <v>1680</v>
      </c>
      <c r="J28" s="72">
        <v>1780</v>
      </c>
      <c r="K28" s="72">
        <v>1640</v>
      </c>
      <c r="L28" s="72">
        <v>1090</v>
      </c>
      <c r="M28" s="72">
        <v>630</v>
      </c>
      <c r="N28" s="72">
        <v>2780</v>
      </c>
      <c r="O28" s="72">
        <v>9600</v>
      </c>
    </row>
    <row r="29" spans="1:15" ht="45" customHeight="1" x14ac:dyDescent="0.35">
      <c r="A29" s="987" t="s">
        <v>1513</v>
      </c>
      <c r="B29" s="72">
        <v>22007</v>
      </c>
      <c r="C29" s="72" t="s">
        <v>1512</v>
      </c>
      <c r="D29" s="72">
        <v>-622</v>
      </c>
      <c r="E29" s="72">
        <v>80</v>
      </c>
      <c r="F29" s="72">
        <v>248</v>
      </c>
      <c r="G29" s="72">
        <v>266</v>
      </c>
      <c r="H29" s="72">
        <v>363</v>
      </c>
      <c r="I29" s="72">
        <v>464</v>
      </c>
      <c r="J29" s="72">
        <v>451</v>
      </c>
      <c r="K29" s="72">
        <v>336</v>
      </c>
      <c r="L29" s="72">
        <v>226</v>
      </c>
      <c r="M29" s="72">
        <v>117</v>
      </c>
      <c r="N29" s="72">
        <v>335</v>
      </c>
      <c r="O29" s="72">
        <v>1929</v>
      </c>
    </row>
    <row r="30" spans="1:15" x14ac:dyDescent="0.35">
      <c r="A30" s="72" t="s">
        <v>1438</v>
      </c>
      <c r="B30" s="72">
        <v>23002</v>
      </c>
      <c r="C30" s="72" t="s">
        <v>1512</v>
      </c>
      <c r="D30" s="72">
        <v>0</v>
      </c>
      <c r="E30" s="72">
        <v>30</v>
      </c>
      <c r="F30" s="72">
        <v>90</v>
      </c>
      <c r="G30" s="72">
        <v>90</v>
      </c>
      <c r="H30" s="72">
        <v>85</v>
      </c>
      <c r="I30" s="72">
        <v>70</v>
      </c>
      <c r="J30" s="72">
        <v>65</v>
      </c>
      <c r="K30" s="72">
        <v>65</v>
      </c>
      <c r="L30" s="72">
        <v>35</v>
      </c>
      <c r="M30" s="72">
        <v>15</v>
      </c>
      <c r="N30" s="72">
        <v>295</v>
      </c>
      <c r="O30" s="72">
        <v>545</v>
      </c>
    </row>
    <row r="31" spans="1:15" x14ac:dyDescent="0.35">
      <c r="A31" s="72" t="s">
        <v>1429</v>
      </c>
      <c r="B31" s="72">
        <v>30002</v>
      </c>
      <c r="C31" s="72" t="s">
        <v>1512</v>
      </c>
      <c r="D31" s="72">
        <v>0</v>
      </c>
      <c r="E31" s="72">
        <v>20</v>
      </c>
      <c r="F31" s="72">
        <v>65</v>
      </c>
      <c r="G31" s="72">
        <v>110</v>
      </c>
      <c r="H31" s="72">
        <v>135</v>
      </c>
      <c r="I31" s="72">
        <v>180</v>
      </c>
      <c r="J31" s="72">
        <v>230</v>
      </c>
      <c r="K31" s="72">
        <v>180</v>
      </c>
      <c r="L31" s="72">
        <v>60</v>
      </c>
      <c r="M31" s="72">
        <v>10</v>
      </c>
      <c r="N31" s="72">
        <v>330</v>
      </c>
      <c r="O31" s="72">
        <v>990</v>
      </c>
    </row>
    <row r="32" spans="1:15" x14ac:dyDescent="0.35">
      <c r="A32" s="72" t="s">
        <v>1514</v>
      </c>
      <c r="B32" s="72">
        <v>13104</v>
      </c>
      <c r="C32" s="72" t="s">
        <v>1515</v>
      </c>
      <c r="D32" s="72">
        <v>0</v>
      </c>
      <c r="E32" s="72">
        <v>20</v>
      </c>
      <c r="F32" s="72">
        <v>145</v>
      </c>
      <c r="G32" s="72">
        <v>225</v>
      </c>
      <c r="H32" s="72">
        <v>238</v>
      </c>
      <c r="I32" s="72">
        <v>222</v>
      </c>
      <c r="J32" s="72">
        <v>206</v>
      </c>
      <c r="K32" s="72">
        <v>186</v>
      </c>
      <c r="L32" s="72">
        <v>165</v>
      </c>
      <c r="M32" s="72">
        <v>142</v>
      </c>
      <c r="N32" s="72">
        <v>628</v>
      </c>
      <c r="O32" s="72">
        <v>1550</v>
      </c>
    </row>
    <row r="33" spans="1:15" x14ac:dyDescent="0.35">
      <c r="A33" s="72" t="s">
        <v>1516</v>
      </c>
      <c r="B33" s="72">
        <v>13105</v>
      </c>
      <c r="C33" s="72" t="s">
        <v>1515</v>
      </c>
      <c r="D33" s="72">
        <v>0</v>
      </c>
      <c r="E33" s="72">
        <v>0</v>
      </c>
      <c r="F33" s="72">
        <v>1050</v>
      </c>
      <c r="G33" s="72">
        <v>1692</v>
      </c>
      <c r="H33" s="72">
        <v>1781</v>
      </c>
      <c r="I33" s="72">
        <v>1842</v>
      </c>
      <c r="J33" s="72">
        <v>1901</v>
      </c>
      <c r="K33" s="72">
        <v>1944</v>
      </c>
      <c r="L33" s="72">
        <v>2054</v>
      </c>
      <c r="M33" s="72">
        <v>2137</v>
      </c>
      <c r="N33" s="72">
        <v>4522</v>
      </c>
      <c r="O33" s="72">
        <v>14401</v>
      </c>
    </row>
    <row r="34" spans="1:15" x14ac:dyDescent="0.35">
      <c r="A34" s="72" t="s">
        <v>1466</v>
      </c>
      <c r="B34" s="72">
        <v>13204</v>
      </c>
      <c r="C34" s="72" t="s">
        <v>1515</v>
      </c>
      <c r="D34" s="72">
        <v>0</v>
      </c>
      <c r="E34" s="72">
        <v>59</v>
      </c>
      <c r="F34" s="72">
        <v>149</v>
      </c>
      <c r="G34" s="72">
        <v>244</v>
      </c>
      <c r="H34" s="72">
        <v>364</v>
      </c>
      <c r="I34" s="72">
        <v>498</v>
      </c>
      <c r="J34" s="72">
        <v>657</v>
      </c>
      <c r="K34" s="72">
        <v>851</v>
      </c>
      <c r="L34" s="72">
        <v>1086</v>
      </c>
      <c r="M34" s="72">
        <v>1410</v>
      </c>
      <c r="N34" s="72">
        <v>815</v>
      </c>
      <c r="O34" s="72">
        <v>5317</v>
      </c>
    </row>
    <row r="35" spans="1:15" x14ac:dyDescent="0.35">
      <c r="A35" s="72" t="s">
        <v>1517</v>
      </c>
      <c r="B35" s="72">
        <v>13502</v>
      </c>
      <c r="C35" s="72" t="s">
        <v>1515</v>
      </c>
      <c r="D35" s="72">
        <v>0</v>
      </c>
      <c r="E35" s="72">
        <v>842</v>
      </c>
      <c r="F35" s="72">
        <v>1201</v>
      </c>
      <c r="G35" s="72">
        <v>1291</v>
      </c>
      <c r="H35" s="72">
        <v>1519</v>
      </c>
      <c r="I35" s="72">
        <v>1710</v>
      </c>
      <c r="J35" s="72">
        <v>1890</v>
      </c>
      <c r="K35" s="72">
        <v>2176</v>
      </c>
      <c r="L35" s="72">
        <v>2189</v>
      </c>
      <c r="M35" s="72">
        <v>1882</v>
      </c>
      <c r="N35" s="72">
        <v>4853</v>
      </c>
      <c r="O35" s="72">
        <v>14699</v>
      </c>
    </row>
    <row r="36" spans="1:15" x14ac:dyDescent="0.35">
      <c r="A36" s="72" t="s">
        <v>1518</v>
      </c>
      <c r="B36" s="72">
        <v>13701</v>
      </c>
      <c r="C36" s="72" t="s">
        <v>1515</v>
      </c>
      <c r="D36" s="72">
        <v>0</v>
      </c>
      <c r="E36" s="72">
        <v>1</v>
      </c>
      <c r="F36" s="72">
        <v>1</v>
      </c>
      <c r="G36" s="72">
        <v>2</v>
      </c>
      <c r="H36" s="72">
        <v>2</v>
      </c>
      <c r="I36" s="72">
        <v>3</v>
      </c>
      <c r="J36" s="72">
        <v>3</v>
      </c>
      <c r="K36" s="72">
        <v>4</v>
      </c>
      <c r="L36" s="72">
        <v>5</v>
      </c>
      <c r="M36" s="72">
        <v>6</v>
      </c>
      <c r="N36" s="72">
        <v>6</v>
      </c>
      <c r="O36" s="72">
        <v>26</v>
      </c>
    </row>
    <row r="37" spans="1:15" x14ac:dyDescent="0.35">
      <c r="A37" s="72" t="s">
        <v>1448</v>
      </c>
      <c r="B37" s="72">
        <v>21001</v>
      </c>
      <c r="C37" s="72" t="s">
        <v>1515</v>
      </c>
      <c r="D37" s="72">
        <v>0</v>
      </c>
      <c r="E37" s="72">
        <v>178</v>
      </c>
      <c r="F37" s="72">
        <v>716</v>
      </c>
      <c r="G37" s="72">
        <v>1268</v>
      </c>
      <c r="H37" s="72">
        <v>2150</v>
      </c>
      <c r="I37" s="72">
        <v>3000</v>
      </c>
      <c r="J37" s="72">
        <v>2906</v>
      </c>
      <c r="K37" s="72">
        <v>2533</v>
      </c>
      <c r="L37" s="72">
        <v>1750</v>
      </c>
      <c r="M37" s="72">
        <v>807</v>
      </c>
      <c r="N37" s="72">
        <v>4312</v>
      </c>
      <c r="O37" s="72">
        <v>15308</v>
      </c>
    </row>
    <row r="38" spans="1:15" x14ac:dyDescent="0.35">
      <c r="A38" s="72">
        <v>0</v>
      </c>
      <c r="B38" s="72">
        <v>21002</v>
      </c>
      <c r="C38" s="72" t="s">
        <v>1515</v>
      </c>
      <c r="D38" s="72">
        <v>0</v>
      </c>
      <c r="E38" s="72">
        <v>86</v>
      </c>
      <c r="F38" s="72">
        <v>95</v>
      </c>
      <c r="G38" s="72">
        <v>125</v>
      </c>
      <c r="H38" s="72">
        <v>225</v>
      </c>
      <c r="I38" s="72">
        <v>225</v>
      </c>
      <c r="J38" s="72">
        <v>245</v>
      </c>
      <c r="K38" s="72">
        <v>240</v>
      </c>
      <c r="L38" s="72">
        <v>109</v>
      </c>
      <c r="M38" s="72">
        <v>50</v>
      </c>
      <c r="N38" s="72">
        <v>531</v>
      </c>
      <c r="O38" s="72">
        <v>1400</v>
      </c>
    </row>
    <row r="39" spans="1:15" x14ac:dyDescent="0.35">
      <c r="A39" s="72" t="s">
        <v>1460</v>
      </c>
      <c r="B39" s="72">
        <v>22002</v>
      </c>
      <c r="C39" s="72" t="s">
        <v>1515</v>
      </c>
      <c r="D39" s="72">
        <v>0</v>
      </c>
      <c r="E39" s="72">
        <v>5</v>
      </c>
      <c r="F39" s="72">
        <v>41</v>
      </c>
      <c r="G39" s="72">
        <v>116</v>
      </c>
      <c r="H39" s="72">
        <v>284</v>
      </c>
      <c r="I39" s="72">
        <v>417</v>
      </c>
      <c r="J39" s="72">
        <v>459</v>
      </c>
      <c r="K39" s="72">
        <v>355</v>
      </c>
      <c r="L39" s="72">
        <v>210</v>
      </c>
      <c r="M39" s="72">
        <v>90</v>
      </c>
      <c r="N39" s="72">
        <v>446</v>
      </c>
      <c r="O39" s="72">
        <v>1977</v>
      </c>
    </row>
    <row r="40" spans="1:15" x14ac:dyDescent="0.35">
      <c r="A40" s="72" t="s">
        <v>1476</v>
      </c>
      <c r="B40" s="72">
        <v>30001</v>
      </c>
      <c r="C40" s="72" t="s">
        <v>1515</v>
      </c>
      <c r="D40" s="72">
        <v>0</v>
      </c>
      <c r="E40" s="72">
        <v>25</v>
      </c>
      <c r="F40" s="72">
        <v>100</v>
      </c>
      <c r="G40" s="72">
        <v>125</v>
      </c>
      <c r="H40" s="72">
        <v>100</v>
      </c>
      <c r="I40" s="72">
        <v>75</v>
      </c>
      <c r="J40" s="72">
        <v>30</v>
      </c>
      <c r="K40" s="72">
        <v>20</v>
      </c>
      <c r="L40" s="72">
        <v>0</v>
      </c>
      <c r="M40" s="72">
        <v>0</v>
      </c>
      <c r="N40" s="72">
        <v>350</v>
      </c>
      <c r="O40" s="72">
        <v>475</v>
      </c>
    </row>
    <row r="42" spans="1:15" x14ac:dyDescent="0.35">
      <c r="C42" s="1380" t="s">
        <v>1519</v>
      </c>
      <c r="D42" s="1380"/>
      <c r="E42" s="1380"/>
      <c r="F42" s="1380"/>
      <c r="G42" s="1380"/>
      <c r="H42" s="1380"/>
      <c r="I42" s="1380"/>
      <c r="J42" s="1380"/>
      <c r="K42" s="1380"/>
      <c r="L42" s="1380"/>
      <c r="M42" s="1380"/>
      <c r="N42" s="1380"/>
      <c r="O42" s="1380"/>
    </row>
    <row r="43" spans="1:15" x14ac:dyDescent="0.35">
      <c r="A43" s="72" t="s">
        <v>1520</v>
      </c>
      <c r="B43" s="72">
        <v>10101</v>
      </c>
      <c r="C43" s="72" t="s">
        <v>1521</v>
      </c>
      <c r="D43" s="72">
        <v>0</v>
      </c>
      <c r="E43" s="72">
        <v>34679</v>
      </c>
      <c r="F43" s="72">
        <v>34258</v>
      </c>
      <c r="G43" s="72">
        <v>22039</v>
      </c>
      <c r="H43" s="72">
        <v>17702</v>
      </c>
      <c r="I43" s="72">
        <v>18699</v>
      </c>
      <c r="J43" s="72">
        <v>20798</v>
      </c>
      <c r="K43" s="72">
        <v>22756</v>
      </c>
      <c r="L43" s="72">
        <v>24658</v>
      </c>
      <c r="M43" s="72">
        <v>26659</v>
      </c>
      <c r="N43" s="72">
        <v>108678</v>
      </c>
      <c r="O43" s="72">
        <v>222248</v>
      </c>
    </row>
    <row r="44" spans="1:15" x14ac:dyDescent="0.35">
      <c r="A44" s="72" t="s">
        <v>1522</v>
      </c>
      <c r="B44" s="72" t="s">
        <v>1523</v>
      </c>
      <c r="C44" s="72" t="s">
        <v>1521</v>
      </c>
      <c r="D44" s="72">
        <v>0</v>
      </c>
      <c r="E44" s="72">
        <v>113</v>
      </c>
      <c r="F44" s="72">
        <v>314</v>
      </c>
      <c r="G44" s="72">
        <v>470</v>
      </c>
      <c r="H44" s="72">
        <v>642</v>
      </c>
      <c r="I44" s="72">
        <v>812</v>
      </c>
      <c r="J44" s="72">
        <v>973</v>
      </c>
      <c r="K44" s="72">
        <v>1100</v>
      </c>
      <c r="L44" s="72">
        <v>1181</v>
      </c>
      <c r="M44" s="72">
        <v>1245</v>
      </c>
      <c r="N44" s="72">
        <v>1539</v>
      </c>
      <c r="O44" s="72">
        <v>6850</v>
      </c>
    </row>
    <row r="45" spans="1:15" x14ac:dyDescent="0.35">
      <c r="A45" s="72" t="s">
        <v>1524</v>
      </c>
      <c r="B45" s="72">
        <v>13101</v>
      </c>
      <c r="C45" s="72" t="s">
        <v>1521</v>
      </c>
      <c r="D45" s="72">
        <v>0</v>
      </c>
      <c r="E45" s="72">
        <v>-1562</v>
      </c>
      <c r="F45" s="72">
        <v>-2183</v>
      </c>
      <c r="G45" s="72">
        <v>-3317</v>
      </c>
      <c r="H45" s="72">
        <v>-4822</v>
      </c>
      <c r="I45" s="72">
        <v>-6428</v>
      </c>
      <c r="J45" s="72">
        <v>-7677</v>
      </c>
      <c r="K45" s="72">
        <v>-8232</v>
      </c>
      <c r="L45" s="72">
        <v>-8329</v>
      </c>
      <c r="M45" s="72">
        <v>-8511</v>
      </c>
      <c r="N45" s="72">
        <v>-11885</v>
      </c>
      <c r="O45" s="72">
        <v>-51062</v>
      </c>
    </row>
    <row r="46" spans="1:15" x14ac:dyDescent="0.35">
      <c r="A46" s="72" t="s">
        <v>1525</v>
      </c>
      <c r="B46" s="72">
        <v>13102</v>
      </c>
      <c r="C46" s="72" t="s">
        <v>1521</v>
      </c>
      <c r="D46" s="72">
        <v>0</v>
      </c>
      <c r="E46" s="72">
        <v>-2140</v>
      </c>
      <c r="F46" s="72">
        <v>-1559</v>
      </c>
      <c r="G46" s="72">
        <v>-2458</v>
      </c>
      <c r="H46" s="72">
        <v>-5367</v>
      </c>
      <c r="I46" s="72">
        <v>-2359</v>
      </c>
      <c r="J46" s="72">
        <v>-48</v>
      </c>
      <c r="K46" s="72">
        <v>-38</v>
      </c>
      <c r="L46" s="72">
        <v>-9</v>
      </c>
      <c r="M46" s="72">
        <v>15</v>
      </c>
      <c r="N46" s="72">
        <v>-11523</v>
      </c>
      <c r="O46" s="72">
        <v>-13962</v>
      </c>
    </row>
    <row r="47" spans="1:15" x14ac:dyDescent="0.35">
      <c r="A47" s="72" t="s">
        <v>1526</v>
      </c>
      <c r="B47" s="72">
        <v>13104</v>
      </c>
      <c r="C47" s="72" t="s">
        <v>1521</v>
      </c>
      <c r="D47" s="72">
        <v>0</v>
      </c>
      <c r="E47" s="72">
        <v>-22</v>
      </c>
      <c r="F47" s="72">
        <v>-158</v>
      </c>
      <c r="G47" s="72">
        <v>-244</v>
      </c>
      <c r="H47" s="72">
        <v>-257</v>
      </c>
      <c r="I47" s="72">
        <v>-241</v>
      </c>
      <c r="J47" s="72">
        <v>-223</v>
      </c>
      <c r="K47" s="72">
        <v>-202</v>
      </c>
      <c r="L47" s="72">
        <v>-178</v>
      </c>
      <c r="M47" s="72">
        <v>-154</v>
      </c>
      <c r="N47" s="72">
        <v>-681</v>
      </c>
      <c r="O47" s="72">
        <v>-1679</v>
      </c>
    </row>
    <row r="48" spans="1:15" x14ac:dyDescent="0.35">
      <c r="A48" s="72" t="s">
        <v>1527</v>
      </c>
      <c r="B48" s="72">
        <v>13105</v>
      </c>
      <c r="C48" s="72" t="s">
        <v>1521</v>
      </c>
      <c r="D48" s="72">
        <v>0</v>
      </c>
      <c r="E48" s="72">
        <v>0</v>
      </c>
      <c r="F48" s="72">
        <v>-1138</v>
      </c>
      <c r="G48" s="72">
        <v>-1832</v>
      </c>
      <c r="H48" s="72">
        <v>-1929</v>
      </c>
      <c r="I48" s="72">
        <v>-1996</v>
      </c>
      <c r="J48" s="72">
        <v>-2059</v>
      </c>
      <c r="K48" s="72">
        <v>-2106</v>
      </c>
      <c r="L48" s="72">
        <v>-2225</v>
      </c>
      <c r="M48" s="72">
        <v>-2315</v>
      </c>
      <c r="N48" s="72">
        <v>-4899</v>
      </c>
      <c r="O48" s="72">
        <v>-15600</v>
      </c>
    </row>
    <row r="49" spans="1:15" x14ac:dyDescent="0.35">
      <c r="A49" s="72" t="s">
        <v>1528</v>
      </c>
      <c r="B49" s="72">
        <v>13303</v>
      </c>
      <c r="C49" s="72" t="s">
        <v>1521</v>
      </c>
      <c r="D49" s="72">
        <v>0</v>
      </c>
      <c r="E49" s="72">
        <v>-62</v>
      </c>
      <c r="F49" s="72">
        <v>-50</v>
      </c>
      <c r="G49" s="72">
        <v>-46</v>
      </c>
      <c r="H49" s="72">
        <v>-42</v>
      </c>
      <c r="I49" s="72">
        <v>-38</v>
      </c>
      <c r="J49" s="72">
        <v>-35</v>
      </c>
      <c r="K49" s="72">
        <v>-32</v>
      </c>
      <c r="L49" s="72">
        <v>-30</v>
      </c>
      <c r="M49" s="72">
        <v>-28</v>
      </c>
      <c r="N49" s="72">
        <v>-200</v>
      </c>
      <c r="O49" s="72">
        <v>-362</v>
      </c>
    </row>
    <row r="50" spans="1:15" x14ac:dyDescent="0.35">
      <c r="A50" s="72" t="s">
        <v>1529</v>
      </c>
      <c r="B50" s="72" t="s">
        <v>1530</v>
      </c>
      <c r="C50" s="72" t="s">
        <v>1521</v>
      </c>
      <c r="D50" s="72">
        <v>0</v>
      </c>
      <c r="E50" s="72">
        <v>-2376</v>
      </c>
      <c r="F50" s="72">
        <v>-2679</v>
      </c>
      <c r="G50" s="72">
        <v>-2315</v>
      </c>
      <c r="H50" s="72">
        <v>-2572</v>
      </c>
      <c r="I50" s="72">
        <v>-2467</v>
      </c>
      <c r="J50" s="72">
        <v>-2490</v>
      </c>
      <c r="K50" s="72">
        <v>-2638</v>
      </c>
      <c r="L50" s="72">
        <v>-2569</v>
      </c>
      <c r="M50" s="72">
        <v>-2081</v>
      </c>
      <c r="N50" s="72">
        <v>-9943</v>
      </c>
      <c r="O50" s="72">
        <v>-22188</v>
      </c>
    </row>
    <row r="51" spans="1:15" x14ac:dyDescent="0.35">
      <c r="A51" s="72" t="s">
        <v>1531</v>
      </c>
      <c r="B51" s="72">
        <v>13601</v>
      </c>
      <c r="C51" s="72" t="s">
        <v>1521</v>
      </c>
      <c r="D51" s="72">
        <v>0</v>
      </c>
      <c r="E51" s="72">
        <v>902</v>
      </c>
      <c r="F51" s="72">
        <v>1230</v>
      </c>
      <c r="G51" s="72">
        <v>1271</v>
      </c>
      <c r="H51" s="72">
        <v>1304</v>
      </c>
      <c r="I51" s="72">
        <v>1336</v>
      </c>
      <c r="J51" s="72">
        <v>1368</v>
      </c>
      <c r="K51" s="72">
        <v>1402</v>
      </c>
      <c r="L51" s="72">
        <v>1436</v>
      </c>
      <c r="M51" s="72">
        <v>1470</v>
      </c>
      <c r="N51" s="72">
        <v>4707</v>
      </c>
      <c r="O51" s="72">
        <v>11719</v>
      </c>
    </row>
    <row r="52" spans="1:15" x14ac:dyDescent="0.35">
      <c r="A52" s="72" t="s">
        <v>1532</v>
      </c>
      <c r="B52" s="72" t="s">
        <v>1533</v>
      </c>
      <c r="C52" s="72" t="s">
        <v>1521</v>
      </c>
      <c r="D52" s="72">
        <v>0</v>
      </c>
      <c r="E52" s="72">
        <v>1</v>
      </c>
      <c r="F52" s="72">
        <v>1</v>
      </c>
      <c r="G52" s="72">
        <v>-678</v>
      </c>
      <c r="H52" s="72">
        <v>-858</v>
      </c>
      <c r="I52" s="72">
        <v>-7820</v>
      </c>
      <c r="J52" s="72">
        <v>-11303</v>
      </c>
      <c r="K52" s="72">
        <v>-12736</v>
      </c>
      <c r="L52" s="72">
        <v>-14927</v>
      </c>
      <c r="M52" s="72">
        <v>-17285</v>
      </c>
      <c r="N52" s="72">
        <v>-1535</v>
      </c>
      <c r="O52" s="72">
        <v>-65606</v>
      </c>
    </row>
    <row r="53" spans="1:15" x14ac:dyDescent="0.35">
      <c r="A53" s="72" t="s">
        <v>1534</v>
      </c>
      <c r="B53" s="72">
        <v>13901</v>
      </c>
      <c r="C53" s="72" t="s">
        <v>1521</v>
      </c>
      <c r="D53" s="72">
        <v>0</v>
      </c>
      <c r="E53" s="72">
        <v>103</v>
      </c>
      <c r="F53" s="72">
        <v>135</v>
      </c>
      <c r="G53" s="72">
        <v>131</v>
      </c>
      <c r="H53" s="72">
        <v>130</v>
      </c>
      <c r="I53" s="72">
        <v>130</v>
      </c>
      <c r="J53" s="72">
        <v>131</v>
      </c>
      <c r="K53" s="72">
        <v>132</v>
      </c>
      <c r="L53" s="72">
        <v>133</v>
      </c>
      <c r="M53" s="72">
        <v>134</v>
      </c>
      <c r="N53" s="72">
        <v>498</v>
      </c>
      <c r="O53" s="72">
        <v>1159</v>
      </c>
    </row>
    <row r="54" spans="1:15" x14ac:dyDescent="0.35">
      <c r="A54" s="72" t="s">
        <v>1535</v>
      </c>
      <c r="B54" s="72">
        <v>13902</v>
      </c>
      <c r="C54" s="72" t="s">
        <v>1521</v>
      </c>
      <c r="D54" s="72">
        <v>0</v>
      </c>
      <c r="E54" s="72">
        <v>-16</v>
      </c>
      <c r="F54" s="72">
        <v>-13</v>
      </c>
      <c r="G54" s="72">
        <v>-15</v>
      </c>
      <c r="H54" s="72">
        <v>-16</v>
      </c>
      <c r="I54" s="72">
        <v>-18</v>
      </c>
      <c r="J54" s="72">
        <v>-21</v>
      </c>
      <c r="K54" s="72">
        <v>-22</v>
      </c>
      <c r="L54" s="72">
        <v>-23</v>
      </c>
      <c r="M54" s="72">
        <v>-24</v>
      </c>
      <c r="N54" s="72">
        <v>-60</v>
      </c>
      <c r="O54" s="72">
        <v>-168</v>
      </c>
    </row>
    <row r="55" spans="1:15" x14ac:dyDescent="0.35">
      <c r="A55" s="72" t="s">
        <v>1536</v>
      </c>
      <c r="B55" s="72" t="s">
        <v>1537</v>
      </c>
      <c r="C55" s="72" t="s">
        <v>1521</v>
      </c>
      <c r="D55" s="72">
        <v>0</v>
      </c>
      <c r="E55" s="72">
        <v>0</v>
      </c>
      <c r="F55" s="72">
        <v>0</v>
      </c>
      <c r="G55" s="72">
        <v>0</v>
      </c>
      <c r="H55" s="72">
        <v>0</v>
      </c>
      <c r="I55" s="72">
        <v>17666</v>
      </c>
      <c r="J55" s="72">
        <v>26198</v>
      </c>
      <c r="K55" s="72">
        <v>9453</v>
      </c>
      <c r="L55" s="72">
        <v>-274</v>
      </c>
      <c r="M55" s="72">
        <v>-284</v>
      </c>
      <c r="N55" s="72">
        <v>0</v>
      </c>
      <c r="O55" s="72">
        <v>52759</v>
      </c>
    </row>
    <row r="56" spans="1:15" x14ac:dyDescent="0.35">
      <c r="A56" s="72" t="s">
        <v>1538</v>
      </c>
      <c r="B56" s="72">
        <v>60113</v>
      </c>
      <c r="C56" s="72" t="s">
        <v>1521</v>
      </c>
      <c r="D56" s="72">
        <v>0</v>
      </c>
      <c r="E56" s="72">
        <v>0</v>
      </c>
      <c r="F56" s="72">
        <v>0</v>
      </c>
      <c r="G56" s="72">
        <v>0</v>
      </c>
      <c r="H56" s="72">
        <v>850</v>
      </c>
      <c r="I56" s="532">
        <v>1350</v>
      </c>
      <c r="J56" s="532">
        <v>1400</v>
      </c>
      <c r="K56" s="532">
        <v>1200</v>
      </c>
      <c r="L56" s="532">
        <v>1050</v>
      </c>
      <c r="M56" s="72">
        <v>500</v>
      </c>
      <c r="N56" s="72">
        <v>850</v>
      </c>
      <c r="O56" s="532">
        <v>6350</v>
      </c>
    </row>
    <row r="57" spans="1:15" x14ac:dyDescent="0.35">
      <c r="A57" s="72" t="s">
        <v>1539</v>
      </c>
      <c r="B57" s="72">
        <v>10201</v>
      </c>
      <c r="C57" s="72" t="s">
        <v>1521</v>
      </c>
      <c r="D57" s="72">
        <v>0</v>
      </c>
      <c r="E57" s="72">
        <v>5697</v>
      </c>
      <c r="F57" s="72">
        <v>7875</v>
      </c>
      <c r="G57" s="72">
        <v>8070</v>
      </c>
      <c r="H57" s="72">
        <v>8581</v>
      </c>
      <c r="I57" s="72">
        <v>8882</v>
      </c>
      <c r="J57" s="72">
        <v>8838</v>
      </c>
      <c r="K57" s="72">
        <v>8603</v>
      </c>
      <c r="L57" s="72">
        <v>8500</v>
      </c>
      <c r="M57" s="72">
        <v>8641</v>
      </c>
      <c r="N57" s="72">
        <v>30223</v>
      </c>
      <c r="O57" s="72">
        <v>73686</v>
      </c>
    </row>
    <row r="58" spans="1:15" x14ac:dyDescent="0.35">
      <c r="A58" s="72" t="s">
        <v>1546</v>
      </c>
      <c r="B58" s="72">
        <v>13304</v>
      </c>
      <c r="C58" s="72" t="s">
        <v>1551</v>
      </c>
      <c r="D58" s="72">
        <v>0</v>
      </c>
      <c r="E58" s="72">
        <v>-273</v>
      </c>
      <c r="F58" s="72">
        <v>-193</v>
      </c>
      <c r="G58" s="72">
        <v>-203</v>
      </c>
      <c r="H58" s="72">
        <v>-216</v>
      </c>
      <c r="I58" s="72">
        <v>-230</v>
      </c>
      <c r="J58" s="72">
        <v>-241</v>
      </c>
      <c r="K58" s="72">
        <v>-240</v>
      </c>
      <c r="L58" s="72">
        <v>-229</v>
      </c>
      <c r="M58" s="72">
        <v>-217</v>
      </c>
      <c r="N58" s="72">
        <v>-887</v>
      </c>
      <c r="O58" s="72">
        <v>-2043</v>
      </c>
    </row>
    <row r="59" spans="1:15" x14ac:dyDescent="0.35">
      <c r="A59" s="72" t="s">
        <v>1542</v>
      </c>
      <c r="B59" s="72" t="s">
        <v>1543</v>
      </c>
      <c r="C59" s="72" t="s">
        <v>1551</v>
      </c>
      <c r="D59" s="72">
        <v>0</v>
      </c>
      <c r="E59" s="72">
        <v>-2882</v>
      </c>
      <c r="F59" s="72">
        <v>-2038</v>
      </c>
      <c r="G59" s="72">
        <v>-1405</v>
      </c>
      <c r="H59" s="72">
        <v>-554</v>
      </c>
      <c r="I59" s="72">
        <v>-753</v>
      </c>
      <c r="J59" s="72">
        <v>-970</v>
      </c>
      <c r="K59" s="72">
        <v>-1231</v>
      </c>
      <c r="L59" s="72">
        <v>-1581</v>
      </c>
      <c r="M59" s="72">
        <v>-2108</v>
      </c>
      <c r="N59" s="72">
        <v>-6880</v>
      </c>
      <c r="O59" s="72">
        <v>-13523</v>
      </c>
    </row>
    <row r="60" spans="1:15" x14ac:dyDescent="0.35">
      <c r="A60" s="988" t="s">
        <v>1540</v>
      </c>
      <c r="B60" s="989">
        <v>10301</v>
      </c>
      <c r="C60" s="989" t="s">
        <v>239</v>
      </c>
      <c r="D60" s="989">
        <v>0</v>
      </c>
      <c r="E60" s="990">
        <v>2012</v>
      </c>
      <c r="F60" s="990">
        <v>5106</v>
      </c>
      <c r="G60" s="990">
        <v>11125</v>
      </c>
      <c r="H60" s="990">
        <v>16116</v>
      </c>
      <c r="I60" s="990">
        <v>21716</v>
      </c>
      <c r="J60" s="990">
        <v>26314</v>
      </c>
      <c r="K60" s="990">
        <v>31218</v>
      </c>
      <c r="L60" s="990">
        <v>34877</v>
      </c>
      <c r="M60" s="990">
        <v>31904</v>
      </c>
      <c r="N60" s="990">
        <v>34359</v>
      </c>
      <c r="O60" s="991">
        <v>180388</v>
      </c>
    </row>
    <row r="61" spans="1:15" x14ac:dyDescent="0.35">
      <c r="A61" s="72" t="s">
        <v>1541</v>
      </c>
      <c r="B61" s="72">
        <v>12001</v>
      </c>
      <c r="C61" s="72" t="s">
        <v>239</v>
      </c>
      <c r="D61" s="72">
        <v>0</v>
      </c>
      <c r="E61" s="72">
        <v>1297</v>
      </c>
      <c r="F61" s="72">
        <v>-10555</v>
      </c>
      <c r="G61" s="72">
        <v>-10586</v>
      </c>
      <c r="H61" s="72">
        <v>-11431</v>
      </c>
      <c r="I61" s="72">
        <v>-154</v>
      </c>
      <c r="J61" s="72">
        <v>132</v>
      </c>
      <c r="K61" s="72">
        <v>53</v>
      </c>
      <c r="L61" s="72">
        <v>6</v>
      </c>
      <c r="M61" s="72">
        <v>0</v>
      </c>
      <c r="N61" s="72">
        <v>-31275</v>
      </c>
      <c r="O61" s="72">
        <v>-31238</v>
      </c>
    </row>
    <row r="62" spans="1:15" x14ac:dyDescent="0.35">
      <c r="A62" s="72" t="s">
        <v>1544</v>
      </c>
      <c r="B62" s="72">
        <v>13301</v>
      </c>
      <c r="C62" s="72" t="s">
        <v>239</v>
      </c>
      <c r="D62" s="72">
        <v>0</v>
      </c>
      <c r="E62" s="72">
        <v>-1887</v>
      </c>
      <c r="F62" s="72">
        <v>-1348</v>
      </c>
      <c r="G62" s="72">
        <v>-1324</v>
      </c>
      <c r="H62" s="72">
        <v>-1345</v>
      </c>
      <c r="I62" s="72">
        <v>-1327</v>
      </c>
      <c r="J62" s="72">
        <v>-1277</v>
      </c>
      <c r="K62" s="72">
        <v>-1301</v>
      </c>
      <c r="L62" s="72">
        <v>-1314</v>
      </c>
      <c r="M62" s="72">
        <v>-1327</v>
      </c>
      <c r="N62" s="72">
        <v>-5904</v>
      </c>
      <c r="O62" s="72">
        <v>-12451</v>
      </c>
    </row>
    <row r="63" spans="1:15" x14ac:dyDescent="0.35">
      <c r="A63" s="72" t="s">
        <v>1545</v>
      </c>
      <c r="B63" s="72">
        <v>13302</v>
      </c>
      <c r="C63" s="72" t="s">
        <v>239</v>
      </c>
      <c r="D63" s="72">
        <v>0</v>
      </c>
      <c r="E63" s="72">
        <v>-459</v>
      </c>
      <c r="F63" s="72">
        <v>-1021</v>
      </c>
      <c r="G63" s="72">
        <v>-2692</v>
      </c>
      <c r="H63" s="72">
        <v>-2770</v>
      </c>
      <c r="I63" s="72">
        <v>-2850</v>
      </c>
      <c r="J63" s="72">
        <v>-2935</v>
      </c>
      <c r="K63" s="72">
        <v>-3019</v>
      </c>
      <c r="L63" s="72">
        <v>-3092</v>
      </c>
      <c r="M63" s="72">
        <v>-3185</v>
      </c>
      <c r="N63" s="72">
        <v>-6942</v>
      </c>
      <c r="O63" s="72">
        <v>-22022</v>
      </c>
    </row>
    <row r="64" spans="1:15" x14ac:dyDescent="0.35">
      <c r="A64" s="72" t="s">
        <v>1547</v>
      </c>
      <c r="B64" s="72" t="s">
        <v>1548</v>
      </c>
      <c r="C64" s="72" t="s">
        <v>239</v>
      </c>
      <c r="D64" s="72">
        <v>0</v>
      </c>
      <c r="E64" s="72">
        <v>-511</v>
      </c>
      <c r="F64" s="72">
        <v>-852</v>
      </c>
      <c r="G64" s="72">
        <v>-1050</v>
      </c>
      <c r="H64" s="72">
        <v>-1275</v>
      </c>
      <c r="I64" s="72">
        <v>-1572</v>
      </c>
      <c r="J64" s="72">
        <v>-1862</v>
      </c>
      <c r="K64" s="72">
        <v>-2104</v>
      </c>
      <c r="L64" s="72">
        <v>-2364</v>
      </c>
      <c r="M64" s="72">
        <v>-2615</v>
      </c>
      <c r="N64" s="72">
        <v>-3689</v>
      </c>
      <c r="O64" s="72">
        <v>-14209</v>
      </c>
    </row>
    <row r="67" spans="3:15" x14ac:dyDescent="0.35">
      <c r="D67" s="992">
        <v>2022</v>
      </c>
      <c r="E67" s="992">
        <v>2023</v>
      </c>
      <c r="F67" s="992">
        <v>2024</v>
      </c>
      <c r="G67" s="992">
        <v>2025</v>
      </c>
      <c r="H67" s="992">
        <v>2026</v>
      </c>
      <c r="I67" s="992">
        <v>2027</v>
      </c>
      <c r="J67" s="992">
        <v>2028</v>
      </c>
      <c r="K67" s="992">
        <v>2029</v>
      </c>
      <c r="L67" s="992">
        <v>2030</v>
      </c>
      <c r="M67" s="993">
        <v>2031</v>
      </c>
      <c r="N67" s="994" t="s">
        <v>1478</v>
      </c>
      <c r="O67" s="995" t="s">
        <v>1479</v>
      </c>
    </row>
    <row r="68" spans="3:15" x14ac:dyDescent="0.35">
      <c r="C68" s="1381" t="s">
        <v>1549</v>
      </c>
      <c r="D68" s="1382"/>
      <c r="E68" s="1382"/>
      <c r="F68" s="1382"/>
      <c r="G68" s="1382"/>
      <c r="H68" s="1382"/>
      <c r="I68" s="1382"/>
      <c r="J68" s="1382"/>
      <c r="K68" s="1382"/>
      <c r="L68" s="1382"/>
      <c r="M68" s="1382"/>
      <c r="N68" s="1382"/>
      <c r="O68" s="1383"/>
    </row>
    <row r="69" spans="3:15" x14ac:dyDescent="0.35">
      <c r="C69" s="996" t="s">
        <v>1510</v>
      </c>
      <c r="D69" s="72">
        <f t="shared" ref="D69:O69" si="0">SUM(D3:D8)</f>
        <v>0</v>
      </c>
      <c r="E69" s="72">
        <f t="shared" si="0"/>
        <v>3947</v>
      </c>
      <c r="F69" s="72">
        <f t="shared" si="0"/>
        <v>4202</v>
      </c>
      <c r="G69" s="72">
        <f t="shared" si="0"/>
        <v>6275</v>
      </c>
      <c r="H69" s="72">
        <f t="shared" si="0"/>
        <v>7956</v>
      </c>
      <c r="I69" s="72">
        <f t="shared" si="0"/>
        <v>9969</v>
      </c>
      <c r="J69" s="72">
        <f t="shared" si="0"/>
        <v>12081</v>
      </c>
      <c r="K69" s="72">
        <f t="shared" si="0"/>
        <v>14493</v>
      </c>
      <c r="L69" s="72">
        <f t="shared" si="0"/>
        <v>16921</v>
      </c>
      <c r="M69" s="72">
        <f t="shared" si="0"/>
        <v>17112</v>
      </c>
      <c r="N69" s="72">
        <f t="shared" si="0"/>
        <v>22380</v>
      </c>
      <c r="O69" s="72">
        <f t="shared" si="0"/>
        <v>92956</v>
      </c>
    </row>
    <row r="70" spans="3:15" x14ac:dyDescent="0.35">
      <c r="C70" s="996" t="s">
        <v>1366</v>
      </c>
      <c r="D70" s="72">
        <f t="shared" ref="D70:O70" si="1">SUM(D9)</f>
        <v>0</v>
      </c>
      <c r="E70" s="72">
        <f t="shared" si="1"/>
        <v>65</v>
      </c>
      <c r="F70" s="72">
        <f t="shared" si="1"/>
        <v>150</v>
      </c>
      <c r="G70" s="72">
        <f t="shared" si="1"/>
        <v>290</v>
      </c>
      <c r="H70" s="72">
        <f t="shared" si="1"/>
        <v>290</v>
      </c>
      <c r="I70" s="72">
        <f t="shared" si="1"/>
        <v>290</v>
      </c>
      <c r="J70" s="72">
        <f t="shared" si="1"/>
        <v>285</v>
      </c>
      <c r="K70" s="72">
        <f t="shared" si="1"/>
        <v>250</v>
      </c>
      <c r="L70" s="72">
        <f t="shared" si="1"/>
        <v>220</v>
      </c>
      <c r="M70" s="72">
        <f t="shared" si="1"/>
        <v>160</v>
      </c>
      <c r="N70" s="996">
        <f t="shared" si="1"/>
        <v>795</v>
      </c>
      <c r="O70" s="997">
        <f t="shared" si="1"/>
        <v>2000</v>
      </c>
    </row>
    <row r="71" spans="3:15" x14ac:dyDescent="0.35">
      <c r="C71" s="996" t="s">
        <v>210</v>
      </c>
      <c r="D71" s="72">
        <f t="shared" ref="D71:O71" si="2">SUM(D10:D11)</f>
        <v>0</v>
      </c>
      <c r="E71" s="72">
        <f t="shared" si="2"/>
        <v>110</v>
      </c>
      <c r="F71" s="72">
        <f t="shared" si="2"/>
        <v>739</v>
      </c>
      <c r="G71" s="72">
        <f t="shared" si="2"/>
        <v>1195</v>
      </c>
      <c r="H71" s="72">
        <f t="shared" si="2"/>
        <v>1497</v>
      </c>
      <c r="I71" s="72">
        <f t="shared" si="2"/>
        <v>1910</v>
      </c>
      <c r="J71" s="72">
        <f t="shared" si="2"/>
        <v>2405</v>
      </c>
      <c r="K71" s="72">
        <f t="shared" si="2"/>
        <v>2922</v>
      </c>
      <c r="L71" s="72">
        <f t="shared" si="2"/>
        <v>3463</v>
      </c>
      <c r="M71" s="72">
        <f t="shared" si="2"/>
        <v>4007</v>
      </c>
      <c r="N71" s="996">
        <f t="shared" si="2"/>
        <v>3541</v>
      </c>
      <c r="O71" s="997">
        <f t="shared" si="2"/>
        <v>18248</v>
      </c>
    </row>
    <row r="72" spans="3:15" x14ac:dyDescent="0.35">
      <c r="C72" s="996" t="s">
        <v>211</v>
      </c>
      <c r="D72" s="72">
        <f t="shared" ref="D72:O72" si="3">SUM(D12:D25)</f>
        <v>0</v>
      </c>
      <c r="E72" s="72">
        <f t="shared" si="3"/>
        <v>-415</v>
      </c>
      <c r="F72" s="72">
        <f t="shared" si="3"/>
        <v>2768</v>
      </c>
      <c r="G72" s="72">
        <f t="shared" si="3"/>
        <v>-12473</v>
      </c>
      <c r="H72" s="72">
        <f t="shared" si="3"/>
        <v>-5374</v>
      </c>
      <c r="I72" s="72">
        <f t="shared" si="3"/>
        <v>-25515</v>
      </c>
      <c r="J72" s="72">
        <f t="shared" si="3"/>
        <v>-43975</v>
      </c>
      <c r="K72" s="72">
        <f t="shared" si="3"/>
        <v>-46426</v>
      </c>
      <c r="L72" s="72">
        <f t="shared" si="3"/>
        <v>-56228</v>
      </c>
      <c r="M72" s="72">
        <f t="shared" si="3"/>
        <v>-60581</v>
      </c>
      <c r="N72" s="996">
        <f t="shared" si="3"/>
        <v>-15494</v>
      </c>
      <c r="O72" s="997">
        <f t="shared" si="3"/>
        <v>-248219</v>
      </c>
    </row>
    <row r="73" spans="3:15" x14ac:dyDescent="0.35">
      <c r="C73" s="996" t="s">
        <v>1512</v>
      </c>
      <c r="D73" s="72">
        <f t="shared" ref="D73:O73" si="4">SUM(D26:D31)</f>
        <v>-622</v>
      </c>
      <c r="E73" s="72">
        <f t="shared" si="4"/>
        <v>21096</v>
      </c>
      <c r="F73" s="72">
        <f t="shared" si="4"/>
        <v>12256</v>
      </c>
      <c r="G73" s="72">
        <f t="shared" si="4"/>
        <v>11149</v>
      </c>
      <c r="H73" s="72">
        <f t="shared" si="4"/>
        <v>-6525</v>
      </c>
      <c r="I73" s="72">
        <f t="shared" si="4"/>
        <v>2029</v>
      </c>
      <c r="J73" s="72">
        <f t="shared" si="4"/>
        <v>2582</v>
      </c>
      <c r="K73" s="72">
        <f t="shared" si="4"/>
        <v>2236</v>
      </c>
      <c r="L73" s="72">
        <f t="shared" si="4"/>
        <v>1411</v>
      </c>
      <c r="M73" s="72">
        <f t="shared" si="4"/>
        <v>772</v>
      </c>
      <c r="N73" s="996">
        <f t="shared" si="4"/>
        <v>37354</v>
      </c>
      <c r="O73" s="997">
        <f t="shared" si="4"/>
        <v>46384</v>
      </c>
    </row>
    <row r="74" spans="3:15" x14ac:dyDescent="0.35">
      <c r="C74" s="996" t="s">
        <v>1515</v>
      </c>
      <c r="D74" s="72">
        <f t="shared" ref="D74:O74" si="5">SUM(D32:D40)</f>
        <v>0</v>
      </c>
      <c r="E74" s="72">
        <f t="shared" si="5"/>
        <v>1216</v>
      </c>
      <c r="F74" s="72">
        <f t="shared" si="5"/>
        <v>3498</v>
      </c>
      <c r="G74" s="72">
        <f t="shared" si="5"/>
        <v>5088</v>
      </c>
      <c r="H74" s="72">
        <f t="shared" si="5"/>
        <v>6663</v>
      </c>
      <c r="I74" s="72">
        <f t="shared" si="5"/>
        <v>7992</v>
      </c>
      <c r="J74" s="72">
        <f t="shared" si="5"/>
        <v>8297</v>
      </c>
      <c r="K74" s="72">
        <f t="shared" si="5"/>
        <v>8309</v>
      </c>
      <c r="L74" s="72">
        <f t="shared" si="5"/>
        <v>7568</v>
      </c>
      <c r="M74" s="72">
        <f t="shared" si="5"/>
        <v>6524</v>
      </c>
      <c r="N74" s="998">
        <f t="shared" si="5"/>
        <v>16463</v>
      </c>
      <c r="O74" s="999">
        <f t="shared" si="5"/>
        <v>55153</v>
      </c>
    </row>
    <row r="75" spans="3:15" x14ac:dyDescent="0.35">
      <c r="C75" s="1381" t="s">
        <v>1550</v>
      </c>
      <c r="D75" s="1382"/>
      <c r="E75" s="1382"/>
      <c r="F75" s="1382"/>
      <c r="G75" s="1382"/>
      <c r="H75" s="1382"/>
      <c r="I75" s="1382"/>
      <c r="J75" s="1382"/>
      <c r="K75" s="1382"/>
      <c r="L75" s="1382"/>
      <c r="M75" s="1382"/>
      <c r="N75" s="1382"/>
      <c r="O75" s="1383"/>
    </row>
    <row r="76" spans="3:15" x14ac:dyDescent="0.35">
      <c r="C76" s="996" t="s">
        <v>434</v>
      </c>
      <c r="D76" s="72">
        <v>0</v>
      </c>
      <c r="E76" s="72">
        <v>596</v>
      </c>
      <c r="F76" s="72">
        <v>1406</v>
      </c>
      <c r="G76" s="72">
        <v>1885</v>
      </c>
      <c r="H76" s="72">
        <v>2113</v>
      </c>
      <c r="I76" s="72">
        <v>2058</v>
      </c>
      <c r="J76" s="72">
        <v>1745</v>
      </c>
      <c r="K76" s="72">
        <v>1369</v>
      </c>
      <c r="L76" s="72">
        <v>970</v>
      </c>
      <c r="M76" s="72">
        <v>369</v>
      </c>
      <c r="N76" s="1000">
        <v>6000</v>
      </c>
      <c r="O76" s="1001">
        <v>12511</v>
      </c>
    </row>
    <row r="77" spans="3:15" x14ac:dyDescent="0.35">
      <c r="C77" s="996" t="s">
        <v>134</v>
      </c>
      <c r="D77" s="72">
        <v>0</v>
      </c>
      <c r="E77" s="72">
        <v>754</v>
      </c>
      <c r="F77" s="72">
        <v>2328</v>
      </c>
      <c r="G77" s="72">
        <v>3782</v>
      </c>
      <c r="H77" s="72">
        <v>5158</v>
      </c>
      <c r="I77" s="72">
        <v>4539</v>
      </c>
      <c r="J77" s="72">
        <v>3010</v>
      </c>
      <c r="K77" s="72">
        <v>1730</v>
      </c>
      <c r="L77" s="72">
        <v>790</v>
      </c>
      <c r="M77" s="72">
        <v>244</v>
      </c>
      <c r="N77" s="996">
        <v>12022</v>
      </c>
      <c r="O77" s="997">
        <v>22335</v>
      </c>
    </row>
    <row r="78" spans="3:15" x14ac:dyDescent="0.35">
      <c r="C78" s="996" t="s">
        <v>192</v>
      </c>
      <c r="D78" s="72">
        <v>0</v>
      </c>
      <c r="E78" s="72">
        <v>68</v>
      </c>
      <c r="F78" s="72">
        <v>1363</v>
      </c>
      <c r="G78" s="72">
        <v>2433</v>
      </c>
      <c r="H78" s="72">
        <v>2803</v>
      </c>
      <c r="I78" s="72">
        <v>1741</v>
      </c>
      <c r="J78" s="72">
        <v>570</v>
      </c>
      <c r="K78" s="72">
        <v>35</v>
      </c>
      <c r="L78" s="72">
        <v>0</v>
      </c>
      <c r="M78" s="72">
        <v>0</v>
      </c>
      <c r="N78" s="996">
        <v>6667</v>
      </c>
      <c r="O78" s="997">
        <v>9013</v>
      </c>
    </row>
    <row r="79" spans="3:15" x14ac:dyDescent="0.35">
      <c r="C79" s="996" t="s">
        <v>52</v>
      </c>
      <c r="D79" s="72">
        <v>0</v>
      </c>
      <c r="E79" s="72">
        <v>81</v>
      </c>
      <c r="F79" s="72">
        <v>350</v>
      </c>
      <c r="G79" s="72">
        <v>1354</v>
      </c>
      <c r="H79" s="72">
        <v>2869</v>
      </c>
      <c r="I79" s="72">
        <v>3890</v>
      </c>
      <c r="J79" s="72">
        <v>3430</v>
      </c>
      <c r="K79" s="72">
        <v>2260</v>
      </c>
      <c r="L79" s="72">
        <v>1320</v>
      </c>
      <c r="M79" s="72">
        <v>665</v>
      </c>
      <c r="N79" s="996">
        <v>4654</v>
      </c>
      <c r="O79" s="997">
        <v>16219</v>
      </c>
    </row>
    <row r="80" spans="3:15" x14ac:dyDescent="0.35">
      <c r="C80" s="996" t="s">
        <v>57</v>
      </c>
      <c r="D80" s="72">
        <v>0</v>
      </c>
      <c r="E80" s="72">
        <v>794</v>
      </c>
      <c r="F80" s="72">
        <v>3183</v>
      </c>
      <c r="G80" s="72">
        <v>5818</v>
      </c>
      <c r="H80" s="72">
        <v>7253</v>
      </c>
      <c r="I80" s="72">
        <v>5628</v>
      </c>
      <c r="J80" s="72">
        <v>1977</v>
      </c>
      <c r="K80" s="72">
        <v>229</v>
      </c>
      <c r="L80" s="72">
        <v>33</v>
      </c>
      <c r="M80" s="72">
        <v>1</v>
      </c>
      <c r="N80" s="996">
        <v>17048</v>
      </c>
      <c r="O80" s="997">
        <v>24916</v>
      </c>
    </row>
    <row r="81" spans="1:16" x14ac:dyDescent="0.35">
      <c r="C81" s="996"/>
      <c r="N81" s="998"/>
      <c r="O81" s="999"/>
    </row>
    <row r="82" spans="1:16" x14ac:dyDescent="0.35">
      <c r="C82" s="1381" t="s">
        <v>1519</v>
      </c>
      <c r="D82" s="1382"/>
      <c r="E82" s="1382"/>
      <c r="F82" s="1382"/>
      <c r="G82" s="1382"/>
      <c r="H82" s="1382"/>
      <c r="I82" s="1382"/>
      <c r="J82" s="1382"/>
      <c r="K82" s="1382"/>
      <c r="L82" s="1382"/>
      <c r="M82" s="1382"/>
      <c r="N82" s="1382"/>
      <c r="O82" s="1383"/>
    </row>
    <row r="83" spans="1:16" x14ac:dyDescent="0.35">
      <c r="C83" s="996" t="s">
        <v>1521</v>
      </c>
      <c r="D83" s="72">
        <f t="shared" ref="D83:O83" si="6">SUM(D43:D57)</f>
        <v>0</v>
      </c>
      <c r="E83" s="72">
        <f t="shared" si="6"/>
        <v>35317</v>
      </c>
      <c r="F83" s="72">
        <f t="shared" si="6"/>
        <v>36033</v>
      </c>
      <c r="G83" s="72">
        <f t="shared" si="6"/>
        <v>21076</v>
      </c>
      <c r="H83" s="72">
        <f t="shared" si="6"/>
        <v>13346</v>
      </c>
      <c r="I83" s="72">
        <f t="shared" si="6"/>
        <v>27508</v>
      </c>
      <c r="J83" s="72">
        <f t="shared" si="6"/>
        <v>35850</v>
      </c>
      <c r="K83" s="72">
        <f t="shared" si="6"/>
        <v>18640</v>
      </c>
      <c r="L83" s="72">
        <f t="shared" si="6"/>
        <v>8394</v>
      </c>
      <c r="M83" s="72">
        <f t="shared" si="6"/>
        <v>7982</v>
      </c>
      <c r="N83" s="72">
        <f t="shared" si="6"/>
        <v>105769</v>
      </c>
      <c r="O83" s="72">
        <f t="shared" si="6"/>
        <v>204144</v>
      </c>
    </row>
    <row r="84" spans="1:16" x14ac:dyDescent="0.35">
      <c r="C84" s="996" t="s">
        <v>547</v>
      </c>
      <c r="D84" s="72">
        <f>SUM(D58:D59)</f>
        <v>0</v>
      </c>
      <c r="E84" s="72">
        <f t="shared" ref="E84:O84" si="7">SUM(E58:E59)</f>
        <v>-3155</v>
      </c>
      <c r="F84" s="72">
        <f t="shared" si="7"/>
        <v>-2231</v>
      </c>
      <c r="G84" s="72">
        <f t="shared" si="7"/>
        <v>-1608</v>
      </c>
      <c r="H84" s="72">
        <f t="shared" si="7"/>
        <v>-770</v>
      </c>
      <c r="I84" s="72">
        <f t="shared" si="7"/>
        <v>-983</v>
      </c>
      <c r="J84" s="72">
        <f t="shared" si="7"/>
        <v>-1211</v>
      </c>
      <c r="K84" s="72">
        <f t="shared" si="7"/>
        <v>-1471</v>
      </c>
      <c r="L84" s="72">
        <f t="shared" si="7"/>
        <v>-1810</v>
      </c>
      <c r="M84" s="72">
        <f t="shared" si="7"/>
        <v>-2325</v>
      </c>
      <c r="N84" s="72">
        <f t="shared" si="7"/>
        <v>-7767</v>
      </c>
      <c r="O84" s="72">
        <f t="shared" si="7"/>
        <v>-15566</v>
      </c>
    </row>
    <row r="85" spans="1:16" x14ac:dyDescent="0.35">
      <c r="C85" s="996" t="s">
        <v>239</v>
      </c>
      <c r="D85" s="72">
        <f>SUM(D60:D64)</f>
        <v>0</v>
      </c>
      <c r="E85" s="72">
        <f t="shared" ref="E85:O85" si="8">SUM(E60:E64)</f>
        <v>452</v>
      </c>
      <c r="F85" s="72">
        <f t="shared" si="8"/>
        <v>-8670</v>
      </c>
      <c r="G85" s="72">
        <f t="shared" si="8"/>
        <v>-4527</v>
      </c>
      <c r="H85" s="72">
        <f t="shared" si="8"/>
        <v>-705</v>
      </c>
      <c r="I85" s="72">
        <f t="shared" si="8"/>
        <v>15813</v>
      </c>
      <c r="J85" s="72">
        <f t="shared" si="8"/>
        <v>20372</v>
      </c>
      <c r="K85" s="72">
        <f t="shared" si="8"/>
        <v>24847</v>
      </c>
      <c r="L85" s="72">
        <f t="shared" si="8"/>
        <v>28113</v>
      </c>
      <c r="M85" s="72">
        <f t="shared" si="8"/>
        <v>24777</v>
      </c>
      <c r="N85" s="72">
        <f t="shared" si="8"/>
        <v>-13451</v>
      </c>
      <c r="O85" s="72">
        <f t="shared" si="8"/>
        <v>100468</v>
      </c>
    </row>
    <row r="87" spans="1:16" hidden="1" x14ac:dyDescent="0.35">
      <c r="A87" s="60" t="s">
        <v>1489</v>
      </c>
    </row>
    <row r="88" spans="1:16" hidden="1" x14ac:dyDescent="0.35">
      <c r="A88" s="1018" t="s">
        <v>1296</v>
      </c>
      <c r="B88" s="1019" t="s">
        <v>1297</v>
      </c>
      <c r="C88" s="1020">
        <v>2022</v>
      </c>
      <c r="D88" s="1020">
        <v>2023</v>
      </c>
      <c r="E88" s="1020">
        <v>2024</v>
      </c>
      <c r="F88" s="1020">
        <v>2025</v>
      </c>
      <c r="G88" s="1020">
        <v>2026</v>
      </c>
      <c r="H88" s="1020">
        <v>2027</v>
      </c>
      <c r="I88" s="1020">
        <v>2028</v>
      </c>
      <c r="J88" s="1020">
        <v>2029</v>
      </c>
      <c r="K88" s="1020">
        <v>2030</v>
      </c>
      <c r="L88" s="1020">
        <v>2031</v>
      </c>
      <c r="M88" s="1021" t="s">
        <v>1298</v>
      </c>
      <c r="N88" s="1021" t="s">
        <v>1299</v>
      </c>
      <c r="O88" s="1022" t="s">
        <v>1300</v>
      </c>
      <c r="P88" s="1023" t="s">
        <v>1301</v>
      </c>
    </row>
    <row r="89" spans="1:16" hidden="1" x14ac:dyDescent="0.35">
      <c r="A89" s="1024" t="s">
        <v>1302</v>
      </c>
      <c r="B89" s="1025" t="s">
        <v>1303</v>
      </c>
      <c r="C89" s="1026">
        <v>0</v>
      </c>
      <c r="D89" s="1026">
        <v>3</v>
      </c>
      <c r="E89" s="1026">
        <v>3</v>
      </c>
      <c r="F89" s="1026">
        <v>3</v>
      </c>
      <c r="G89" s="1026">
        <v>3</v>
      </c>
      <c r="H89" s="1026">
        <v>1</v>
      </c>
      <c r="I89" s="1026">
        <v>0</v>
      </c>
      <c r="J89" s="1026">
        <v>0</v>
      </c>
      <c r="K89" s="1026">
        <v>0</v>
      </c>
      <c r="L89" s="1026">
        <v>0</v>
      </c>
      <c r="M89" s="1026">
        <v>12</v>
      </c>
      <c r="N89" s="1026">
        <v>13</v>
      </c>
      <c r="O89" s="1027" t="s">
        <v>1304</v>
      </c>
      <c r="P89" s="1028"/>
    </row>
    <row r="90" spans="1:16" ht="24" hidden="1" customHeight="1" x14ac:dyDescent="0.35">
      <c r="A90" s="1024" t="s">
        <v>1305</v>
      </c>
      <c r="B90" s="1025" t="s">
        <v>1306</v>
      </c>
      <c r="C90" s="1026">
        <v>0</v>
      </c>
      <c r="D90" s="1026">
        <v>65</v>
      </c>
      <c r="E90" s="1026">
        <v>1360</v>
      </c>
      <c r="F90" s="1026">
        <v>2430</v>
      </c>
      <c r="G90" s="1026">
        <v>2800</v>
      </c>
      <c r="H90" s="1026">
        <v>1740</v>
      </c>
      <c r="I90" s="1026">
        <v>570</v>
      </c>
      <c r="J90" s="1026">
        <v>35</v>
      </c>
      <c r="K90" s="1026">
        <v>0</v>
      </c>
      <c r="L90" s="1026">
        <v>0</v>
      </c>
      <c r="M90" s="1026">
        <v>6655</v>
      </c>
      <c r="N90" s="1026">
        <v>9000</v>
      </c>
      <c r="O90" s="1027" t="s">
        <v>1304</v>
      </c>
      <c r="P90" s="1029"/>
    </row>
    <row r="91" spans="1:16" hidden="1" x14ac:dyDescent="0.35">
      <c r="A91" s="1030" t="s">
        <v>1307</v>
      </c>
      <c r="B91" s="1031" t="s">
        <v>1308</v>
      </c>
      <c r="C91" s="1032">
        <v>0</v>
      </c>
      <c r="D91" s="1032">
        <v>0</v>
      </c>
      <c r="E91" s="1032">
        <v>601</v>
      </c>
      <c r="F91" s="1033">
        <v>1038</v>
      </c>
      <c r="G91" s="1033">
        <v>1251</v>
      </c>
      <c r="H91" s="1033">
        <v>1431</v>
      </c>
      <c r="I91" s="1033">
        <v>1492</v>
      </c>
      <c r="J91" s="1033">
        <v>1530</v>
      </c>
      <c r="K91" s="1033">
        <v>1567</v>
      </c>
      <c r="L91" s="1033">
        <v>1606</v>
      </c>
      <c r="M91" s="1033">
        <v>2890</v>
      </c>
      <c r="N91" s="1033">
        <v>10516</v>
      </c>
      <c r="O91" s="1034" t="s">
        <v>1309</v>
      </c>
      <c r="P91" s="1035"/>
    </row>
    <row r="92" spans="1:16" hidden="1" x14ac:dyDescent="0.35">
      <c r="A92" s="1036" t="s">
        <v>1310</v>
      </c>
      <c r="B92" s="1037" t="s">
        <v>1311</v>
      </c>
      <c r="C92" s="992">
        <v>0</v>
      </c>
      <c r="D92" s="992">
        <v>30</v>
      </c>
      <c r="E92" s="992">
        <v>120</v>
      </c>
      <c r="F92" s="992">
        <v>165</v>
      </c>
      <c r="G92" s="992">
        <v>370</v>
      </c>
      <c r="H92" s="992">
        <v>470</v>
      </c>
      <c r="I92" s="992">
        <v>420</v>
      </c>
      <c r="J92" s="992">
        <v>285</v>
      </c>
      <c r="K92" s="992">
        <v>220</v>
      </c>
      <c r="L92" s="993">
        <v>65</v>
      </c>
      <c r="M92" s="992">
        <v>685</v>
      </c>
      <c r="N92" s="1038">
        <v>2145</v>
      </c>
      <c r="O92" s="1039" t="s">
        <v>1312</v>
      </c>
      <c r="P92" s="1040" t="s">
        <v>1313</v>
      </c>
    </row>
    <row r="93" spans="1:16" hidden="1" x14ac:dyDescent="0.35">
      <c r="A93" s="1024" t="s">
        <v>1314</v>
      </c>
      <c r="B93" s="1025" t="s">
        <v>1315</v>
      </c>
      <c r="C93" s="1026">
        <v>0</v>
      </c>
      <c r="D93" s="1026">
        <v>2</v>
      </c>
      <c r="E93" s="1026">
        <v>10</v>
      </c>
      <c r="F93" s="1026">
        <v>25</v>
      </c>
      <c r="G93" s="1026">
        <v>28</v>
      </c>
      <c r="H93" s="1026">
        <v>17</v>
      </c>
      <c r="I93" s="1026">
        <v>11</v>
      </c>
      <c r="J93" s="1026">
        <v>4</v>
      </c>
      <c r="K93" s="1026">
        <v>2</v>
      </c>
      <c r="L93" s="1026">
        <v>1</v>
      </c>
      <c r="M93" s="1026">
        <v>65</v>
      </c>
      <c r="N93" s="1026">
        <v>100</v>
      </c>
      <c r="O93" s="1027" t="s">
        <v>1312</v>
      </c>
      <c r="P93" s="1028" t="s">
        <v>1316</v>
      </c>
    </row>
    <row r="94" spans="1:16" ht="24" hidden="1" customHeight="1" x14ac:dyDescent="0.35">
      <c r="A94" s="1041" t="s">
        <v>1317</v>
      </c>
      <c r="B94" s="1042" t="s">
        <v>1318</v>
      </c>
      <c r="C94" s="1026">
        <v>0</v>
      </c>
      <c r="D94" s="1026">
        <v>36</v>
      </c>
      <c r="E94" s="1026">
        <v>30</v>
      </c>
      <c r="F94" s="1026">
        <v>14</v>
      </c>
      <c r="G94" s="1026">
        <v>7</v>
      </c>
      <c r="H94" s="1026">
        <v>0</v>
      </c>
      <c r="I94" s="1026">
        <v>0</v>
      </c>
      <c r="J94" s="1026">
        <v>0</v>
      </c>
      <c r="K94" s="1026">
        <v>0</v>
      </c>
      <c r="L94" s="1026">
        <v>0</v>
      </c>
      <c r="M94" s="1026">
        <v>87</v>
      </c>
      <c r="N94" s="1026">
        <v>87</v>
      </c>
      <c r="O94" s="1027" t="s">
        <v>1312</v>
      </c>
      <c r="P94" s="1028" t="s">
        <v>1319</v>
      </c>
    </row>
    <row r="95" spans="1:16" hidden="1" x14ac:dyDescent="0.35">
      <c r="A95" s="1024" t="s">
        <v>1320</v>
      </c>
      <c r="B95" s="1025" t="s">
        <v>1321</v>
      </c>
      <c r="C95" s="1026">
        <v>0</v>
      </c>
      <c r="D95" s="1043">
        <v>5240</v>
      </c>
      <c r="E95" s="1043">
        <v>4175</v>
      </c>
      <c r="F95" s="1043">
        <v>5215</v>
      </c>
      <c r="G95" s="1043">
        <v>6493</v>
      </c>
      <c r="H95" s="1043">
        <v>7982</v>
      </c>
      <c r="I95" s="1043">
        <v>9820</v>
      </c>
      <c r="J95" s="1043">
        <v>11813</v>
      </c>
      <c r="K95" s="1043">
        <v>14269</v>
      </c>
      <c r="L95" s="1043">
        <v>14605</v>
      </c>
      <c r="M95" s="1043">
        <v>21123</v>
      </c>
      <c r="N95" s="1043">
        <v>79612</v>
      </c>
      <c r="O95" s="1044" t="s">
        <v>1312</v>
      </c>
      <c r="P95" s="1028"/>
    </row>
    <row r="96" spans="1:16" hidden="1" x14ac:dyDescent="0.35">
      <c r="A96" s="1024" t="s">
        <v>1322</v>
      </c>
      <c r="B96" s="1025" t="s">
        <v>1323</v>
      </c>
      <c r="C96" s="1045">
        <v>0</v>
      </c>
      <c r="D96" s="1045">
        <v>55</v>
      </c>
      <c r="E96" s="1045">
        <v>55</v>
      </c>
      <c r="F96" s="1045">
        <v>55</v>
      </c>
      <c r="G96" s="1045">
        <v>55</v>
      </c>
      <c r="H96" s="1045">
        <v>55</v>
      </c>
      <c r="I96" s="1045">
        <v>55</v>
      </c>
      <c r="J96" s="1045">
        <v>55</v>
      </c>
      <c r="K96" s="1045">
        <v>55</v>
      </c>
      <c r="L96" s="1045">
        <v>55</v>
      </c>
      <c r="M96" s="1045">
        <v>220</v>
      </c>
      <c r="N96" s="1045">
        <v>495</v>
      </c>
      <c r="O96" s="1046" t="s">
        <v>1312</v>
      </c>
      <c r="P96" s="1029"/>
    </row>
    <row r="97" spans="1:16" hidden="1" x14ac:dyDescent="0.35">
      <c r="A97" s="1024" t="s">
        <v>1324</v>
      </c>
      <c r="B97" s="1025" t="s">
        <v>1325</v>
      </c>
      <c r="C97" s="1026">
        <v>0</v>
      </c>
      <c r="D97" s="1026">
        <v>19</v>
      </c>
      <c r="E97" s="1026">
        <v>26</v>
      </c>
      <c r="F97" s="1026">
        <v>27</v>
      </c>
      <c r="G97" s="1026">
        <v>17</v>
      </c>
      <c r="H97" s="1026">
        <v>7</v>
      </c>
      <c r="I97" s="1026">
        <v>3</v>
      </c>
      <c r="J97" s="1026">
        <v>1</v>
      </c>
      <c r="K97" s="1026">
        <v>0</v>
      </c>
      <c r="L97" s="1026">
        <v>0</v>
      </c>
      <c r="M97" s="1026">
        <v>89</v>
      </c>
      <c r="N97" s="1026">
        <v>100</v>
      </c>
      <c r="O97" s="1044" t="s">
        <v>1312</v>
      </c>
      <c r="P97" s="1029"/>
    </row>
    <row r="98" spans="1:16" hidden="1" x14ac:dyDescent="0.35">
      <c r="A98" s="1024" t="s">
        <v>1326</v>
      </c>
      <c r="B98" s="1025" t="s">
        <v>1327</v>
      </c>
      <c r="C98" s="1026">
        <v>0</v>
      </c>
      <c r="D98" s="1026">
        <v>15</v>
      </c>
      <c r="E98" s="1026">
        <v>15</v>
      </c>
      <c r="F98" s="1026">
        <v>15</v>
      </c>
      <c r="G98" s="1026">
        <v>10</v>
      </c>
      <c r="H98" s="1026">
        <v>10</v>
      </c>
      <c r="I98" s="1026">
        <v>10</v>
      </c>
      <c r="J98" s="1026">
        <v>10</v>
      </c>
      <c r="K98" s="1026">
        <v>10</v>
      </c>
      <c r="L98" s="1026">
        <v>5</v>
      </c>
      <c r="M98" s="1026">
        <v>55</v>
      </c>
      <c r="N98" s="1026">
        <v>100</v>
      </c>
      <c r="O98" s="1027" t="s">
        <v>1312</v>
      </c>
      <c r="P98" s="1029"/>
    </row>
    <row r="99" spans="1:16" ht="36" hidden="1" customHeight="1" x14ac:dyDescent="0.35">
      <c r="A99" s="1024" t="s">
        <v>1328</v>
      </c>
      <c r="B99" s="1025" t="s">
        <v>1329</v>
      </c>
      <c r="C99" s="1047">
        <v>0</v>
      </c>
      <c r="D99" s="1047">
        <v>22</v>
      </c>
      <c r="E99" s="1047">
        <v>96</v>
      </c>
      <c r="F99" s="1047">
        <v>170</v>
      </c>
      <c r="G99" s="1047">
        <v>213</v>
      </c>
      <c r="H99" s="1047">
        <v>160</v>
      </c>
      <c r="I99" s="1047">
        <v>47</v>
      </c>
      <c r="J99" s="1047">
        <v>2</v>
      </c>
      <c r="K99" s="1047">
        <v>0</v>
      </c>
      <c r="L99" s="1047">
        <v>0</v>
      </c>
      <c r="M99" s="1047">
        <v>501</v>
      </c>
      <c r="N99" s="1047">
        <v>710</v>
      </c>
      <c r="O99" s="1026" t="s">
        <v>1312</v>
      </c>
      <c r="P99" s="1029"/>
    </row>
    <row r="100" spans="1:16" ht="36" hidden="1" customHeight="1" x14ac:dyDescent="0.35">
      <c r="A100" s="1024" t="s">
        <v>1330</v>
      </c>
      <c r="B100" s="1025" t="s">
        <v>1331</v>
      </c>
      <c r="C100" s="1048"/>
      <c r="D100" s="1048">
        <v>90</v>
      </c>
      <c r="E100" s="1048">
        <v>260</v>
      </c>
      <c r="F100" s="1048">
        <v>427</v>
      </c>
      <c r="G100" s="1048">
        <v>560</v>
      </c>
      <c r="H100" s="1048">
        <v>572</v>
      </c>
      <c r="I100" s="1048">
        <v>534</v>
      </c>
      <c r="J100" s="1048">
        <v>275</v>
      </c>
      <c r="K100" s="1048">
        <v>162</v>
      </c>
      <c r="L100" s="1048">
        <v>70</v>
      </c>
      <c r="M100" s="1048">
        <v>1347</v>
      </c>
      <c r="N100" s="1048">
        <v>2960</v>
      </c>
      <c r="O100" s="1049" t="s">
        <v>1312</v>
      </c>
      <c r="P100" s="1029"/>
    </row>
    <row r="101" spans="1:16" hidden="1" x14ac:dyDescent="0.35">
      <c r="A101" s="1024" t="s">
        <v>1332</v>
      </c>
      <c r="B101" s="1025" t="s">
        <v>1333</v>
      </c>
      <c r="C101" s="1026">
        <v>0</v>
      </c>
      <c r="D101" s="1026">
        <v>40</v>
      </c>
      <c r="E101" s="1026">
        <v>60</v>
      </c>
      <c r="F101" s="1026">
        <v>52</v>
      </c>
      <c r="G101" s="1026">
        <v>40</v>
      </c>
      <c r="H101" s="1026">
        <v>27</v>
      </c>
      <c r="I101" s="1026">
        <v>19</v>
      </c>
      <c r="J101" s="1026">
        <v>10</v>
      </c>
      <c r="K101" s="1026">
        <v>2</v>
      </c>
      <c r="L101" s="1026">
        <v>0</v>
      </c>
      <c r="M101" s="1026">
        <v>192</v>
      </c>
      <c r="N101" s="1026">
        <v>250</v>
      </c>
      <c r="O101" s="1027" t="s">
        <v>1312</v>
      </c>
      <c r="P101" s="1029"/>
    </row>
    <row r="102" spans="1:16" hidden="1" x14ac:dyDescent="0.35">
      <c r="A102" s="1041" t="s">
        <v>1334</v>
      </c>
      <c r="B102" s="1042" t="s">
        <v>1335</v>
      </c>
      <c r="C102" s="1026">
        <v>0</v>
      </c>
      <c r="D102" s="1026">
        <v>49</v>
      </c>
      <c r="E102" s="1026">
        <v>62</v>
      </c>
      <c r="F102" s="1026">
        <v>62</v>
      </c>
      <c r="G102" s="1026">
        <v>62</v>
      </c>
      <c r="H102" s="1026">
        <v>63</v>
      </c>
      <c r="I102" s="1026">
        <v>63</v>
      </c>
      <c r="J102" s="1026">
        <v>63</v>
      </c>
      <c r="K102" s="1026">
        <v>64</v>
      </c>
      <c r="L102" s="1026">
        <v>12</v>
      </c>
      <c r="M102" s="1026">
        <v>235</v>
      </c>
      <c r="N102" s="1026">
        <v>500</v>
      </c>
      <c r="O102" s="1027" t="s">
        <v>1312</v>
      </c>
      <c r="P102" s="1029"/>
    </row>
    <row r="103" spans="1:16" hidden="1" x14ac:dyDescent="0.35">
      <c r="A103" s="1024" t="s">
        <v>1336</v>
      </c>
      <c r="B103" s="1025" t="s">
        <v>1337</v>
      </c>
      <c r="C103" s="1026">
        <v>0</v>
      </c>
      <c r="D103" s="1026">
        <v>0</v>
      </c>
      <c r="E103" s="1026">
        <v>0</v>
      </c>
      <c r="F103" s="1026">
        <v>0</v>
      </c>
      <c r="G103" s="1026">
        <v>-20</v>
      </c>
      <c r="H103" s="1026">
        <v>-28</v>
      </c>
      <c r="I103" s="1026">
        <v>-28</v>
      </c>
      <c r="J103" s="1026">
        <v>-28</v>
      </c>
      <c r="K103" s="1026">
        <v>-28</v>
      </c>
      <c r="L103" s="1026">
        <v>-28</v>
      </c>
      <c r="M103" s="1026">
        <v>-20</v>
      </c>
      <c r="N103" s="1026">
        <v>-160</v>
      </c>
      <c r="O103" s="1027" t="s">
        <v>1312</v>
      </c>
      <c r="P103" s="1029"/>
    </row>
    <row r="104" spans="1:16" ht="24" hidden="1" customHeight="1" x14ac:dyDescent="0.35">
      <c r="A104" s="1024" t="s">
        <v>1338</v>
      </c>
      <c r="B104" s="1025" t="s">
        <v>1339</v>
      </c>
      <c r="C104" s="1026">
        <v>0</v>
      </c>
      <c r="D104" s="1026">
        <v>-235</v>
      </c>
      <c r="E104" s="1026">
        <v>-44</v>
      </c>
      <c r="F104" s="1026">
        <v>-22</v>
      </c>
      <c r="G104" s="1026">
        <v>-26</v>
      </c>
      <c r="H104" s="1026">
        <v>-23</v>
      </c>
      <c r="I104" s="1026">
        <v>-19</v>
      </c>
      <c r="J104" s="1026">
        <v>-41</v>
      </c>
      <c r="K104" s="1026">
        <v>-35</v>
      </c>
      <c r="L104" s="1026">
        <v>-39</v>
      </c>
      <c r="M104" s="1026">
        <v>-327</v>
      </c>
      <c r="N104" s="1026">
        <v>-484</v>
      </c>
      <c r="O104" s="1027" t="s">
        <v>1312</v>
      </c>
      <c r="P104" s="1029"/>
    </row>
    <row r="105" spans="1:16" hidden="1" x14ac:dyDescent="0.35">
      <c r="A105" s="1024" t="s">
        <v>1340</v>
      </c>
      <c r="B105" s="1025" t="s">
        <v>1341</v>
      </c>
      <c r="C105" s="1026">
        <v>0</v>
      </c>
      <c r="D105" s="1026">
        <v>7</v>
      </c>
      <c r="E105" s="1026">
        <v>8</v>
      </c>
      <c r="F105" s="1026">
        <v>6</v>
      </c>
      <c r="G105" s="1026">
        <v>2</v>
      </c>
      <c r="H105" s="1026">
        <v>1</v>
      </c>
      <c r="I105" s="1026">
        <v>0</v>
      </c>
      <c r="J105" s="1026">
        <v>0</v>
      </c>
      <c r="K105" s="1026">
        <v>0</v>
      </c>
      <c r="L105" s="1026">
        <v>0</v>
      </c>
      <c r="M105" s="1026">
        <v>23</v>
      </c>
      <c r="N105" s="1026">
        <v>24</v>
      </c>
      <c r="O105" s="1027" t="s">
        <v>1312</v>
      </c>
      <c r="P105" s="1029"/>
    </row>
    <row r="106" spans="1:16" ht="36" hidden="1" customHeight="1" x14ac:dyDescent="0.35">
      <c r="A106" s="1024" t="s">
        <v>1342</v>
      </c>
      <c r="B106" s="1025" t="s">
        <v>1343</v>
      </c>
      <c r="C106" s="1026">
        <v>0</v>
      </c>
      <c r="D106" s="1026">
        <v>50</v>
      </c>
      <c r="E106" s="1026">
        <v>77</v>
      </c>
      <c r="F106" s="1026">
        <v>87</v>
      </c>
      <c r="G106" s="1026">
        <v>81</v>
      </c>
      <c r="H106" s="1026">
        <v>50</v>
      </c>
      <c r="I106" s="1026">
        <v>30</v>
      </c>
      <c r="J106" s="1026">
        <v>10</v>
      </c>
      <c r="K106" s="1026">
        <v>0</v>
      </c>
      <c r="L106" s="1026">
        <v>0</v>
      </c>
      <c r="M106" s="1026">
        <v>295</v>
      </c>
      <c r="N106" s="1026">
        <v>385</v>
      </c>
      <c r="O106" s="1027" t="s">
        <v>1312</v>
      </c>
      <c r="P106" s="1029"/>
    </row>
    <row r="107" spans="1:16" hidden="1" x14ac:dyDescent="0.35">
      <c r="A107" s="1041" t="s">
        <v>1344</v>
      </c>
      <c r="B107" s="1042" t="s">
        <v>1345</v>
      </c>
      <c r="C107" s="1026">
        <v>0</v>
      </c>
      <c r="D107" s="1026">
        <v>3</v>
      </c>
      <c r="E107" s="1026">
        <v>2</v>
      </c>
      <c r="F107" s="1026">
        <v>0</v>
      </c>
      <c r="G107" s="1026">
        <v>0</v>
      </c>
      <c r="H107" s="1026">
        <v>0</v>
      </c>
      <c r="I107" s="1026">
        <v>0</v>
      </c>
      <c r="J107" s="1026">
        <v>0</v>
      </c>
      <c r="K107" s="1026">
        <v>0</v>
      </c>
      <c r="L107" s="1026">
        <v>0</v>
      </c>
      <c r="M107" s="1026">
        <v>5</v>
      </c>
      <c r="N107" s="1026">
        <v>5</v>
      </c>
      <c r="O107" s="1027" t="s">
        <v>1346</v>
      </c>
      <c r="P107" s="1029"/>
    </row>
    <row r="108" spans="1:16" hidden="1" x14ac:dyDescent="0.35">
      <c r="A108" s="1041" t="s">
        <v>1347</v>
      </c>
      <c r="B108" s="1042" t="s">
        <v>1348</v>
      </c>
      <c r="C108" s="1026">
        <v>0</v>
      </c>
      <c r="D108" s="1026">
        <v>70</v>
      </c>
      <c r="E108" s="1026">
        <v>80</v>
      </c>
      <c r="F108" s="1026">
        <v>62</v>
      </c>
      <c r="G108" s="1026">
        <v>25</v>
      </c>
      <c r="H108" s="1026">
        <v>13</v>
      </c>
      <c r="I108" s="1026">
        <v>0</v>
      </c>
      <c r="J108" s="1026">
        <v>0</v>
      </c>
      <c r="K108" s="1026">
        <v>0</v>
      </c>
      <c r="L108" s="1026">
        <v>0</v>
      </c>
      <c r="M108" s="1026">
        <v>237</v>
      </c>
      <c r="N108" s="1026">
        <v>250</v>
      </c>
      <c r="O108" s="1027" t="s">
        <v>1346</v>
      </c>
      <c r="P108" s="1029"/>
    </row>
    <row r="109" spans="1:16" ht="24" hidden="1" customHeight="1" x14ac:dyDescent="0.35">
      <c r="A109" s="1041" t="s">
        <v>1349</v>
      </c>
      <c r="B109" s="1042" t="s">
        <v>1350</v>
      </c>
      <c r="C109" s="1045">
        <v>0</v>
      </c>
      <c r="D109" s="1045">
        <v>33</v>
      </c>
      <c r="E109" s="1045">
        <v>54</v>
      </c>
      <c r="F109" s="1045">
        <v>37</v>
      </c>
      <c r="G109" s="1045">
        <v>16</v>
      </c>
      <c r="H109" s="1045">
        <v>0</v>
      </c>
      <c r="I109" s="1045">
        <v>0</v>
      </c>
      <c r="J109" s="1045">
        <v>0</v>
      </c>
      <c r="K109" s="1045">
        <v>0</v>
      </c>
      <c r="L109" s="1045">
        <v>0</v>
      </c>
      <c r="M109" s="1045">
        <v>140</v>
      </c>
      <c r="N109" s="1045">
        <v>140</v>
      </c>
      <c r="O109" s="1027" t="s">
        <v>1312</v>
      </c>
      <c r="P109" s="1029"/>
    </row>
    <row r="110" spans="1:16" hidden="1" x14ac:dyDescent="0.35">
      <c r="A110" s="1024" t="s">
        <v>1351</v>
      </c>
      <c r="B110" s="1025" t="s">
        <v>1352</v>
      </c>
      <c r="C110" s="1026">
        <v>0</v>
      </c>
      <c r="D110" s="1026">
        <v>40</v>
      </c>
      <c r="E110" s="1026">
        <v>40</v>
      </c>
      <c r="F110" s="1026">
        <v>30</v>
      </c>
      <c r="G110" s="1026">
        <v>10</v>
      </c>
      <c r="H110" s="1026">
        <v>5</v>
      </c>
      <c r="I110" s="1026">
        <v>0</v>
      </c>
      <c r="J110" s="1026">
        <v>0</v>
      </c>
      <c r="K110" s="1026">
        <v>0</v>
      </c>
      <c r="L110" s="1026">
        <v>0</v>
      </c>
      <c r="M110" s="1026">
        <v>120</v>
      </c>
      <c r="N110" s="1026">
        <v>125</v>
      </c>
      <c r="O110" s="1027" t="s">
        <v>1312</v>
      </c>
      <c r="P110" s="1029"/>
    </row>
    <row r="111" spans="1:16" hidden="1" x14ac:dyDescent="0.35">
      <c r="A111" s="1041" t="s">
        <v>1353</v>
      </c>
      <c r="B111" s="1025" t="s">
        <v>1354</v>
      </c>
      <c r="C111" s="1026">
        <v>0</v>
      </c>
      <c r="D111" s="1026">
        <v>5</v>
      </c>
      <c r="E111" s="1026">
        <v>8</v>
      </c>
      <c r="F111" s="1026">
        <v>8</v>
      </c>
      <c r="G111" s="1026">
        <v>8</v>
      </c>
      <c r="H111" s="1026">
        <v>4</v>
      </c>
      <c r="I111" s="1026">
        <v>0</v>
      </c>
      <c r="J111" s="1026">
        <v>0</v>
      </c>
      <c r="K111" s="1026">
        <v>0</v>
      </c>
      <c r="L111" s="1026">
        <v>0</v>
      </c>
      <c r="M111" s="1026">
        <v>29</v>
      </c>
      <c r="N111" s="1026">
        <v>33</v>
      </c>
      <c r="O111" s="1027" t="s">
        <v>1312</v>
      </c>
      <c r="P111" s="1029"/>
    </row>
    <row r="112" spans="1:16" hidden="1" x14ac:dyDescent="0.35">
      <c r="A112" s="1024" t="s">
        <v>1355</v>
      </c>
      <c r="B112" s="1042" t="s">
        <v>1356</v>
      </c>
      <c r="C112" s="1026">
        <v>0</v>
      </c>
      <c r="D112" s="1026">
        <v>3</v>
      </c>
      <c r="E112" s="1026">
        <v>8</v>
      </c>
      <c r="F112" s="1026">
        <v>8</v>
      </c>
      <c r="G112" s="1026">
        <v>8</v>
      </c>
      <c r="H112" s="1026">
        <v>3</v>
      </c>
      <c r="I112" s="1026">
        <v>0</v>
      </c>
      <c r="J112" s="1026">
        <v>0</v>
      </c>
      <c r="K112" s="1026">
        <v>0</v>
      </c>
      <c r="L112" s="1026">
        <v>0</v>
      </c>
      <c r="M112" s="1026">
        <v>27</v>
      </c>
      <c r="N112" s="1026">
        <v>30</v>
      </c>
      <c r="O112" s="1027" t="s">
        <v>1312</v>
      </c>
      <c r="P112" s="1029"/>
    </row>
    <row r="113" spans="1:16" ht="24" hidden="1" customHeight="1" x14ac:dyDescent="0.35">
      <c r="A113" s="1024" t="s">
        <v>1357</v>
      </c>
      <c r="B113" s="1025" t="s">
        <v>1358</v>
      </c>
      <c r="C113" s="1045">
        <v>0</v>
      </c>
      <c r="D113" s="1045">
        <v>165</v>
      </c>
      <c r="E113" s="1045">
        <v>165</v>
      </c>
      <c r="F113" s="1045">
        <v>230</v>
      </c>
      <c r="G113" s="1045">
        <v>340</v>
      </c>
      <c r="H113" s="1045">
        <v>490</v>
      </c>
      <c r="I113" s="1045">
        <v>540</v>
      </c>
      <c r="J113" s="1045">
        <v>640</v>
      </c>
      <c r="K113" s="1045">
        <v>475</v>
      </c>
      <c r="L113" s="1045">
        <v>330</v>
      </c>
      <c r="M113" s="1045">
        <v>900</v>
      </c>
      <c r="N113" s="1045">
        <v>3375</v>
      </c>
      <c r="O113" s="1044" t="s">
        <v>1312</v>
      </c>
      <c r="P113" s="1029"/>
    </row>
    <row r="114" spans="1:16" ht="24" hidden="1" customHeight="1" x14ac:dyDescent="0.35">
      <c r="A114" s="1050" t="s">
        <v>1328</v>
      </c>
      <c r="B114" s="1051" t="s">
        <v>1359</v>
      </c>
      <c r="C114" s="1026">
        <v>0</v>
      </c>
      <c r="D114" s="1026">
        <v>195</v>
      </c>
      <c r="E114" s="1026">
        <v>448</v>
      </c>
      <c r="F114" s="1026">
        <v>641</v>
      </c>
      <c r="G114" s="1026">
        <v>716</v>
      </c>
      <c r="H114" s="1026">
        <v>681</v>
      </c>
      <c r="I114" s="1026">
        <v>528</v>
      </c>
      <c r="J114" s="1026">
        <v>421</v>
      </c>
      <c r="K114" s="1026">
        <v>323</v>
      </c>
      <c r="L114" s="1026">
        <v>23</v>
      </c>
      <c r="M114" s="1043">
        <v>2000</v>
      </c>
      <c r="N114" s="1043">
        <v>3976</v>
      </c>
      <c r="O114" s="1044" t="s">
        <v>1312</v>
      </c>
      <c r="P114" s="1052"/>
    </row>
    <row r="115" spans="1:16" ht="30" hidden="1" customHeight="1" x14ac:dyDescent="0.35">
      <c r="A115" s="1036" t="s">
        <v>1360</v>
      </c>
      <c r="B115" s="1037" t="s">
        <v>1361</v>
      </c>
      <c r="C115" s="1053">
        <v>0</v>
      </c>
      <c r="D115" s="1053">
        <v>20</v>
      </c>
      <c r="E115" s="1053">
        <v>57</v>
      </c>
      <c r="F115" s="1053">
        <v>96</v>
      </c>
      <c r="G115" s="1053">
        <v>150</v>
      </c>
      <c r="H115" s="1053">
        <v>200</v>
      </c>
      <c r="I115" s="1053">
        <v>185</v>
      </c>
      <c r="J115" s="1053">
        <v>147</v>
      </c>
      <c r="K115" s="1053">
        <v>106</v>
      </c>
      <c r="L115" s="1053">
        <v>39</v>
      </c>
      <c r="M115" s="1053">
        <v>323</v>
      </c>
      <c r="N115" s="1054">
        <v>1000</v>
      </c>
      <c r="O115" s="1055" t="s">
        <v>1362</v>
      </c>
      <c r="P115" s="1056" t="s">
        <v>1363</v>
      </c>
    </row>
    <row r="116" spans="1:16" hidden="1" x14ac:dyDescent="0.35">
      <c r="A116" s="1041" t="s">
        <v>1364</v>
      </c>
      <c r="B116" s="1025" t="s">
        <v>1365</v>
      </c>
      <c r="C116" s="1026">
        <v>0</v>
      </c>
      <c r="D116" s="1026">
        <v>15</v>
      </c>
      <c r="E116" s="1026">
        <v>53</v>
      </c>
      <c r="F116" s="1026">
        <v>57</v>
      </c>
      <c r="G116" s="1026">
        <v>48</v>
      </c>
      <c r="H116" s="1026">
        <v>43</v>
      </c>
      <c r="I116" s="1026">
        <v>17</v>
      </c>
      <c r="J116" s="1026">
        <v>2</v>
      </c>
      <c r="K116" s="1026">
        <v>0</v>
      </c>
      <c r="L116" s="1026">
        <v>0</v>
      </c>
      <c r="M116" s="1026">
        <v>173</v>
      </c>
      <c r="N116" s="1026">
        <v>235</v>
      </c>
      <c r="O116" s="1027" t="s">
        <v>1366</v>
      </c>
      <c r="P116" s="1028" t="s">
        <v>1367</v>
      </c>
    </row>
    <row r="117" spans="1:16" hidden="1" x14ac:dyDescent="0.35">
      <c r="A117" s="1024" t="s">
        <v>1368</v>
      </c>
      <c r="B117" s="1025" t="s">
        <v>1369</v>
      </c>
      <c r="C117" s="1026">
        <v>0</v>
      </c>
      <c r="D117" s="1026">
        <v>15</v>
      </c>
      <c r="E117" s="1026">
        <v>53</v>
      </c>
      <c r="F117" s="1026">
        <v>57</v>
      </c>
      <c r="G117" s="1026">
        <v>48</v>
      </c>
      <c r="H117" s="1026">
        <v>43</v>
      </c>
      <c r="I117" s="1026">
        <v>17</v>
      </c>
      <c r="J117" s="1026">
        <v>2</v>
      </c>
      <c r="K117" s="1026">
        <v>0</v>
      </c>
      <c r="L117" s="1026">
        <v>0</v>
      </c>
      <c r="M117" s="1026">
        <v>173</v>
      </c>
      <c r="N117" s="1026">
        <v>235</v>
      </c>
      <c r="O117" s="1027" t="s">
        <v>1366</v>
      </c>
      <c r="P117" s="1028" t="s">
        <v>1367</v>
      </c>
    </row>
    <row r="118" spans="1:16" hidden="1" x14ac:dyDescent="0.35">
      <c r="A118" s="1041" t="s">
        <v>1370</v>
      </c>
      <c r="B118" s="1042" t="s">
        <v>1371</v>
      </c>
      <c r="C118" s="1026">
        <v>0</v>
      </c>
      <c r="D118" s="1026">
        <v>42</v>
      </c>
      <c r="E118" s="1026">
        <v>18</v>
      </c>
      <c r="F118" s="1026">
        <v>0</v>
      </c>
      <c r="G118" s="1026">
        <v>0</v>
      </c>
      <c r="H118" s="1026">
        <v>0</v>
      </c>
      <c r="I118" s="1026">
        <v>0</v>
      </c>
      <c r="J118" s="1026">
        <v>0</v>
      </c>
      <c r="K118" s="1026">
        <v>0</v>
      </c>
      <c r="L118" s="1026">
        <v>0</v>
      </c>
      <c r="M118" s="1026">
        <v>60</v>
      </c>
      <c r="N118" s="1026">
        <v>60</v>
      </c>
      <c r="O118" s="1027" t="s">
        <v>1362</v>
      </c>
      <c r="P118" s="1029" t="s">
        <v>1372</v>
      </c>
    </row>
    <row r="119" spans="1:16" hidden="1" x14ac:dyDescent="0.35">
      <c r="A119" s="1024" t="s">
        <v>1373</v>
      </c>
      <c r="B119" s="1025" t="s">
        <v>1374</v>
      </c>
      <c r="C119" s="1026">
        <v>0</v>
      </c>
      <c r="D119" s="1026">
        <v>2</v>
      </c>
      <c r="E119" s="1026">
        <v>13</v>
      </c>
      <c r="F119" s="1026">
        <v>26</v>
      </c>
      <c r="G119" s="1026">
        <v>30</v>
      </c>
      <c r="H119" s="1026">
        <v>24</v>
      </c>
      <c r="I119" s="1026">
        <v>0</v>
      </c>
      <c r="J119" s="1026">
        <v>0</v>
      </c>
      <c r="K119" s="1026">
        <v>0</v>
      </c>
      <c r="L119" s="1026">
        <v>0</v>
      </c>
      <c r="M119" s="1026">
        <v>71</v>
      </c>
      <c r="N119" s="1026">
        <v>95</v>
      </c>
      <c r="O119" s="1027" t="s">
        <v>1362</v>
      </c>
      <c r="P119" s="1028" t="s">
        <v>1375</v>
      </c>
    </row>
    <row r="120" spans="1:16" ht="36" hidden="1" customHeight="1" x14ac:dyDescent="0.35">
      <c r="A120" s="1024" t="s">
        <v>1376</v>
      </c>
      <c r="B120" s="1025" t="s">
        <v>1377</v>
      </c>
      <c r="C120" s="1026">
        <v>0</v>
      </c>
      <c r="D120" s="1026">
        <v>3</v>
      </c>
      <c r="E120" s="1026">
        <v>19</v>
      </c>
      <c r="F120" s="1026">
        <v>67</v>
      </c>
      <c r="G120" s="1026">
        <v>86</v>
      </c>
      <c r="H120" s="1026">
        <v>59</v>
      </c>
      <c r="I120" s="1026">
        <v>35</v>
      </c>
      <c r="J120" s="1026">
        <v>19</v>
      </c>
      <c r="K120" s="1026">
        <v>6</v>
      </c>
      <c r="L120" s="1026">
        <v>0</v>
      </c>
      <c r="M120" s="1026">
        <v>175</v>
      </c>
      <c r="N120" s="1026">
        <v>294</v>
      </c>
      <c r="O120" s="1027" t="s">
        <v>1362</v>
      </c>
      <c r="P120" s="1052" t="s">
        <v>1378</v>
      </c>
    </row>
    <row r="121" spans="1:16" hidden="1" x14ac:dyDescent="0.35">
      <c r="A121" s="1024" t="s">
        <v>1379</v>
      </c>
      <c r="B121" s="1025" t="s">
        <v>1380</v>
      </c>
      <c r="C121" s="1026">
        <v>0</v>
      </c>
      <c r="D121" s="1026">
        <v>65</v>
      </c>
      <c r="E121" s="1026">
        <v>150</v>
      </c>
      <c r="F121" s="1026">
        <v>290</v>
      </c>
      <c r="G121" s="1026">
        <v>290</v>
      </c>
      <c r="H121" s="1026">
        <v>290</v>
      </c>
      <c r="I121" s="1026">
        <v>285</v>
      </c>
      <c r="J121" s="1026">
        <v>250</v>
      </c>
      <c r="K121" s="1026">
        <v>220</v>
      </c>
      <c r="L121" s="1026">
        <v>160</v>
      </c>
      <c r="M121" s="1026">
        <v>795</v>
      </c>
      <c r="N121" s="1043">
        <v>2000</v>
      </c>
      <c r="O121" s="1027" t="s">
        <v>1362</v>
      </c>
      <c r="P121" s="1029"/>
    </row>
    <row r="122" spans="1:16" hidden="1" x14ac:dyDescent="0.35">
      <c r="A122" s="1024" t="s">
        <v>1381</v>
      </c>
      <c r="B122" s="1025" t="s">
        <v>1382</v>
      </c>
      <c r="C122" s="1026">
        <v>0</v>
      </c>
      <c r="D122" s="1026">
        <v>5</v>
      </c>
      <c r="E122" s="1026">
        <v>20</v>
      </c>
      <c r="F122" s="1026">
        <v>65</v>
      </c>
      <c r="G122" s="1026">
        <v>105</v>
      </c>
      <c r="H122" s="1026">
        <v>140</v>
      </c>
      <c r="I122" s="1026">
        <v>175</v>
      </c>
      <c r="J122" s="1026">
        <v>210</v>
      </c>
      <c r="K122" s="1026">
        <v>150</v>
      </c>
      <c r="L122" s="1026">
        <v>35</v>
      </c>
      <c r="M122" s="1026">
        <v>195</v>
      </c>
      <c r="N122" s="1026">
        <v>905</v>
      </c>
      <c r="O122" s="1057" t="s">
        <v>1362</v>
      </c>
      <c r="P122" s="1058"/>
    </row>
    <row r="123" spans="1:16" hidden="1" x14ac:dyDescent="0.35">
      <c r="A123" s="1024" t="s">
        <v>1383</v>
      </c>
      <c r="B123" s="1025" t="s">
        <v>1384</v>
      </c>
      <c r="C123" s="1026">
        <v>0</v>
      </c>
      <c r="D123" s="1026">
        <v>10</v>
      </c>
      <c r="E123" s="1026">
        <v>150</v>
      </c>
      <c r="F123" s="1026">
        <v>300</v>
      </c>
      <c r="G123" s="1026">
        <v>590</v>
      </c>
      <c r="H123" s="1026">
        <v>460</v>
      </c>
      <c r="I123" s="1026">
        <v>295</v>
      </c>
      <c r="J123" s="1026">
        <v>195</v>
      </c>
      <c r="K123" s="1026">
        <v>0</v>
      </c>
      <c r="L123" s="1026">
        <v>0</v>
      </c>
      <c r="M123" s="1043">
        <v>1050</v>
      </c>
      <c r="N123" s="1043">
        <v>2000</v>
      </c>
      <c r="O123" s="1027" t="s">
        <v>1362</v>
      </c>
      <c r="P123" s="1029"/>
    </row>
    <row r="124" spans="1:16" hidden="1" x14ac:dyDescent="0.35">
      <c r="A124" s="1024" t="s">
        <v>1385</v>
      </c>
      <c r="B124" s="1025" t="s">
        <v>1386</v>
      </c>
      <c r="C124" s="1026"/>
      <c r="D124" s="1026"/>
      <c r="E124" s="1026"/>
      <c r="F124" s="1026"/>
      <c r="G124" s="1026"/>
      <c r="H124" s="1026"/>
      <c r="I124" s="1026"/>
      <c r="J124" s="1026"/>
      <c r="K124" s="1026"/>
      <c r="L124" s="1026"/>
      <c r="M124" s="1026"/>
      <c r="N124" s="1026"/>
      <c r="O124" s="1027"/>
      <c r="P124" s="1029"/>
    </row>
    <row r="125" spans="1:16" ht="24" hidden="1" customHeight="1" x14ac:dyDescent="0.35">
      <c r="A125" s="1041" t="s">
        <v>1387</v>
      </c>
      <c r="B125" s="1042" t="s">
        <v>1388</v>
      </c>
      <c r="C125" s="1045">
        <v>0</v>
      </c>
      <c r="D125" s="1045">
        <v>72</v>
      </c>
      <c r="E125" s="1045">
        <v>123</v>
      </c>
      <c r="F125" s="1045">
        <v>122</v>
      </c>
      <c r="G125" s="1045">
        <v>115</v>
      </c>
      <c r="H125" s="1045">
        <v>55</v>
      </c>
      <c r="I125" s="1045">
        <v>55</v>
      </c>
      <c r="J125" s="1045">
        <v>33</v>
      </c>
      <c r="K125" s="1045">
        <v>0</v>
      </c>
      <c r="L125" s="1045">
        <v>0</v>
      </c>
      <c r="M125" s="1045">
        <v>432</v>
      </c>
      <c r="N125" s="1045">
        <v>575</v>
      </c>
      <c r="O125" s="1026" t="s">
        <v>1362</v>
      </c>
      <c r="P125" s="1029"/>
    </row>
    <row r="126" spans="1:16" hidden="1" x14ac:dyDescent="0.35">
      <c r="A126" s="1024" t="s">
        <v>1389</v>
      </c>
      <c r="B126" s="1025" t="s">
        <v>1390</v>
      </c>
      <c r="C126" s="1026">
        <v>0</v>
      </c>
      <c r="D126" s="1026">
        <v>1</v>
      </c>
      <c r="E126" s="1026">
        <v>2</v>
      </c>
      <c r="F126" s="1026">
        <v>2</v>
      </c>
      <c r="G126" s="1026">
        <v>2</v>
      </c>
      <c r="H126" s="1026">
        <v>2</v>
      </c>
      <c r="I126" s="1026">
        <v>2</v>
      </c>
      <c r="J126" s="1026">
        <v>2</v>
      </c>
      <c r="K126" s="1026">
        <v>2</v>
      </c>
      <c r="L126" s="1026">
        <v>1</v>
      </c>
      <c r="M126" s="1026">
        <v>7</v>
      </c>
      <c r="N126" s="1026">
        <v>16</v>
      </c>
      <c r="O126" s="1027" t="s">
        <v>1362</v>
      </c>
      <c r="P126" s="1029"/>
    </row>
    <row r="127" spans="1:16" hidden="1" x14ac:dyDescent="0.35">
      <c r="A127" s="1024" t="s">
        <v>1391</v>
      </c>
      <c r="B127" s="1025" t="s">
        <v>1392</v>
      </c>
      <c r="C127" s="1026">
        <v>0</v>
      </c>
      <c r="D127" s="1026">
        <v>49</v>
      </c>
      <c r="E127" s="1026">
        <v>190</v>
      </c>
      <c r="F127" s="1026">
        <v>379</v>
      </c>
      <c r="G127" s="1026">
        <v>531</v>
      </c>
      <c r="H127" s="1026">
        <v>619</v>
      </c>
      <c r="I127" s="1026">
        <v>580</v>
      </c>
      <c r="J127" s="1026">
        <v>387</v>
      </c>
      <c r="K127" s="1026">
        <v>196</v>
      </c>
      <c r="L127" s="1026">
        <v>69</v>
      </c>
      <c r="M127" s="1043">
        <v>1149</v>
      </c>
      <c r="N127" s="1043">
        <v>3000</v>
      </c>
      <c r="O127" s="1027" t="s">
        <v>1362</v>
      </c>
      <c r="P127" s="1029"/>
    </row>
    <row r="128" spans="1:16" hidden="1" x14ac:dyDescent="0.35">
      <c r="A128" s="1041" t="s">
        <v>1393</v>
      </c>
      <c r="B128" s="1042" t="s">
        <v>1394</v>
      </c>
      <c r="C128" s="1026">
        <v>0</v>
      </c>
      <c r="D128" s="1026">
        <v>22</v>
      </c>
      <c r="E128" s="1026">
        <v>22</v>
      </c>
      <c r="F128" s="1026">
        <v>6</v>
      </c>
      <c r="G128" s="1026">
        <v>0</v>
      </c>
      <c r="H128" s="1026">
        <v>0</v>
      </c>
      <c r="I128" s="1026">
        <v>0</v>
      </c>
      <c r="J128" s="1026">
        <v>0</v>
      </c>
      <c r="K128" s="1026">
        <v>0</v>
      </c>
      <c r="L128" s="1026">
        <v>0</v>
      </c>
      <c r="M128" s="1026">
        <v>50</v>
      </c>
      <c r="N128" s="1026">
        <v>50</v>
      </c>
      <c r="O128" s="1027" t="s">
        <v>1362</v>
      </c>
      <c r="P128" s="1028"/>
    </row>
    <row r="129" spans="1:16" hidden="1" x14ac:dyDescent="0.35">
      <c r="A129" s="1024" t="s">
        <v>1395</v>
      </c>
      <c r="B129" s="1025" t="s">
        <v>1396</v>
      </c>
      <c r="C129" s="1026">
        <v>0</v>
      </c>
      <c r="D129" s="1026">
        <v>30</v>
      </c>
      <c r="E129" s="1026">
        <v>30</v>
      </c>
      <c r="F129" s="1026">
        <v>40</v>
      </c>
      <c r="G129" s="1026">
        <v>15</v>
      </c>
      <c r="H129" s="1026">
        <v>5</v>
      </c>
      <c r="I129" s="1026">
        <v>5</v>
      </c>
      <c r="J129" s="1026">
        <v>0</v>
      </c>
      <c r="K129" s="1026">
        <v>0</v>
      </c>
      <c r="L129" s="1026">
        <v>0</v>
      </c>
      <c r="M129" s="1026">
        <v>115</v>
      </c>
      <c r="N129" s="1026">
        <v>125</v>
      </c>
      <c r="O129" s="1027" t="s">
        <v>1362</v>
      </c>
      <c r="P129" s="1029"/>
    </row>
    <row r="130" spans="1:16" hidden="1" x14ac:dyDescent="0.35">
      <c r="A130" s="1024" t="s">
        <v>1397</v>
      </c>
      <c r="B130" s="1025" t="s">
        <v>1398</v>
      </c>
      <c r="C130" s="1026">
        <v>0</v>
      </c>
      <c r="D130" s="1026">
        <v>10</v>
      </c>
      <c r="E130" s="1026">
        <v>230</v>
      </c>
      <c r="F130" s="1026">
        <v>660</v>
      </c>
      <c r="G130" s="1026">
        <v>945</v>
      </c>
      <c r="H130" s="1026">
        <v>605</v>
      </c>
      <c r="I130" s="1026">
        <v>100</v>
      </c>
      <c r="J130" s="1026">
        <v>0</v>
      </c>
      <c r="K130" s="1026">
        <v>0</v>
      </c>
      <c r="L130" s="1026">
        <v>0</v>
      </c>
      <c r="M130" s="1043">
        <v>1845</v>
      </c>
      <c r="N130" s="1043">
        <v>2550</v>
      </c>
      <c r="O130" s="1027" t="s">
        <v>1362</v>
      </c>
      <c r="P130" s="1029"/>
    </row>
    <row r="131" spans="1:16" hidden="1" x14ac:dyDescent="0.35">
      <c r="A131" s="1024" t="s">
        <v>1399</v>
      </c>
      <c r="B131" s="1025" t="s">
        <v>1400</v>
      </c>
      <c r="C131" s="1026">
        <v>0</v>
      </c>
      <c r="D131" s="1026">
        <v>10</v>
      </c>
      <c r="E131" s="1026">
        <v>45</v>
      </c>
      <c r="F131" s="1026">
        <v>70</v>
      </c>
      <c r="G131" s="1026">
        <v>100</v>
      </c>
      <c r="H131" s="1026">
        <v>100</v>
      </c>
      <c r="I131" s="1026">
        <v>100</v>
      </c>
      <c r="J131" s="1026">
        <v>100</v>
      </c>
      <c r="K131" s="1026">
        <v>100</v>
      </c>
      <c r="L131" s="1026">
        <v>100</v>
      </c>
      <c r="M131" s="1026">
        <v>225</v>
      </c>
      <c r="N131" s="1026">
        <v>725</v>
      </c>
      <c r="O131" s="1027" t="s">
        <v>1362</v>
      </c>
      <c r="P131" s="1029"/>
    </row>
    <row r="132" spans="1:16" hidden="1" x14ac:dyDescent="0.35">
      <c r="A132" s="1041" t="s">
        <v>1401</v>
      </c>
      <c r="B132" s="1042" t="s">
        <v>1402</v>
      </c>
      <c r="C132" s="1026">
        <v>0</v>
      </c>
      <c r="D132" s="1026">
        <v>14</v>
      </c>
      <c r="E132" s="1026">
        <v>11</v>
      </c>
      <c r="F132" s="1026">
        <v>0</v>
      </c>
      <c r="G132" s="1026">
        <v>0</v>
      </c>
      <c r="H132" s="1026">
        <v>0</v>
      </c>
      <c r="I132" s="1026">
        <v>0</v>
      </c>
      <c r="J132" s="1026">
        <v>0</v>
      </c>
      <c r="K132" s="1026">
        <v>0</v>
      </c>
      <c r="L132" s="1026">
        <v>0</v>
      </c>
      <c r="M132" s="1026">
        <v>25</v>
      </c>
      <c r="N132" s="1026">
        <v>25</v>
      </c>
      <c r="O132" s="1027" t="s">
        <v>1366</v>
      </c>
      <c r="P132" s="1028"/>
    </row>
    <row r="133" spans="1:16" hidden="1" x14ac:dyDescent="0.35">
      <c r="A133" s="1041" t="s">
        <v>1403</v>
      </c>
      <c r="B133" s="1042" t="s">
        <v>1404</v>
      </c>
      <c r="C133" s="1026">
        <v>0</v>
      </c>
      <c r="D133" s="1026">
        <v>84</v>
      </c>
      <c r="E133" s="1026">
        <v>320</v>
      </c>
      <c r="F133" s="1026">
        <v>638</v>
      </c>
      <c r="G133" s="1026">
        <v>928</v>
      </c>
      <c r="H133" s="1026">
        <v>940</v>
      </c>
      <c r="I133" s="1026">
        <v>720</v>
      </c>
      <c r="J133" s="1026">
        <v>300</v>
      </c>
      <c r="K133" s="1026">
        <v>120</v>
      </c>
      <c r="L133" s="1026">
        <v>0</v>
      </c>
      <c r="M133" s="1043">
        <v>1970</v>
      </c>
      <c r="N133" s="1043">
        <v>4050</v>
      </c>
      <c r="O133" s="1027" t="s">
        <v>1366</v>
      </c>
      <c r="P133" s="1029"/>
    </row>
    <row r="134" spans="1:16" hidden="1" x14ac:dyDescent="0.35">
      <c r="A134" s="1024" t="s">
        <v>1405</v>
      </c>
      <c r="B134" s="1025" t="s">
        <v>1406</v>
      </c>
      <c r="C134" s="1026">
        <v>0</v>
      </c>
      <c r="D134" s="1026">
        <v>40</v>
      </c>
      <c r="E134" s="1026">
        <v>200</v>
      </c>
      <c r="F134" s="1026">
        <v>400</v>
      </c>
      <c r="G134" s="1026">
        <v>660</v>
      </c>
      <c r="H134" s="1026">
        <v>640</v>
      </c>
      <c r="I134" s="1026">
        <v>515</v>
      </c>
      <c r="J134" s="1026">
        <v>240</v>
      </c>
      <c r="K134" s="1026">
        <v>105</v>
      </c>
      <c r="L134" s="1026">
        <v>0</v>
      </c>
      <c r="M134" s="1043">
        <v>1300</v>
      </c>
      <c r="N134" s="1043">
        <v>2800</v>
      </c>
      <c r="O134" s="1027" t="s">
        <v>1366</v>
      </c>
      <c r="P134" s="1029"/>
    </row>
    <row r="135" spans="1:16" hidden="1" x14ac:dyDescent="0.35">
      <c r="A135" s="1024" t="s">
        <v>1407</v>
      </c>
      <c r="B135" s="1025" t="s">
        <v>1408</v>
      </c>
      <c r="C135" s="1059">
        <v>0</v>
      </c>
      <c r="D135" s="1059">
        <v>138</v>
      </c>
      <c r="E135" s="1059">
        <v>566</v>
      </c>
      <c r="F135" s="1059">
        <v>994</v>
      </c>
      <c r="G135" s="1060">
        <v>1328</v>
      </c>
      <c r="H135" s="1060">
        <v>1791</v>
      </c>
      <c r="I135" s="1060">
        <v>2350</v>
      </c>
      <c r="J135" s="1060">
        <v>2928</v>
      </c>
      <c r="K135" s="1060">
        <v>3548</v>
      </c>
      <c r="L135" s="1060">
        <v>4162</v>
      </c>
      <c r="M135" s="1060">
        <v>3026</v>
      </c>
      <c r="N135" s="1060">
        <v>17805</v>
      </c>
      <c r="O135" s="1061" t="s">
        <v>54</v>
      </c>
      <c r="P135" s="1062"/>
    </row>
    <row r="136" spans="1:16" hidden="1" x14ac:dyDescent="0.35">
      <c r="A136" s="1024" t="s">
        <v>1409</v>
      </c>
      <c r="B136" s="1025" t="s">
        <v>1410</v>
      </c>
      <c r="C136" s="1059">
        <v>0</v>
      </c>
      <c r="D136" s="1059">
        <v>0</v>
      </c>
      <c r="E136" s="1059">
        <v>235</v>
      </c>
      <c r="F136" s="1059">
        <v>317</v>
      </c>
      <c r="G136" s="1059">
        <v>304</v>
      </c>
      <c r="H136" s="1059">
        <v>314</v>
      </c>
      <c r="I136" s="1059">
        <v>324</v>
      </c>
      <c r="J136" s="1059">
        <v>335</v>
      </c>
      <c r="K136" s="1059">
        <v>346</v>
      </c>
      <c r="L136" s="1059">
        <v>359</v>
      </c>
      <c r="M136" s="1059">
        <v>856</v>
      </c>
      <c r="N136" s="1060">
        <v>2534</v>
      </c>
      <c r="O136" s="1061" t="s">
        <v>54</v>
      </c>
      <c r="P136" s="1029"/>
    </row>
    <row r="137" spans="1:16" ht="24" hidden="1" customHeight="1" x14ac:dyDescent="0.35">
      <c r="A137" s="1024" t="s">
        <v>1411</v>
      </c>
      <c r="B137" s="1025" t="s">
        <v>1412</v>
      </c>
      <c r="C137" s="1063"/>
      <c r="D137" s="1063">
        <v>333</v>
      </c>
      <c r="E137" s="1063">
        <v>314</v>
      </c>
      <c r="F137" s="1063">
        <v>314</v>
      </c>
      <c r="G137" s="1063">
        <v>-4530</v>
      </c>
      <c r="H137" s="1063">
        <v>-9118</v>
      </c>
      <c r="I137" s="1063">
        <v>-18184</v>
      </c>
      <c r="J137" s="1063">
        <v>-20493</v>
      </c>
      <c r="K137" s="1063">
        <v>-23289</v>
      </c>
      <c r="L137" s="1063">
        <v>-24298</v>
      </c>
      <c r="M137" s="1063">
        <v>-569</v>
      </c>
      <c r="N137" s="1063">
        <v>-95951</v>
      </c>
      <c r="O137" s="1064" t="s">
        <v>55</v>
      </c>
      <c r="P137" s="1065"/>
    </row>
    <row r="138" spans="1:16" ht="36" hidden="1" customHeight="1" x14ac:dyDescent="0.35">
      <c r="A138" s="1024" t="s">
        <v>1407</v>
      </c>
      <c r="B138" s="1025" t="s">
        <v>1413</v>
      </c>
      <c r="C138" s="1066">
        <v>0</v>
      </c>
      <c r="D138" s="1066">
        <v>-2447</v>
      </c>
      <c r="E138" s="1066">
        <v>-3716</v>
      </c>
      <c r="F138" s="1066">
        <v>-19171</v>
      </c>
      <c r="G138" s="1066">
        <v>-7014</v>
      </c>
      <c r="H138" s="1066">
        <v>-7706</v>
      </c>
      <c r="I138" s="1066">
        <v>-8497</v>
      </c>
      <c r="J138" s="1066">
        <v>-9360</v>
      </c>
      <c r="K138" s="1066">
        <v>-10602</v>
      </c>
      <c r="L138" s="1066">
        <v>-11603</v>
      </c>
      <c r="M138" s="1066">
        <v>-32348</v>
      </c>
      <c r="N138" s="1066">
        <v>-80116</v>
      </c>
      <c r="O138" s="1064" t="s">
        <v>55</v>
      </c>
      <c r="P138" s="1029"/>
    </row>
    <row r="139" spans="1:16" hidden="1" x14ac:dyDescent="0.35">
      <c r="A139" s="1024" t="s">
        <v>1414</v>
      </c>
      <c r="B139" s="1025" t="s">
        <v>1415</v>
      </c>
      <c r="C139" s="1063">
        <v>0</v>
      </c>
      <c r="D139" s="1063">
        <v>53</v>
      </c>
      <c r="E139" s="1063">
        <v>1991</v>
      </c>
      <c r="F139" s="1063">
        <v>3308</v>
      </c>
      <c r="G139" s="1063">
        <v>3545</v>
      </c>
      <c r="H139" s="1063">
        <v>4537</v>
      </c>
      <c r="I139" s="1063">
        <v>4476</v>
      </c>
      <c r="J139" s="1063">
        <v>3947</v>
      </c>
      <c r="K139" s="1063">
        <v>1781</v>
      </c>
      <c r="L139" s="1063">
        <v>1462</v>
      </c>
      <c r="M139" s="1063">
        <v>8897</v>
      </c>
      <c r="N139" s="1063">
        <v>25100</v>
      </c>
      <c r="O139" s="1064" t="s">
        <v>55</v>
      </c>
      <c r="P139" s="1029"/>
    </row>
    <row r="140" spans="1:16" hidden="1" x14ac:dyDescent="0.35">
      <c r="A140" s="1024" t="s">
        <v>1416</v>
      </c>
      <c r="B140" s="1025" t="s">
        <v>1417</v>
      </c>
      <c r="C140" s="1067">
        <v>0</v>
      </c>
      <c r="D140" s="1067">
        <v>0</v>
      </c>
      <c r="E140" s="1067">
        <v>0</v>
      </c>
      <c r="F140" s="1067">
        <v>0</v>
      </c>
      <c r="G140" s="1067">
        <v>0</v>
      </c>
      <c r="H140" s="1068">
        <v>-16290</v>
      </c>
      <c r="I140" s="1068">
        <v>-25656</v>
      </c>
      <c r="J140" s="1068">
        <v>-23394</v>
      </c>
      <c r="K140" s="1068">
        <v>-27561</v>
      </c>
      <c r="L140" s="1068">
        <v>-29250</v>
      </c>
      <c r="M140" s="1067">
        <v>0</v>
      </c>
      <c r="N140" s="1068">
        <v>-122151</v>
      </c>
      <c r="O140" s="1064" t="s">
        <v>55</v>
      </c>
      <c r="P140" s="1029"/>
    </row>
    <row r="141" spans="1:16" ht="36" hidden="1" customHeight="1" x14ac:dyDescent="0.35">
      <c r="A141" s="1024" t="s">
        <v>1418</v>
      </c>
      <c r="B141" s="1025" t="s">
        <v>1419</v>
      </c>
      <c r="C141" s="1063">
        <v>0</v>
      </c>
      <c r="D141" s="1063">
        <v>-70</v>
      </c>
      <c r="E141" s="1063">
        <v>300</v>
      </c>
      <c r="F141" s="1063">
        <v>862</v>
      </c>
      <c r="G141" s="1063">
        <v>577</v>
      </c>
      <c r="H141" s="1063">
        <v>464</v>
      </c>
      <c r="I141" s="1063">
        <v>549</v>
      </c>
      <c r="J141" s="1063">
        <v>501</v>
      </c>
      <c r="K141" s="1063">
        <v>591</v>
      </c>
      <c r="L141" s="1063">
        <v>630</v>
      </c>
      <c r="M141" s="1063">
        <v>1669</v>
      </c>
      <c r="N141" s="1063">
        <v>4404</v>
      </c>
      <c r="O141" s="1064" t="s">
        <v>55</v>
      </c>
      <c r="P141" s="1029"/>
    </row>
    <row r="142" spans="1:16" hidden="1" x14ac:dyDescent="0.35">
      <c r="A142" s="1024" t="s">
        <v>1420</v>
      </c>
      <c r="B142" s="1025" t="s">
        <v>1421</v>
      </c>
      <c r="C142" s="1067">
        <v>0</v>
      </c>
      <c r="D142" s="1067">
        <v>0</v>
      </c>
      <c r="E142" s="1067">
        <v>195</v>
      </c>
      <c r="F142" s="1067">
        <v>230</v>
      </c>
      <c r="G142" s="1067">
        <v>248</v>
      </c>
      <c r="H142" s="1067">
        <v>266</v>
      </c>
      <c r="I142" s="1067">
        <v>311</v>
      </c>
      <c r="J142" s="1067">
        <v>281</v>
      </c>
      <c r="K142" s="1067">
        <v>327</v>
      </c>
      <c r="L142" s="1067">
        <v>347</v>
      </c>
      <c r="M142" s="1067">
        <v>673</v>
      </c>
      <c r="N142" s="1068">
        <v>2205</v>
      </c>
      <c r="O142" s="1064" t="s">
        <v>55</v>
      </c>
      <c r="P142" s="1029"/>
    </row>
    <row r="143" spans="1:16" hidden="1" x14ac:dyDescent="0.35">
      <c r="A143" s="1041" t="s">
        <v>1422</v>
      </c>
      <c r="B143" s="1042" t="s">
        <v>1423</v>
      </c>
      <c r="C143" s="1069">
        <v>0</v>
      </c>
      <c r="D143" s="1069">
        <v>70</v>
      </c>
      <c r="E143" s="1069">
        <v>132</v>
      </c>
      <c r="F143" s="1069">
        <v>51</v>
      </c>
      <c r="G143" s="1069">
        <v>20</v>
      </c>
      <c r="H143" s="1069">
        <v>8</v>
      </c>
      <c r="I143" s="1069">
        <v>0</v>
      </c>
      <c r="J143" s="1069">
        <v>0</v>
      </c>
      <c r="K143" s="1069">
        <v>0</v>
      </c>
      <c r="L143" s="1069">
        <v>0</v>
      </c>
      <c r="M143" s="1069">
        <v>273</v>
      </c>
      <c r="N143" s="1069">
        <v>281</v>
      </c>
      <c r="O143" s="1070" t="s">
        <v>1424</v>
      </c>
      <c r="P143" s="1029" t="s">
        <v>1425</v>
      </c>
    </row>
    <row r="144" spans="1:16" hidden="1" x14ac:dyDescent="0.35">
      <c r="A144" s="1041" t="s">
        <v>1426</v>
      </c>
      <c r="B144" s="1042" t="s">
        <v>1427</v>
      </c>
      <c r="C144" s="1069">
        <v>0</v>
      </c>
      <c r="D144" s="1069">
        <v>465</v>
      </c>
      <c r="E144" s="1071">
        <v>2420</v>
      </c>
      <c r="F144" s="1071">
        <v>4755</v>
      </c>
      <c r="G144" s="1071">
        <v>5980</v>
      </c>
      <c r="H144" s="1071">
        <v>4694</v>
      </c>
      <c r="I144" s="1071">
        <v>1573</v>
      </c>
      <c r="J144" s="1069">
        <v>93</v>
      </c>
      <c r="K144" s="1069">
        <v>0</v>
      </c>
      <c r="L144" s="1069">
        <v>0</v>
      </c>
      <c r="M144" s="1071">
        <v>13620</v>
      </c>
      <c r="N144" s="1071">
        <v>19980</v>
      </c>
      <c r="O144" s="1070" t="s">
        <v>1424</v>
      </c>
      <c r="P144" s="1029" t="s">
        <v>1428</v>
      </c>
    </row>
    <row r="145" spans="1:16" hidden="1" x14ac:dyDescent="0.35">
      <c r="A145" s="1024" t="s">
        <v>1429</v>
      </c>
      <c r="B145" s="1025" t="s">
        <v>1430</v>
      </c>
      <c r="C145" s="1069">
        <v>0</v>
      </c>
      <c r="D145" s="1069">
        <v>20</v>
      </c>
      <c r="E145" s="1069">
        <v>65</v>
      </c>
      <c r="F145" s="1069">
        <v>110</v>
      </c>
      <c r="G145" s="1069">
        <v>135</v>
      </c>
      <c r="H145" s="1069">
        <v>180</v>
      </c>
      <c r="I145" s="1069">
        <v>230</v>
      </c>
      <c r="J145" s="1069">
        <v>180</v>
      </c>
      <c r="K145" s="1069">
        <v>60</v>
      </c>
      <c r="L145" s="1069">
        <v>10</v>
      </c>
      <c r="M145" s="1069">
        <v>330</v>
      </c>
      <c r="N145" s="1069">
        <v>990</v>
      </c>
      <c r="O145" s="1070" t="s">
        <v>1424</v>
      </c>
      <c r="P145" s="1052" t="s">
        <v>1431</v>
      </c>
    </row>
    <row r="146" spans="1:16" hidden="1" x14ac:dyDescent="0.35">
      <c r="A146" s="1024" t="s">
        <v>1432</v>
      </c>
      <c r="B146" s="1025" t="s">
        <v>1433</v>
      </c>
      <c r="C146" s="1069">
        <v>0</v>
      </c>
      <c r="D146" s="1071">
        <v>20892</v>
      </c>
      <c r="E146" s="1071">
        <v>11288</v>
      </c>
      <c r="F146" s="1071">
        <v>9651</v>
      </c>
      <c r="G146" s="1071">
        <v>-8548</v>
      </c>
      <c r="H146" s="1069">
        <v>-463</v>
      </c>
      <c r="I146" s="1069">
        <v>0</v>
      </c>
      <c r="J146" s="1069">
        <v>0</v>
      </c>
      <c r="K146" s="1069">
        <v>0</v>
      </c>
      <c r="L146" s="1069">
        <v>0</v>
      </c>
      <c r="M146" s="1071">
        <v>33283</v>
      </c>
      <c r="N146" s="1071">
        <v>32820</v>
      </c>
      <c r="O146" s="1072" t="s">
        <v>1424</v>
      </c>
      <c r="P146" s="1029"/>
    </row>
    <row r="147" spans="1:16" hidden="1" x14ac:dyDescent="0.35">
      <c r="A147" s="1024" t="s">
        <v>1434</v>
      </c>
      <c r="B147" s="1025" t="s">
        <v>1435</v>
      </c>
      <c r="C147" s="1069">
        <v>0</v>
      </c>
      <c r="D147" s="1069">
        <v>24</v>
      </c>
      <c r="E147" s="1069">
        <v>65</v>
      </c>
      <c r="F147" s="1069">
        <v>112</v>
      </c>
      <c r="G147" s="1069">
        <v>130</v>
      </c>
      <c r="H147" s="1069">
        <v>98</v>
      </c>
      <c r="I147" s="1069">
        <v>56</v>
      </c>
      <c r="J147" s="1069">
        <v>15</v>
      </c>
      <c r="K147" s="1069">
        <v>0</v>
      </c>
      <c r="L147" s="1069">
        <v>0</v>
      </c>
      <c r="M147" s="1069">
        <v>331</v>
      </c>
      <c r="N147" s="1069">
        <v>500</v>
      </c>
      <c r="O147" s="1072" t="s">
        <v>1424</v>
      </c>
      <c r="P147" s="1029"/>
    </row>
    <row r="148" spans="1:16" hidden="1" x14ac:dyDescent="0.35">
      <c r="A148" s="1073" t="s">
        <v>1436</v>
      </c>
      <c r="B148" s="1074" t="s">
        <v>1437</v>
      </c>
      <c r="C148" s="1069">
        <v>0</v>
      </c>
      <c r="D148" s="1069">
        <v>50</v>
      </c>
      <c r="E148" s="1069">
        <v>500</v>
      </c>
      <c r="F148" s="1069">
        <v>920</v>
      </c>
      <c r="G148" s="1071">
        <v>1310</v>
      </c>
      <c r="H148" s="1071">
        <v>1680</v>
      </c>
      <c r="I148" s="1071">
        <v>1780</v>
      </c>
      <c r="J148" s="1071">
        <v>1640</v>
      </c>
      <c r="K148" s="1071">
        <v>1090</v>
      </c>
      <c r="L148" s="1069">
        <v>630</v>
      </c>
      <c r="M148" s="1071">
        <v>2780</v>
      </c>
      <c r="N148" s="1071">
        <v>9600</v>
      </c>
      <c r="O148" s="1072" t="s">
        <v>1424</v>
      </c>
      <c r="P148" s="1075"/>
    </row>
    <row r="149" spans="1:16" hidden="1" x14ac:dyDescent="0.35">
      <c r="A149" s="1024" t="s">
        <v>1438</v>
      </c>
      <c r="B149" s="1025" t="s">
        <v>1439</v>
      </c>
      <c r="C149" s="1069">
        <v>0</v>
      </c>
      <c r="D149" s="1069">
        <v>30</v>
      </c>
      <c r="E149" s="1069">
        <v>90</v>
      </c>
      <c r="F149" s="1069">
        <v>90</v>
      </c>
      <c r="G149" s="1069">
        <v>85</v>
      </c>
      <c r="H149" s="1069">
        <v>70</v>
      </c>
      <c r="I149" s="1069">
        <v>65</v>
      </c>
      <c r="J149" s="1069">
        <v>65</v>
      </c>
      <c r="K149" s="1069">
        <v>35</v>
      </c>
      <c r="L149" s="1069">
        <v>15</v>
      </c>
      <c r="M149" s="1069">
        <v>295</v>
      </c>
      <c r="N149" s="1069">
        <v>545</v>
      </c>
      <c r="O149" s="1072" t="s">
        <v>1424</v>
      </c>
      <c r="P149" s="1029"/>
    </row>
    <row r="150" spans="1:16" hidden="1" x14ac:dyDescent="0.35">
      <c r="A150" s="1024" t="s">
        <v>1440</v>
      </c>
      <c r="B150" s="1025" t="s">
        <v>1441</v>
      </c>
      <c r="C150" s="1069">
        <v>0</v>
      </c>
      <c r="D150" s="1069">
        <v>185</v>
      </c>
      <c r="E150" s="1069">
        <v>394</v>
      </c>
      <c r="F150" s="1069">
        <v>639</v>
      </c>
      <c r="G150" s="1069">
        <v>722</v>
      </c>
      <c r="H150" s="1069">
        <v>595</v>
      </c>
      <c r="I150" s="1069">
        <v>346</v>
      </c>
      <c r="J150" s="1069">
        <v>101</v>
      </c>
      <c r="K150" s="1069">
        <v>18</v>
      </c>
      <c r="L150" s="1069">
        <v>0</v>
      </c>
      <c r="M150" s="1071">
        <v>1940</v>
      </c>
      <c r="N150" s="1071">
        <v>3000</v>
      </c>
      <c r="O150" s="1070" t="s">
        <v>1424</v>
      </c>
      <c r="P150" s="1029"/>
    </row>
    <row r="151" spans="1:16" hidden="1" x14ac:dyDescent="0.35">
      <c r="A151" s="1024" t="s">
        <v>1442</v>
      </c>
      <c r="B151" s="1025" t="s">
        <v>1443</v>
      </c>
      <c r="C151" s="1069">
        <v>0</v>
      </c>
      <c r="D151" s="1069">
        <v>8</v>
      </c>
      <c r="E151" s="1069">
        <v>26</v>
      </c>
      <c r="F151" s="1069">
        <v>41</v>
      </c>
      <c r="G151" s="1069">
        <v>38</v>
      </c>
      <c r="H151" s="1069">
        <v>22</v>
      </c>
      <c r="I151" s="1069">
        <v>11</v>
      </c>
      <c r="J151" s="1069">
        <v>4</v>
      </c>
      <c r="K151" s="1069">
        <v>0</v>
      </c>
      <c r="L151" s="1069">
        <v>0</v>
      </c>
      <c r="M151" s="1069">
        <v>113</v>
      </c>
      <c r="N151" s="1069">
        <v>150</v>
      </c>
      <c r="O151" s="1070" t="s">
        <v>1424</v>
      </c>
      <c r="P151" s="1029"/>
    </row>
    <row r="152" spans="1:16" ht="24" hidden="1" customHeight="1" x14ac:dyDescent="0.35">
      <c r="A152" s="1041" t="s">
        <v>1444</v>
      </c>
      <c r="B152" s="1042" t="s">
        <v>1445</v>
      </c>
      <c r="C152" s="1076">
        <v>0</v>
      </c>
      <c r="D152" s="1077">
        <v>77</v>
      </c>
      <c r="E152" s="1077">
        <v>232</v>
      </c>
      <c r="F152" s="1077">
        <v>341</v>
      </c>
      <c r="G152" s="1077">
        <v>496</v>
      </c>
      <c r="H152" s="1077">
        <v>310</v>
      </c>
      <c r="I152" s="1077">
        <v>47</v>
      </c>
      <c r="J152" s="1077">
        <v>31</v>
      </c>
      <c r="K152" s="1077">
        <v>15</v>
      </c>
      <c r="L152" s="1077">
        <v>1</v>
      </c>
      <c r="M152" s="1078">
        <v>1146</v>
      </c>
      <c r="N152" s="1078">
        <v>1550</v>
      </c>
      <c r="O152" s="1079" t="s">
        <v>1446</v>
      </c>
      <c r="P152" s="1029" t="s">
        <v>1447</v>
      </c>
    </row>
    <row r="153" spans="1:16" ht="30" hidden="1" customHeight="1" x14ac:dyDescent="0.35">
      <c r="A153" s="1024" t="s">
        <v>1448</v>
      </c>
      <c r="B153" s="1025" t="s">
        <v>1449</v>
      </c>
      <c r="C153" s="1080">
        <v>0</v>
      </c>
      <c r="D153" s="1080">
        <v>264</v>
      </c>
      <c r="E153" s="1080">
        <v>715</v>
      </c>
      <c r="F153" s="1080">
        <v>1393</v>
      </c>
      <c r="G153" s="1080">
        <v>2492</v>
      </c>
      <c r="H153" s="1080">
        <v>3364</v>
      </c>
      <c r="I153" s="1080">
        <v>3209</v>
      </c>
      <c r="J153" s="1080">
        <v>2750</v>
      </c>
      <c r="K153" s="1080">
        <v>1783</v>
      </c>
      <c r="L153" s="1080">
        <v>744</v>
      </c>
      <c r="M153" s="1081">
        <v>4864</v>
      </c>
      <c r="N153" s="1081">
        <v>16714</v>
      </c>
      <c r="O153" s="1082" t="s">
        <v>52</v>
      </c>
      <c r="P153" s="1083" t="s">
        <v>1450</v>
      </c>
    </row>
    <row r="154" spans="1:16" hidden="1" x14ac:dyDescent="0.35">
      <c r="A154" s="1024" t="s">
        <v>1451</v>
      </c>
      <c r="B154" s="1025" t="s">
        <v>1452</v>
      </c>
      <c r="C154" s="1084">
        <v>0</v>
      </c>
      <c r="D154" s="1084">
        <v>0</v>
      </c>
      <c r="E154" s="1084">
        <v>50</v>
      </c>
      <c r="F154" s="1084">
        <v>270</v>
      </c>
      <c r="G154" s="1084">
        <v>680</v>
      </c>
      <c r="H154" s="1084">
        <v>850</v>
      </c>
      <c r="I154" s="1084">
        <v>730</v>
      </c>
      <c r="J154" s="1084">
        <v>485</v>
      </c>
      <c r="K154" s="1084">
        <v>285</v>
      </c>
      <c r="L154" s="1084">
        <v>145</v>
      </c>
      <c r="M154" s="1085">
        <v>1000</v>
      </c>
      <c r="N154" s="1085">
        <v>3495</v>
      </c>
      <c r="O154" s="1086" t="s">
        <v>52</v>
      </c>
      <c r="P154" s="1087" t="s">
        <v>1453</v>
      </c>
    </row>
    <row r="155" spans="1:16" hidden="1" x14ac:dyDescent="0.35">
      <c r="A155" s="1024" t="s">
        <v>1454</v>
      </c>
      <c r="B155" s="1025" t="s">
        <v>1455</v>
      </c>
      <c r="C155" s="1084">
        <v>0</v>
      </c>
      <c r="D155" s="1084">
        <v>5</v>
      </c>
      <c r="E155" s="1084">
        <v>5</v>
      </c>
      <c r="F155" s="1084">
        <v>10</v>
      </c>
      <c r="G155" s="1084">
        <v>25</v>
      </c>
      <c r="H155" s="1084">
        <v>70</v>
      </c>
      <c r="I155" s="1084">
        <v>175</v>
      </c>
      <c r="J155" s="1084">
        <v>385</v>
      </c>
      <c r="K155" s="1084">
        <v>460</v>
      </c>
      <c r="L155" s="1084">
        <v>325</v>
      </c>
      <c r="M155" s="1084">
        <v>45</v>
      </c>
      <c r="N155" s="1085">
        <v>1460</v>
      </c>
      <c r="O155" s="1088" t="s">
        <v>52</v>
      </c>
      <c r="P155" s="1087" t="s">
        <v>1456</v>
      </c>
    </row>
    <row r="156" spans="1:16" hidden="1" x14ac:dyDescent="0.35">
      <c r="A156" s="1041" t="s">
        <v>1457</v>
      </c>
      <c r="B156" s="1042" t="s">
        <v>1458</v>
      </c>
      <c r="C156" s="1084">
        <v>0</v>
      </c>
      <c r="D156" s="1084">
        <v>6</v>
      </c>
      <c r="E156" s="1084">
        <v>8</v>
      </c>
      <c r="F156" s="1084">
        <v>1</v>
      </c>
      <c r="G156" s="1084">
        <v>0</v>
      </c>
      <c r="H156" s="1084">
        <v>0</v>
      </c>
      <c r="I156" s="1084">
        <v>0</v>
      </c>
      <c r="J156" s="1084">
        <v>0</v>
      </c>
      <c r="K156" s="1084">
        <v>0</v>
      </c>
      <c r="L156" s="1084">
        <v>0</v>
      </c>
      <c r="M156" s="1084">
        <v>15</v>
      </c>
      <c r="N156" s="1084">
        <v>15</v>
      </c>
      <c r="O156" s="1088" t="s">
        <v>52</v>
      </c>
      <c r="P156" s="1087" t="s">
        <v>1459</v>
      </c>
    </row>
    <row r="157" spans="1:16" ht="24" hidden="1" customHeight="1" x14ac:dyDescent="0.35">
      <c r="A157" s="1024" t="s">
        <v>1460</v>
      </c>
      <c r="B157" s="1025" t="s">
        <v>1461</v>
      </c>
      <c r="C157" s="1084">
        <v>0</v>
      </c>
      <c r="D157" s="1084">
        <v>5</v>
      </c>
      <c r="E157" s="1084">
        <v>41</v>
      </c>
      <c r="F157" s="1084">
        <v>116</v>
      </c>
      <c r="G157" s="1084">
        <v>284</v>
      </c>
      <c r="H157" s="1084">
        <v>417</v>
      </c>
      <c r="I157" s="1084">
        <v>459</v>
      </c>
      <c r="J157" s="1084">
        <v>355</v>
      </c>
      <c r="K157" s="1084">
        <v>210</v>
      </c>
      <c r="L157" s="1084">
        <v>90</v>
      </c>
      <c r="M157" s="1084">
        <v>446</v>
      </c>
      <c r="N157" s="1085">
        <v>1977</v>
      </c>
      <c r="O157" s="1089" t="s">
        <v>52</v>
      </c>
      <c r="P157" s="1090" t="s">
        <v>1462</v>
      </c>
    </row>
    <row r="158" spans="1:16" ht="24" hidden="1" customHeight="1" x14ac:dyDescent="0.35">
      <c r="A158" s="1024" t="s">
        <v>1463</v>
      </c>
      <c r="B158" s="1025" t="s">
        <v>1464</v>
      </c>
      <c r="C158" s="1084">
        <v>0</v>
      </c>
      <c r="D158" s="1084">
        <v>20</v>
      </c>
      <c r="E158" s="1084">
        <v>100</v>
      </c>
      <c r="F158" s="1084">
        <v>460</v>
      </c>
      <c r="G158" s="1085">
        <v>1070</v>
      </c>
      <c r="H158" s="1085">
        <v>1430</v>
      </c>
      <c r="I158" s="1085">
        <v>1110</v>
      </c>
      <c r="J158" s="1084">
        <v>660</v>
      </c>
      <c r="K158" s="1084">
        <v>300</v>
      </c>
      <c r="L158" s="1084">
        <v>100</v>
      </c>
      <c r="M158" s="1085">
        <v>1650</v>
      </c>
      <c r="N158" s="1085">
        <v>5250</v>
      </c>
      <c r="O158" s="1088" t="s">
        <v>52</v>
      </c>
      <c r="P158" s="1087" t="s">
        <v>1465</v>
      </c>
    </row>
    <row r="159" spans="1:16" hidden="1" x14ac:dyDescent="0.35">
      <c r="A159" s="1024" t="s">
        <v>1466</v>
      </c>
      <c r="B159" s="1025" t="s">
        <v>1467</v>
      </c>
      <c r="C159" s="1003">
        <v>0</v>
      </c>
      <c r="D159" s="1003">
        <v>56</v>
      </c>
      <c r="E159" s="1003">
        <v>141</v>
      </c>
      <c r="F159" s="1003">
        <v>230</v>
      </c>
      <c r="G159" s="1003">
        <v>343</v>
      </c>
      <c r="H159" s="1003">
        <v>470</v>
      </c>
      <c r="I159" s="1003">
        <v>620</v>
      </c>
      <c r="J159" s="1003">
        <v>802</v>
      </c>
      <c r="K159" s="1003">
        <v>1024</v>
      </c>
      <c r="L159" s="1003">
        <v>1330</v>
      </c>
      <c r="M159" s="1003">
        <v>769</v>
      </c>
      <c r="N159" s="1003">
        <v>5015</v>
      </c>
      <c r="O159" s="1086" t="s">
        <v>52</v>
      </c>
      <c r="P159" s="1029"/>
    </row>
    <row r="160" spans="1:16" hidden="1" x14ac:dyDescent="0.35">
      <c r="A160" s="1024" t="s">
        <v>1468</v>
      </c>
      <c r="B160" s="1025" t="s">
        <v>1469</v>
      </c>
      <c r="C160" s="1084"/>
      <c r="D160" s="1084"/>
      <c r="E160" s="1084"/>
      <c r="F160" s="1084"/>
      <c r="G160" s="1084"/>
      <c r="H160" s="1084"/>
      <c r="I160" s="1084"/>
      <c r="J160" s="1084"/>
      <c r="K160" s="1084"/>
      <c r="L160" s="1084"/>
      <c r="M160" s="1084"/>
      <c r="N160" s="1085"/>
      <c r="O160" s="1089"/>
      <c r="P160" s="1029"/>
    </row>
    <row r="161" spans="1:17" hidden="1" x14ac:dyDescent="0.35">
      <c r="A161" s="1024" t="s">
        <v>1470</v>
      </c>
      <c r="B161" s="1025" t="s">
        <v>1471</v>
      </c>
      <c r="C161" s="1084"/>
      <c r="D161" s="1084"/>
      <c r="E161" s="1084"/>
      <c r="F161" s="1084"/>
      <c r="G161" s="1084"/>
      <c r="H161" s="1084"/>
      <c r="I161" s="1084"/>
      <c r="J161" s="1084"/>
      <c r="K161" s="1084"/>
      <c r="L161" s="1084"/>
      <c r="M161" s="1084"/>
      <c r="N161" s="1085"/>
      <c r="O161" s="1004"/>
      <c r="P161" s="1005"/>
    </row>
    <row r="162" spans="1:17" hidden="1" x14ac:dyDescent="0.35">
      <c r="A162" s="1024" t="s">
        <v>1472</v>
      </c>
      <c r="B162" s="1025" t="s">
        <v>1473</v>
      </c>
      <c r="C162" s="1084">
        <v>0</v>
      </c>
      <c r="D162" s="1084">
        <v>20</v>
      </c>
      <c r="E162" s="1084">
        <v>70</v>
      </c>
      <c r="F162" s="1084">
        <v>130</v>
      </c>
      <c r="G162" s="1084">
        <v>155</v>
      </c>
      <c r="H162" s="1084">
        <v>155</v>
      </c>
      <c r="I162" s="1084">
        <v>155</v>
      </c>
      <c r="J162" s="1084">
        <v>135</v>
      </c>
      <c r="K162" s="1084">
        <v>80</v>
      </c>
      <c r="L162" s="1084">
        <v>20</v>
      </c>
      <c r="M162" s="1084">
        <v>375</v>
      </c>
      <c r="N162" s="1084">
        <v>920</v>
      </c>
      <c r="O162" s="1088" t="s">
        <v>52</v>
      </c>
      <c r="P162" s="1029"/>
    </row>
    <row r="163" spans="1:17" hidden="1" x14ac:dyDescent="0.35">
      <c r="A163" s="1041" t="s">
        <v>1474</v>
      </c>
      <c r="B163" s="1042" t="s">
        <v>1475</v>
      </c>
      <c r="C163" s="1084">
        <v>0</v>
      </c>
      <c r="D163" s="1084">
        <v>15</v>
      </c>
      <c r="E163" s="1084">
        <v>12</v>
      </c>
      <c r="F163" s="1084">
        <v>8</v>
      </c>
      <c r="G163" s="1084">
        <v>4</v>
      </c>
      <c r="H163" s="1084">
        <v>0</v>
      </c>
      <c r="I163" s="1084">
        <v>0</v>
      </c>
      <c r="J163" s="1084">
        <v>0</v>
      </c>
      <c r="K163" s="1084">
        <v>0</v>
      </c>
      <c r="L163" s="1084">
        <v>0</v>
      </c>
      <c r="M163" s="1084">
        <v>39</v>
      </c>
      <c r="N163" s="1084">
        <v>39</v>
      </c>
      <c r="O163" s="1088" t="s">
        <v>52</v>
      </c>
      <c r="P163" s="1029"/>
    </row>
    <row r="164" spans="1:17" hidden="1" x14ac:dyDescent="0.35">
      <c r="A164" s="1024" t="s">
        <v>1476</v>
      </c>
      <c r="B164" s="1025" t="s">
        <v>1477</v>
      </c>
      <c r="C164" s="1006">
        <v>0</v>
      </c>
      <c r="D164" s="1006">
        <v>25</v>
      </c>
      <c r="E164" s="1006">
        <v>100</v>
      </c>
      <c r="F164" s="1006">
        <v>125</v>
      </c>
      <c r="G164" s="1006">
        <v>100</v>
      </c>
      <c r="H164" s="1006">
        <v>75</v>
      </c>
      <c r="I164" s="1006">
        <v>30</v>
      </c>
      <c r="J164" s="1006">
        <v>20</v>
      </c>
      <c r="K164" s="1006">
        <v>0</v>
      </c>
      <c r="L164" s="1006">
        <v>0</v>
      </c>
      <c r="M164" s="1006">
        <v>350</v>
      </c>
      <c r="N164" s="1006">
        <v>475</v>
      </c>
      <c r="O164" s="1007" t="s">
        <v>52</v>
      </c>
      <c r="P164" s="1029"/>
    </row>
    <row r="165" spans="1:17" hidden="1" x14ac:dyDescent="0.35">
      <c r="A165" s="54"/>
      <c r="B165" s="16"/>
      <c r="C165" s="38"/>
      <c r="D165" s="38"/>
      <c r="E165" s="38"/>
      <c r="F165" s="38"/>
      <c r="G165" s="38"/>
      <c r="H165" s="38"/>
      <c r="I165" s="38"/>
      <c r="J165" s="38"/>
      <c r="K165" s="38"/>
      <c r="L165" s="38"/>
      <c r="M165" s="38"/>
      <c r="N165" s="38"/>
      <c r="O165" s="54"/>
      <c r="P165" s="16"/>
    </row>
    <row r="167" spans="1:17" x14ac:dyDescent="0.35">
      <c r="A167" s="55" t="s">
        <v>1485</v>
      </c>
    </row>
    <row r="168" spans="1:17" x14ac:dyDescent="0.35">
      <c r="A168" s="1008"/>
      <c r="B168" s="1008"/>
      <c r="C168" s="984"/>
      <c r="D168" s="984">
        <v>2022</v>
      </c>
      <c r="E168" s="984">
        <v>2023</v>
      </c>
      <c r="F168" s="984">
        <v>2024</v>
      </c>
      <c r="G168" s="984">
        <v>2025</v>
      </c>
      <c r="H168" s="984">
        <v>2026</v>
      </c>
      <c r="I168" s="984">
        <v>2027</v>
      </c>
      <c r="J168" s="984">
        <v>2028</v>
      </c>
      <c r="K168" s="984">
        <v>2029</v>
      </c>
      <c r="L168" s="984">
        <v>2030</v>
      </c>
      <c r="M168" s="985">
        <v>2031</v>
      </c>
      <c r="N168" s="986" t="s">
        <v>1478</v>
      </c>
      <c r="O168" s="986" t="s">
        <v>1479</v>
      </c>
      <c r="Q168" s="62"/>
    </row>
    <row r="169" spans="1:17" x14ac:dyDescent="0.35">
      <c r="A169" s="1009" t="s">
        <v>1480</v>
      </c>
      <c r="B169" s="1009"/>
      <c r="C169" s="1015"/>
      <c r="D169" s="1015">
        <f t="shared" ref="D169:O169" si="9">D78/1000</f>
        <v>0</v>
      </c>
      <c r="E169" s="1015">
        <f t="shared" si="9"/>
        <v>6.8000000000000005E-2</v>
      </c>
      <c r="F169" s="1015">
        <f t="shared" si="9"/>
        <v>1.363</v>
      </c>
      <c r="G169" s="1015">
        <f t="shared" si="9"/>
        <v>2.4329999999999998</v>
      </c>
      <c r="H169" s="1015">
        <f t="shared" si="9"/>
        <v>2.8029999999999999</v>
      </c>
      <c r="I169" s="1015">
        <f t="shared" si="9"/>
        <v>1.7410000000000001</v>
      </c>
      <c r="J169" s="1015">
        <f t="shared" si="9"/>
        <v>0.56999999999999995</v>
      </c>
      <c r="K169" s="1015">
        <f t="shared" si="9"/>
        <v>3.5000000000000003E-2</v>
      </c>
      <c r="L169" s="1015">
        <f t="shared" si="9"/>
        <v>0</v>
      </c>
      <c r="M169" s="1015">
        <f t="shared" si="9"/>
        <v>0</v>
      </c>
      <c r="N169" s="1015">
        <f t="shared" si="9"/>
        <v>6.6669999999999998</v>
      </c>
      <c r="O169" s="1015">
        <f t="shared" si="9"/>
        <v>9.0129999999999999</v>
      </c>
      <c r="Q169" s="62"/>
    </row>
    <row r="170" spans="1:17" x14ac:dyDescent="0.35">
      <c r="A170" s="1009" t="s">
        <v>1481</v>
      </c>
      <c r="B170" s="1009"/>
      <c r="C170" s="1015"/>
      <c r="D170" s="1015">
        <f t="shared" ref="D170:O170" si="10">(D77+D70)/1000</f>
        <v>0</v>
      </c>
      <c r="E170" s="1015">
        <f t="shared" si="10"/>
        <v>0.81899999999999995</v>
      </c>
      <c r="F170" s="1015">
        <f t="shared" si="10"/>
        <v>2.4780000000000002</v>
      </c>
      <c r="G170" s="1015">
        <f t="shared" si="10"/>
        <v>4.0720000000000001</v>
      </c>
      <c r="H170" s="1015">
        <f t="shared" si="10"/>
        <v>5.4480000000000004</v>
      </c>
      <c r="I170" s="1015">
        <f t="shared" si="10"/>
        <v>4.8289999999999997</v>
      </c>
      <c r="J170" s="1015">
        <f t="shared" si="10"/>
        <v>3.2949999999999999</v>
      </c>
      <c r="K170" s="1015">
        <f t="shared" si="10"/>
        <v>1.98</v>
      </c>
      <c r="L170" s="1015">
        <f t="shared" si="10"/>
        <v>1.01</v>
      </c>
      <c r="M170" s="1015">
        <f t="shared" si="10"/>
        <v>0.40400000000000003</v>
      </c>
      <c r="N170" s="1015">
        <f t="shared" si="10"/>
        <v>12.817</v>
      </c>
      <c r="O170" s="1015">
        <f t="shared" si="10"/>
        <v>24.335000000000001</v>
      </c>
      <c r="Q170" s="62"/>
    </row>
    <row r="171" spans="1:17" x14ac:dyDescent="0.35">
      <c r="A171" s="1009" t="s">
        <v>1482</v>
      </c>
      <c r="B171" s="1009"/>
      <c r="C171" s="1015"/>
      <c r="D171" s="1015">
        <f t="shared" ref="D171:O171" si="11">(D69+D76)/1000</f>
        <v>0</v>
      </c>
      <c r="E171" s="1015">
        <f t="shared" si="11"/>
        <v>4.5430000000000001</v>
      </c>
      <c r="F171" s="1015">
        <f t="shared" si="11"/>
        <v>5.6079999999999997</v>
      </c>
      <c r="G171" s="1015">
        <f t="shared" si="11"/>
        <v>8.16</v>
      </c>
      <c r="H171" s="1015">
        <f t="shared" si="11"/>
        <v>10.069000000000001</v>
      </c>
      <c r="I171" s="1015">
        <f t="shared" si="11"/>
        <v>12.026999999999999</v>
      </c>
      <c r="J171" s="1015">
        <f t="shared" si="11"/>
        <v>13.826000000000001</v>
      </c>
      <c r="K171" s="1015">
        <f t="shared" si="11"/>
        <v>15.862</v>
      </c>
      <c r="L171" s="1015">
        <f t="shared" si="11"/>
        <v>17.890999999999998</v>
      </c>
      <c r="M171" s="1015">
        <f t="shared" si="11"/>
        <v>17.481000000000002</v>
      </c>
      <c r="N171" s="1015">
        <f t="shared" si="11"/>
        <v>28.38</v>
      </c>
      <c r="O171" s="1015">
        <f t="shared" si="11"/>
        <v>105.467</v>
      </c>
      <c r="Q171" s="62"/>
    </row>
    <row r="172" spans="1:17" x14ac:dyDescent="0.35">
      <c r="A172" s="1010" t="s">
        <v>52</v>
      </c>
      <c r="B172" s="1010"/>
      <c r="C172" s="1015"/>
      <c r="D172" s="1015">
        <f t="shared" ref="D172:O172" si="12">(D79+D74)/1000</f>
        <v>0</v>
      </c>
      <c r="E172" s="1015">
        <f t="shared" si="12"/>
        <v>1.2969999999999999</v>
      </c>
      <c r="F172" s="1015">
        <f t="shared" si="12"/>
        <v>3.8479999999999999</v>
      </c>
      <c r="G172" s="1015">
        <f t="shared" si="12"/>
        <v>6.4420000000000002</v>
      </c>
      <c r="H172" s="1015">
        <f t="shared" si="12"/>
        <v>9.532</v>
      </c>
      <c r="I172" s="1015">
        <f t="shared" si="12"/>
        <v>11.882</v>
      </c>
      <c r="J172" s="1015">
        <f t="shared" si="12"/>
        <v>11.727</v>
      </c>
      <c r="K172" s="1015">
        <f t="shared" si="12"/>
        <v>10.569000000000001</v>
      </c>
      <c r="L172" s="1015">
        <f t="shared" si="12"/>
        <v>8.8879999999999999</v>
      </c>
      <c r="M172" s="1015">
        <f t="shared" si="12"/>
        <v>7.1890000000000001</v>
      </c>
      <c r="N172" s="1015">
        <f t="shared" si="12"/>
        <v>21.117000000000001</v>
      </c>
      <c r="O172" s="1015">
        <f t="shared" si="12"/>
        <v>71.372</v>
      </c>
      <c r="Q172" s="62"/>
    </row>
    <row r="173" spans="1:17" x14ac:dyDescent="0.35">
      <c r="A173" s="1011" t="s">
        <v>596</v>
      </c>
      <c r="B173" s="1011"/>
      <c r="C173" s="1015"/>
      <c r="D173" s="1015"/>
      <c r="E173" s="1015"/>
      <c r="F173" s="1015"/>
      <c r="G173" s="1015"/>
      <c r="H173" s="1015"/>
      <c r="I173" s="1015"/>
      <c r="J173" s="1015"/>
      <c r="K173" s="1015"/>
      <c r="L173" s="1015"/>
      <c r="M173" s="1015"/>
      <c r="N173" s="1015"/>
      <c r="O173" s="1015"/>
      <c r="Q173" s="62"/>
    </row>
    <row r="174" spans="1:17" x14ac:dyDescent="0.35">
      <c r="A174" s="1012" t="s">
        <v>54</v>
      </c>
      <c r="B174" s="1012"/>
      <c r="C174" s="1015"/>
      <c r="D174" s="1015">
        <f t="shared" ref="D174:O174" si="13">D71/1000</f>
        <v>0</v>
      </c>
      <c r="E174" s="1015">
        <f t="shared" si="13"/>
        <v>0.11</v>
      </c>
      <c r="F174" s="1015">
        <f t="shared" si="13"/>
        <v>0.73899999999999999</v>
      </c>
      <c r="G174" s="1015">
        <f t="shared" si="13"/>
        <v>1.1950000000000001</v>
      </c>
      <c r="H174" s="1015">
        <f t="shared" si="13"/>
        <v>1.4970000000000001</v>
      </c>
      <c r="I174" s="1015">
        <f t="shared" si="13"/>
        <v>1.91</v>
      </c>
      <c r="J174" s="1015">
        <f t="shared" si="13"/>
        <v>2.4049999999999998</v>
      </c>
      <c r="K174" s="1015">
        <f t="shared" si="13"/>
        <v>2.9220000000000002</v>
      </c>
      <c r="L174" s="1015">
        <f t="shared" si="13"/>
        <v>3.4630000000000001</v>
      </c>
      <c r="M174" s="1015">
        <f t="shared" si="13"/>
        <v>4.0069999999999997</v>
      </c>
      <c r="N174" s="1015">
        <f t="shared" si="13"/>
        <v>3.5409999999999999</v>
      </c>
      <c r="O174" s="1015">
        <f t="shared" si="13"/>
        <v>18.248000000000001</v>
      </c>
      <c r="Q174" s="62"/>
    </row>
    <row r="175" spans="1:17" x14ac:dyDescent="0.35">
      <c r="A175" s="1012" t="s">
        <v>1483</v>
      </c>
      <c r="B175" s="1012"/>
      <c r="C175" s="1015"/>
      <c r="D175" s="1015">
        <f t="shared" ref="D175:O175" si="14">D72/1000</f>
        <v>0</v>
      </c>
      <c r="E175" s="1015">
        <f t="shared" si="14"/>
        <v>-0.41499999999999998</v>
      </c>
      <c r="F175" s="1015">
        <f t="shared" si="14"/>
        <v>2.7679999999999998</v>
      </c>
      <c r="G175" s="1015">
        <f t="shared" si="14"/>
        <v>-12.473000000000001</v>
      </c>
      <c r="H175" s="1015">
        <f t="shared" si="14"/>
        <v>-5.3739999999999997</v>
      </c>
      <c r="I175" s="1015">
        <f t="shared" si="14"/>
        <v>-25.515000000000001</v>
      </c>
      <c r="J175" s="1015">
        <f t="shared" si="14"/>
        <v>-43.975000000000001</v>
      </c>
      <c r="K175" s="1015">
        <f t="shared" si="14"/>
        <v>-46.426000000000002</v>
      </c>
      <c r="L175" s="1015">
        <f t="shared" si="14"/>
        <v>-56.228000000000002</v>
      </c>
      <c r="M175" s="1015">
        <f t="shared" si="14"/>
        <v>-60.581000000000003</v>
      </c>
      <c r="N175" s="1015">
        <f t="shared" si="14"/>
        <v>-15.494</v>
      </c>
      <c r="O175" s="1015">
        <f t="shared" si="14"/>
        <v>-248.21899999999999</v>
      </c>
      <c r="Q175" s="62"/>
    </row>
    <row r="176" spans="1:17" x14ac:dyDescent="0.35">
      <c r="A176" s="1013" t="s">
        <v>57</v>
      </c>
      <c r="B176" s="1013"/>
      <c r="C176" s="1015"/>
      <c r="D176" s="1015">
        <f t="shared" ref="D176:O176" si="15">(D80+D73)/1000</f>
        <v>-0.622</v>
      </c>
      <c r="E176" s="1015">
        <f t="shared" si="15"/>
        <v>21.89</v>
      </c>
      <c r="F176" s="1015">
        <f t="shared" si="15"/>
        <v>15.439</v>
      </c>
      <c r="G176" s="1015">
        <f t="shared" si="15"/>
        <v>16.966999999999999</v>
      </c>
      <c r="H176" s="1015">
        <f t="shared" si="15"/>
        <v>0.72799999999999998</v>
      </c>
      <c r="I176" s="1015">
        <f t="shared" si="15"/>
        <v>7.657</v>
      </c>
      <c r="J176" s="1015">
        <f t="shared" si="15"/>
        <v>4.5590000000000002</v>
      </c>
      <c r="K176" s="1015">
        <f t="shared" si="15"/>
        <v>2.4649999999999999</v>
      </c>
      <c r="L176" s="1015">
        <f t="shared" si="15"/>
        <v>1.444</v>
      </c>
      <c r="M176" s="1015">
        <f t="shared" si="15"/>
        <v>0.77300000000000002</v>
      </c>
      <c r="N176" s="1015">
        <f t="shared" si="15"/>
        <v>54.402000000000001</v>
      </c>
      <c r="O176" s="1015">
        <f t="shared" si="15"/>
        <v>71.3</v>
      </c>
      <c r="Q176" s="62"/>
    </row>
    <row r="177" spans="1:17" x14ac:dyDescent="0.35">
      <c r="A177" s="1014" t="s">
        <v>1551</v>
      </c>
      <c r="B177" s="1014"/>
      <c r="C177" s="1015"/>
      <c r="D177" s="1002">
        <f t="shared" ref="D177:O177" si="16">D84/1000</f>
        <v>0</v>
      </c>
      <c r="E177" s="1002">
        <f t="shared" si="16"/>
        <v>-3.1549999999999998</v>
      </c>
      <c r="F177" s="1002">
        <f t="shared" si="16"/>
        <v>-2.2309999999999999</v>
      </c>
      <c r="G177" s="1002">
        <f t="shared" si="16"/>
        <v>-1.6080000000000001</v>
      </c>
      <c r="H177" s="1002">
        <f t="shared" si="16"/>
        <v>-0.77</v>
      </c>
      <c r="I177" s="1002">
        <f t="shared" si="16"/>
        <v>-0.98299999999999998</v>
      </c>
      <c r="J177" s="1002">
        <f t="shared" si="16"/>
        <v>-1.2110000000000001</v>
      </c>
      <c r="K177" s="1002">
        <f t="shared" si="16"/>
        <v>-1.4710000000000001</v>
      </c>
      <c r="L177" s="1002">
        <f t="shared" si="16"/>
        <v>-1.81</v>
      </c>
      <c r="M177" s="1002">
        <f t="shared" si="16"/>
        <v>-2.3250000000000002</v>
      </c>
      <c r="N177" s="1002">
        <f t="shared" si="16"/>
        <v>-7.7670000000000003</v>
      </c>
      <c r="O177" s="1002">
        <f t="shared" si="16"/>
        <v>-15.566000000000001</v>
      </c>
      <c r="Q177" s="62"/>
    </row>
    <row r="178" spans="1:17" x14ac:dyDescent="0.35">
      <c r="A178" s="1014" t="s">
        <v>239</v>
      </c>
      <c r="B178" s="1014"/>
      <c r="C178" s="1015"/>
      <c r="D178" s="1002">
        <f t="shared" ref="D178:O178" si="17">D85/1000</f>
        <v>0</v>
      </c>
      <c r="E178" s="1002">
        <f t="shared" si="17"/>
        <v>0.45200000000000001</v>
      </c>
      <c r="F178" s="1002">
        <f t="shared" si="17"/>
        <v>-8.67</v>
      </c>
      <c r="G178" s="1002">
        <f t="shared" si="17"/>
        <v>-4.5270000000000001</v>
      </c>
      <c r="H178" s="1002">
        <f t="shared" si="17"/>
        <v>-0.70499999999999996</v>
      </c>
      <c r="I178" s="1002">
        <f t="shared" si="17"/>
        <v>15.813000000000001</v>
      </c>
      <c r="J178" s="1002">
        <f t="shared" si="17"/>
        <v>20.372</v>
      </c>
      <c r="K178" s="1002">
        <f t="shared" si="17"/>
        <v>24.847000000000001</v>
      </c>
      <c r="L178" s="1002">
        <f t="shared" si="17"/>
        <v>28.113</v>
      </c>
      <c r="M178" s="1002">
        <f t="shared" si="17"/>
        <v>24.777000000000001</v>
      </c>
      <c r="N178" s="1002">
        <f t="shared" si="17"/>
        <v>-13.451000000000001</v>
      </c>
      <c r="O178" s="1002">
        <f t="shared" si="17"/>
        <v>100.468</v>
      </c>
      <c r="Q178" s="62"/>
    </row>
    <row r="179" spans="1:17" x14ac:dyDescent="0.35">
      <c r="A179" s="1014" t="s">
        <v>106</v>
      </c>
      <c r="B179" s="1014"/>
      <c r="C179" s="1015"/>
      <c r="D179" s="1002">
        <f t="shared" ref="D179:O179" si="18">D83/1000</f>
        <v>0</v>
      </c>
      <c r="E179" s="1002">
        <f t="shared" si="18"/>
        <v>35.317</v>
      </c>
      <c r="F179" s="1002">
        <f t="shared" si="18"/>
        <v>36.033000000000001</v>
      </c>
      <c r="G179" s="1002">
        <f t="shared" si="18"/>
        <v>21.076000000000001</v>
      </c>
      <c r="H179" s="1002">
        <f t="shared" si="18"/>
        <v>13.346</v>
      </c>
      <c r="I179" s="1002">
        <f t="shared" si="18"/>
        <v>27.507999999999999</v>
      </c>
      <c r="J179" s="1002">
        <f t="shared" si="18"/>
        <v>35.85</v>
      </c>
      <c r="K179" s="1002">
        <f t="shared" si="18"/>
        <v>18.64</v>
      </c>
      <c r="L179" s="1002">
        <f t="shared" si="18"/>
        <v>8.3940000000000001</v>
      </c>
      <c r="M179" s="1002">
        <f t="shared" si="18"/>
        <v>7.9820000000000002</v>
      </c>
      <c r="N179" s="1002">
        <f t="shared" si="18"/>
        <v>105.76900000000001</v>
      </c>
      <c r="O179" s="1002">
        <f t="shared" si="18"/>
        <v>204.14400000000001</v>
      </c>
      <c r="Q179" s="62"/>
    </row>
    <row r="182" spans="1:17" x14ac:dyDescent="0.35">
      <c r="A182" s="55" t="s">
        <v>1484</v>
      </c>
    </row>
    <row r="183" spans="1:17" x14ac:dyDescent="0.35">
      <c r="A183" s="1008"/>
      <c r="B183" s="1008"/>
      <c r="C183" s="1008"/>
      <c r="D183" s="1008" t="s">
        <v>183</v>
      </c>
      <c r="E183" s="1008" t="s">
        <v>184</v>
      </c>
      <c r="F183" s="1008" t="s">
        <v>185</v>
      </c>
      <c r="G183" s="1008" t="s">
        <v>186</v>
      </c>
      <c r="H183" s="1008" t="s">
        <v>187</v>
      </c>
      <c r="I183" s="1008" t="s">
        <v>188</v>
      </c>
      <c r="J183" s="1008" t="s">
        <v>189</v>
      </c>
      <c r="K183" s="1008" t="s">
        <v>190</v>
      </c>
      <c r="L183" s="1008" t="s">
        <v>191</v>
      </c>
      <c r="M183" s="1008" t="s">
        <v>175</v>
      </c>
      <c r="N183" s="1008" t="s">
        <v>176</v>
      </c>
      <c r="O183" s="1008" t="s">
        <v>177</v>
      </c>
      <c r="Q183" s="62"/>
    </row>
    <row r="184" spans="1:17" x14ac:dyDescent="0.35">
      <c r="A184" s="1009" t="s">
        <v>1480</v>
      </c>
      <c r="B184" s="1009"/>
      <c r="C184" s="1016"/>
      <c r="D184" s="1016">
        <f t="shared" ref="D184:D191" si="19">D169</f>
        <v>0</v>
      </c>
      <c r="E184" s="1016">
        <f>D184</f>
        <v>0</v>
      </c>
      <c r="F184" s="1016">
        <f t="shared" ref="F184:F191" si="20">E169</f>
        <v>6.8000000000000005E-2</v>
      </c>
      <c r="G184" s="1016">
        <f>F184</f>
        <v>6.8000000000000005E-2</v>
      </c>
      <c r="H184" s="1016">
        <f>G184</f>
        <v>6.8000000000000005E-2</v>
      </c>
      <c r="I184" s="1016">
        <f>H184</f>
        <v>6.8000000000000005E-2</v>
      </c>
      <c r="J184" s="1016">
        <f t="shared" ref="J184:J191" si="21">F169</f>
        <v>1.363</v>
      </c>
      <c r="K184" s="1016">
        <f t="shared" ref="K184:M191" si="22">J184</f>
        <v>1.363</v>
      </c>
      <c r="L184" s="1016">
        <f t="shared" si="22"/>
        <v>1.363</v>
      </c>
      <c r="M184" s="1016">
        <f>L184</f>
        <v>1.363</v>
      </c>
      <c r="N184" s="1016">
        <f t="shared" ref="N184:N191" si="23">G169</f>
        <v>2.4329999999999998</v>
      </c>
      <c r="O184" s="1016">
        <f>N184</f>
        <v>2.4329999999999998</v>
      </c>
      <c r="Q184" s="62"/>
    </row>
    <row r="185" spans="1:17" x14ac:dyDescent="0.35">
      <c r="A185" s="1009" t="s">
        <v>1481</v>
      </c>
      <c r="B185" s="1009"/>
      <c r="C185" s="1016"/>
      <c r="D185" s="1016">
        <f t="shared" si="19"/>
        <v>0</v>
      </c>
      <c r="E185" s="1016">
        <f t="shared" ref="E185:E191" si="24">D185</f>
        <v>0</v>
      </c>
      <c r="F185" s="1016">
        <f t="shared" si="20"/>
        <v>0.81899999999999995</v>
      </c>
      <c r="G185" s="1016">
        <f t="shared" ref="G185:I191" si="25">F185</f>
        <v>0.81899999999999995</v>
      </c>
      <c r="H185" s="1016">
        <f t="shared" si="25"/>
        <v>0.81899999999999995</v>
      </c>
      <c r="I185" s="1016">
        <f t="shared" si="25"/>
        <v>0.81899999999999995</v>
      </c>
      <c r="J185" s="1016">
        <f t="shared" si="21"/>
        <v>2.4780000000000002</v>
      </c>
      <c r="K185" s="1016">
        <f t="shared" si="22"/>
        <v>2.4780000000000002</v>
      </c>
      <c r="L185" s="1016">
        <f t="shared" si="22"/>
        <v>2.4780000000000002</v>
      </c>
      <c r="M185" s="1016">
        <f t="shared" si="22"/>
        <v>2.4780000000000002</v>
      </c>
      <c r="N185" s="1016">
        <f t="shared" si="23"/>
        <v>4.0720000000000001</v>
      </c>
      <c r="O185" s="1016">
        <f t="shared" ref="O185:O191" si="26">N185</f>
        <v>4.0720000000000001</v>
      </c>
      <c r="Q185" s="62"/>
    </row>
    <row r="186" spans="1:17" x14ac:dyDescent="0.35">
      <c r="A186" s="1009" t="s">
        <v>1482</v>
      </c>
      <c r="B186" s="1009"/>
      <c r="C186" s="1016"/>
      <c r="D186" s="1016">
        <f t="shared" si="19"/>
        <v>0</v>
      </c>
      <c r="E186" s="1016">
        <f t="shared" si="24"/>
        <v>0</v>
      </c>
      <c r="F186" s="1016">
        <f t="shared" si="20"/>
        <v>4.5430000000000001</v>
      </c>
      <c r="G186" s="1016">
        <f t="shared" si="25"/>
        <v>4.5430000000000001</v>
      </c>
      <c r="H186" s="1016">
        <f t="shared" si="25"/>
        <v>4.5430000000000001</v>
      </c>
      <c r="I186" s="1016">
        <f t="shared" si="25"/>
        <v>4.5430000000000001</v>
      </c>
      <c r="J186" s="1016">
        <f t="shared" si="21"/>
        <v>5.6079999999999997</v>
      </c>
      <c r="K186" s="1016">
        <f t="shared" si="22"/>
        <v>5.6079999999999997</v>
      </c>
      <c r="L186" s="1016">
        <f t="shared" si="22"/>
        <v>5.6079999999999997</v>
      </c>
      <c r="M186" s="1016">
        <f t="shared" si="22"/>
        <v>5.6079999999999997</v>
      </c>
      <c r="N186" s="1016">
        <f t="shared" si="23"/>
        <v>8.16</v>
      </c>
      <c r="O186" s="1016">
        <f t="shared" si="26"/>
        <v>8.16</v>
      </c>
      <c r="Q186" s="62"/>
    </row>
    <row r="187" spans="1:17" x14ac:dyDescent="0.35">
      <c r="A187" s="1010" t="s">
        <v>52</v>
      </c>
      <c r="B187" s="1010"/>
      <c r="C187" s="1016"/>
      <c r="D187" s="1016">
        <f t="shared" si="19"/>
        <v>0</v>
      </c>
      <c r="E187" s="1016">
        <f t="shared" si="24"/>
        <v>0</v>
      </c>
      <c r="F187" s="1016">
        <f t="shared" si="20"/>
        <v>1.2969999999999999</v>
      </c>
      <c r="G187" s="1016">
        <f t="shared" si="25"/>
        <v>1.2969999999999999</v>
      </c>
      <c r="H187" s="1016">
        <f t="shared" si="25"/>
        <v>1.2969999999999999</v>
      </c>
      <c r="I187" s="1016">
        <f t="shared" si="25"/>
        <v>1.2969999999999999</v>
      </c>
      <c r="J187" s="1016">
        <f t="shared" si="21"/>
        <v>3.8479999999999999</v>
      </c>
      <c r="K187" s="1016">
        <f t="shared" si="22"/>
        <v>3.8479999999999999</v>
      </c>
      <c r="L187" s="1016">
        <f t="shared" si="22"/>
        <v>3.8479999999999999</v>
      </c>
      <c r="M187" s="1016">
        <f t="shared" si="22"/>
        <v>3.8479999999999999</v>
      </c>
      <c r="N187" s="1016">
        <f t="shared" si="23"/>
        <v>6.4420000000000002</v>
      </c>
      <c r="O187" s="1016">
        <f t="shared" si="26"/>
        <v>6.4420000000000002</v>
      </c>
      <c r="Q187" s="62"/>
    </row>
    <row r="188" spans="1:17" x14ac:dyDescent="0.35">
      <c r="A188" s="1011" t="s">
        <v>596</v>
      </c>
      <c r="B188" s="1011"/>
      <c r="C188" s="1016"/>
      <c r="D188" s="1016">
        <f t="shared" si="19"/>
        <v>0</v>
      </c>
      <c r="E188" s="1016">
        <f t="shared" si="24"/>
        <v>0</v>
      </c>
      <c r="F188" s="1016">
        <f t="shared" si="20"/>
        <v>0</v>
      </c>
      <c r="G188" s="1016">
        <f t="shared" si="25"/>
        <v>0</v>
      </c>
      <c r="H188" s="1016">
        <f t="shared" si="25"/>
        <v>0</v>
      </c>
      <c r="I188" s="1016">
        <f t="shared" si="25"/>
        <v>0</v>
      </c>
      <c r="J188" s="1016">
        <f t="shared" si="21"/>
        <v>0</v>
      </c>
      <c r="K188" s="1016">
        <f t="shared" si="22"/>
        <v>0</v>
      </c>
      <c r="L188" s="1016">
        <f t="shared" si="22"/>
        <v>0</v>
      </c>
      <c r="M188" s="1016">
        <f t="shared" si="22"/>
        <v>0</v>
      </c>
      <c r="N188" s="1016">
        <f t="shared" si="23"/>
        <v>0</v>
      </c>
      <c r="O188" s="1016">
        <f t="shared" si="26"/>
        <v>0</v>
      </c>
      <c r="Q188" s="62"/>
    </row>
    <row r="189" spans="1:17" x14ac:dyDescent="0.35">
      <c r="A189" s="1012" t="s">
        <v>54</v>
      </c>
      <c r="B189" s="1012"/>
      <c r="C189" s="1016"/>
      <c r="D189" s="1016">
        <f t="shared" si="19"/>
        <v>0</v>
      </c>
      <c r="E189" s="1016">
        <f t="shared" si="24"/>
        <v>0</v>
      </c>
      <c r="F189" s="1016">
        <f t="shared" si="20"/>
        <v>0.11</v>
      </c>
      <c r="G189" s="1016">
        <f t="shared" si="25"/>
        <v>0.11</v>
      </c>
      <c r="H189" s="1016">
        <f t="shared" si="25"/>
        <v>0.11</v>
      </c>
      <c r="I189" s="1016">
        <f t="shared" si="25"/>
        <v>0.11</v>
      </c>
      <c r="J189" s="1016">
        <f t="shared" si="21"/>
        <v>0.73899999999999999</v>
      </c>
      <c r="K189" s="1016">
        <f t="shared" si="22"/>
        <v>0.73899999999999999</v>
      </c>
      <c r="L189" s="1016">
        <f t="shared" si="22"/>
        <v>0.73899999999999999</v>
      </c>
      <c r="M189" s="1016">
        <f t="shared" si="22"/>
        <v>0.73899999999999999</v>
      </c>
      <c r="N189" s="1016">
        <f t="shared" si="23"/>
        <v>1.1950000000000001</v>
      </c>
      <c r="O189" s="1016">
        <f t="shared" si="26"/>
        <v>1.1950000000000001</v>
      </c>
      <c r="Q189" s="62"/>
    </row>
    <row r="190" spans="1:17" x14ac:dyDescent="0.35">
      <c r="A190" s="1012" t="s">
        <v>1483</v>
      </c>
      <c r="B190" s="1012"/>
      <c r="C190" s="1016"/>
      <c r="D190" s="1016">
        <f t="shared" si="19"/>
        <v>0</v>
      </c>
      <c r="E190" s="1016">
        <f t="shared" si="24"/>
        <v>0</v>
      </c>
      <c r="F190" s="1016">
        <f t="shared" si="20"/>
        <v>-0.41499999999999998</v>
      </c>
      <c r="G190" s="1016">
        <f t="shared" si="25"/>
        <v>-0.41499999999999998</v>
      </c>
      <c r="H190" s="1016">
        <f t="shared" si="25"/>
        <v>-0.41499999999999998</v>
      </c>
      <c r="I190" s="1016">
        <f t="shared" si="25"/>
        <v>-0.41499999999999998</v>
      </c>
      <c r="J190" s="1016">
        <f t="shared" si="21"/>
        <v>2.7679999999999998</v>
      </c>
      <c r="K190" s="1016">
        <f t="shared" si="22"/>
        <v>2.7679999999999998</v>
      </c>
      <c r="L190" s="1016">
        <f t="shared" si="22"/>
        <v>2.7679999999999998</v>
      </c>
      <c r="M190" s="1016">
        <f t="shared" si="22"/>
        <v>2.7679999999999998</v>
      </c>
      <c r="N190" s="1016">
        <f t="shared" si="23"/>
        <v>-12.473000000000001</v>
      </c>
      <c r="O190" s="1016">
        <f t="shared" si="26"/>
        <v>-12.473000000000001</v>
      </c>
      <c r="Q190" s="62"/>
    </row>
    <row r="191" spans="1:17" x14ac:dyDescent="0.35">
      <c r="A191" s="1013" t="s">
        <v>57</v>
      </c>
      <c r="B191" s="1013"/>
      <c r="C191" s="1016"/>
      <c r="D191" s="1016">
        <f t="shared" si="19"/>
        <v>-0.622</v>
      </c>
      <c r="E191" s="1016">
        <f t="shared" si="24"/>
        <v>-0.622</v>
      </c>
      <c r="F191" s="1016">
        <f t="shared" si="20"/>
        <v>21.89</v>
      </c>
      <c r="G191" s="1016">
        <f t="shared" si="25"/>
        <v>21.89</v>
      </c>
      <c r="H191" s="1016">
        <f t="shared" si="25"/>
        <v>21.89</v>
      </c>
      <c r="I191" s="1016">
        <f t="shared" si="25"/>
        <v>21.89</v>
      </c>
      <c r="J191" s="1016">
        <f t="shared" si="21"/>
        <v>15.439</v>
      </c>
      <c r="K191" s="1016">
        <f t="shared" si="22"/>
        <v>15.439</v>
      </c>
      <c r="L191" s="1016">
        <f t="shared" si="22"/>
        <v>15.439</v>
      </c>
      <c r="M191" s="1016">
        <f t="shared" si="22"/>
        <v>15.439</v>
      </c>
      <c r="N191" s="1016">
        <f t="shared" si="23"/>
        <v>16.966999999999999</v>
      </c>
      <c r="O191" s="1016">
        <f t="shared" si="26"/>
        <v>16.966999999999999</v>
      </c>
      <c r="Q191" s="62"/>
    </row>
    <row r="192" spans="1:17" x14ac:dyDescent="0.35">
      <c r="A192" s="1014" t="s">
        <v>549</v>
      </c>
      <c r="B192" s="1014"/>
      <c r="C192" s="1016"/>
      <c r="D192" s="1002">
        <f t="shared" ref="D192:D194" si="27">D177</f>
        <v>0</v>
      </c>
      <c r="E192" s="1002">
        <f t="shared" ref="E192:E194" si="28">D192</f>
        <v>0</v>
      </c>
      <c r="F192" s="1002">
        <f t="shared" ref="F192:F194" si="29">E177</f>
        <v>-3.1549999999999998</v>
      </c>
      <c r="G192" s="1002">
        <f t="shared" ref="G192:G194" si="30">F192</f>
        <v>-3.1549999999999998</v>
      </c>
      <c r="H192" s="1002">
        <f t="shared" ref="H192:H194" si="31">G192</f>
        <v>-3.1549999999999998</v>
      </c>
      <c r="I192" s="1002">
        <f t="shared" ref="I192:I194" si="32">H192</f>
        <v>-3.1549999999999998</v>
      </c>
      <c r="J192" s="1002">
        <f t="shared" ref="J192:J194" si="33">F177</f>
        <v>-2.2309999999999999</v>
      </c>
      <c r="K192" s="1002">
        <f t="shared" ref="K192:K194" si="34">J192</f>
        <v>-2.2309999999999999</v>
      </c>
      <c r="L192" s="1002">
        <f t="shared" ref="L192:L194" si="35">K192</f>
        <v>-2.2309999999999999</v>
      </c>
      <c r="M192" s="1002">
        <f t="shared" ref="M192:M194" si="36">L192</f>
        <v>-2.2309999999999999</v>
      </c>
      <c r="N192" s="1002">
        <f t="shared" ref="N192:N194" si="37">G177</f>
        <v>-1.6080000000000001</v>
      </c>
      <c r="O192" s="1002">
        <f t="shared" ref="O192:O194" si="38">N192</f>
        <v>-1.6080000000000001</v>
      </c>
      <c r="Q192" s="62"/>
    </row>
    <row r="193" spans="1:17" x14ac:dyDescent="0.35">
      <c r="A193" s="1014" t="s">
        <v>547</v>
      </c>
      <c r="B193" s="1014"/>
      <c r="C193" s="1016"/>
      <c r="D193" s="1002">
        <f t="shared" si="27"/>
        <v>0</v>
      </c>
      <c r="E193" s="1002">
        <f t="shared" si="28"/>
        <v>0</v>
      </c>
      <c r="F193" s="1002">
        <f t="shared" si="29"/>
        <v>0.45200000000000001</v>
      </c>
      <c r="G193" s="1002">
        <f t="shared" si="30"/>
        <v>0.45200000000000001</v>
      </c>
      <c r="H193" s="1002">
        <f t="shared" si="31"/>
        <v>0.45200000000000001</v>
      </c>
      <c r="I193" s="1002">
        <f t="shared" si="32"/>
        <v>0.45200000000000001</v>
      </c>
      <c r="J193" s="1002">
        <f t="shared" si="33"/>
        <v>-8.67</v>
      </c>
      <c r="K193" s="1002">
        <f t="shared" si="34"/>
        <v>-8.67</v>
      </c>
      <c r="L193" s="1002">
        <f t="shared" si="35"/>
        <v>-8.67</v>
      </c>
      <c r="M193" s="1002">
        <f t="shared" si="36"/>
        <v>-8.67</v>
      </c>
      <c r="N193" s="1002">
        <f t="shared" si="37"/>
        <v>-4.5270000000000001</v>
      </c>
      <c r="O193" s="1002">
        <f t="shared" si="38"/>
        <v>-4.5270000000000001</v>
      </c>
      <c r="Q193" s="62"/>
    </row>
    <row r="194" spans="1:17" x14ac:dyDescent="0.35">
      <c r="A194" s="1014" t="s">
        <v>106</v>
      </c>
      <c r="B194" s="1014"/>
      <c r="C194" s="1016"/>
      <c r="D194" s="1002">
        <f t="shared" si="27"/>
        <v>0</v>
      </c>
      <c r="E194" s="1002">
        <f t="shared" si="28"/>
        <v>0</v>
      </c>
      <c r="F194" s="1002">
        <f t="shared" si="29"/>
        <v>35.317</v>
      </c>
      <c r="G194" s="1002">
        <f t="shared" si="30"/>
        <v>35.317</v>
      </c>
      <c r="H194" s="1002">
        <f t="shared" si="31"/>
        <v>35.317</v>
      </c>
      <c r="I194" s="1002">
        <f t="shared" si="32"/>
        <v>35.317</v>
      </c>
      <c r="J194" s="1002">
        <f t="shared" si="33"/>
        <v>36.033000000000001</v>
      </c>
      <c r="K194" s="1002">
        <f t="shared" si="34"/>
        <v>36.033000000000001</v>
      </c>
      <c r="L194" s="1002">
        <f t="shared" si="35"/>
        <v>36.033000000000001</v>
      </c>
      <c r="M194" s="1002">
        <f t="shared" si="36"/>
        <v>36.033000000000001</v>
      </c>
      <c r="N194" s="1002">
        <f t="shared" si="37"/>
        <v>21.076000000000001</v>
      </c>
      <c r="O194" s="1002">
        <f t="shared" si="38"/>
        <v>21.076000000000001</v>
      </c>
      <c r="Q194" s="62"/>
    </row>
    <row r="197" spans="1:17" x14ac:dyDescent="0.35">
      <c r="A197" s="55" t="s">
        <v>1486</v>
      </c>
    </row>
    <row r="198" spans="1:17" x14ac:dyDescent="0.35">
      <c r="A198" s="1010" t="s">
        <v>52</v>
      </c>
      <c r="D198" s="1017">
        <v>0</v>
      </c>
      <c r="E198" s="1017">
        <v>0</v>
      </c>
      <c r="F198" s="1017">
        <v>2.3250000000000002</v>
      </c>
      <c r="G198" s="1017">
        <v>2.3250000000000002</v>
      </c>
      <c r="H198" s="1017">
        <v>2.3250000000000002</v>
      </c>
      <c r="I198" s="1017">
        <v>2.3250000000000002</v>
      </c>
      <c r="J198" s="1017">
        <v>5.5830000000000002</v>
      </c>
      <c r="K198" s="1017">
        <v>5.5830000000000002</v>
      </c>
      <c r="L198" s="1017">
        <v>5.5830000000000002</v>
      </c>
      <c r="M198" s="1017">
        <v>5.5830000000000002</v>
      </c>
      <c r="N198" s="1017">
        <v>8.0220000000000002</v>
      </c>
      <c r="O198" s="1017">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1.453125" defaultRowHeight="14.5" x14ac:dyDescent="0.35"/>
  <cols>
    <col min="1" max="1" width="77.7265625" customWidth="1"/>
    <col min="2" max="2" width="21" customWidth="1"/>
    <col min="5" max="5" width="37.453125" customWidth="1"/>
    <col min="6" max="6" width="16" customWidth="1"/>
  </cols>
  <sheetData>
    <row r="1" spans="1:6" x14ac:dyDescent="0.35">
      <c r="A1" s="156" t="s">
        <v>622</v>
      </c>
    </row>
    <row r="2" spans="1:6" ht="20.5" customHeight="1" x14ac:dyDescent="0.4">
      <c r="A2" s="1095" t="s">
        <v>623</v>
      </c>
      <c r="B2" s="1095" t="s">
        <v>624</v>
      </c>
      <c r="C2" s="1095" t="s">
        <v>625</v>
      </c>
      <c r="D2" s="1095" t="s">
        <v>626</v>
      </c>
    </row>
    <row r="3" spans="1:6" x14ac:dyDescent="0.35">
      <c r="A3" s="1096" t="s">
        <v>627</v>
      </c>
      <c r="B3" s="976">
        <f>SUM(B4:B7)</f>
        <v>325</v>
      </c>
      <c r="E3" s="1384" t="s">
        <v>628</v>
      </c>
      <c r="F3" s="1384"/>
    </row>
    <row r="4" spans="1:6" x14ac:dyDescent="0.35">
      <c r="A4" s="952" t="s">
        <v>629</v>
      </c>
      <c r="B4" s="976">
        <v>284</v>
      </c>
      <c r="E4" s="181" t="s">
        <v>51</v>
      </c>
      <c r="F4" s="181" t="s">
        <v>630</v>
      </c>
    </row>
    <row r="5" spans="1:6" x14ac:dyDescent="0.35">
      <c r="A5" s="952" t="s">
        <v>475</v>
      </c>
      <c r="B5" s="976">
        <v>20</v>
      </c>
      <c r="E5" s="156" t="s">
        <v>150</v>
      </c>
      <c r="F5" s="156">
        <f>SUM(B11:B16)</f>
        <v>82</v>
      </c>
    </row>
    <row r="6" spans="1:6" x14ac:dyDescent="0.35">
      <c r="A6" s="952" t="s">
        <v>482</v>
      </c>
      <c r="B6" s="976">
        <v>15</v>
      </c>
      <c r="E6" s="156" t="s">
        <v>49</v>
      </c>
      <c r="F6" s="156">
        <f>B23</f>
        <v>3</v>
      </c>
    </row>
    <row r="7" spans="1:6" x14ac:dyDescent="0.35">
      <c r="A7" s="952" t="s">
        <v>483</v>
      </c>
      <c r="B7" s="976">
        <v>6</v>
      </c>
      <c r="E7" s="156" t="s">
        <v>391</v>
      </c>
      <c r="F7" s="156">
        <f>B27-B28</f>
        <v>29</v>
      </c>
    </row>
    <row r="8" spans="1:6" x14ac:dyDescent="0.35">
      <c r="A8" s="181" t="s">
        <v>631</v>
      </c>
      <c r="B8" s="976">
        <v>121</v>
      </c>
      <c r="E8" s="156" t="s">
        <v>408</v>
      </c>
      <c r="F8" s="156">
        <f>B42</f>
        <v>2</v>
      </c>
    </row>
    <row r="9" spans="1:6" x14ac:dyDescent="0.35">
      <c r="A9" s="1097" t="s">
        <v>632</v>
      </c>
      <c r="B9" s="976">
        <v>166</v>
      </c>
      <c r="E9" s="156" t="s">
        <v>633</v>
      </c>
      <c r="F9" s="156">
        <f>B18+B20+B21</f>
        <v>34</v>
      </c>
    </row>
    <row r="10" spans="1:6" x14ac:dyDescent="0.35">
      <c r="A10" s="1094" t="s">
        <v>634</v>
      </c>
      <c r="B10" s="976">
        <v>82</v>
      </c>
      <c r="E10" s="181" t="s">
        <v>635</v>
      </c>
      <c r="F10" s="181" t="s">
        <v>636</v>
      </c>
    </row>
    <row r="11" spans="1:6" x14ac:dyDescent="0.35">
      <c r="A11" s="952" t="s">
        <v>637</v>
      </c>
      <c r="B11" s="976">
        <v>54</v>
      </c>
      <c r="E11" s="156" t="s">
        <v>364</v>
      </c>
      <c r="F11" s="156">
        <f>B4</f>
        <v>284</v>
      </c>
    </row>
    <row r="12" spans="1:6" x14ac:dyDescent="0.35">
      <c r="A12" s="952" t="s">
        <v>638</v>
      </c>
      <c r="B12" s="976">
        <v>20</v>
      </c>
      <c r="E12" s="156" t="s">
        <v>639</v>
      </c>
      <c r="F12" s="156">
        <f>B5</f>
        <v>20</v>
      </c>
    </row>
    <row r="13" spans="1:6" x14ac:dyDescent="0.35">
      <c r="A13" s="952" t="s">
        <v>640</v>
      </c>
      <c r="B13" s="976">
        <v>4</v>
      </c>
      <c r="E13" s="156" t="s">
        <v>482</v>
      </c>
      <c r="F13" s="156">
        <f>B6</f>
        <v>15</v>
      </c>
    </row>
    <row r="14" spans="1:6" ht="27.65" customHeight="1" x14ac:dyDescent="0.35">
      <c r="A14" s="952" t="s">
        <v>641</v>
      </c>
      <c r="B14" s="976">
        <v>2</v>
      </c>
      <c r="E14" s="178" t="s">
        <v>483</v>
      </c>
      <c r="F14" s="156">
        <f>B7</f>
        <v>6</v>
      </c>
    </row>
    <row r="15" spans="1:6" ht="27.65" customHeight="1" x14ac:dyDescent="0.35">
      <c r="A15" s="952" t="s">
        <v>642</v>
      </c>
      <c r="B15" s="976">
        <v>1</v>
      </c>
      <c r="E15" s="178" t="s">
        <v>643</v>
      </c>
      <c r="F15" s="156">
        <f>B28</f>
        <v>15</v>
      </c>
    </row>
    <row r="16" spans="1:6" x14ac:dyDescent="0.35">
      <c r="A16" s="952" t="s">
        <v>644</v>
      </c>
      <c r="B16" s="976">
        <v>1</v>
      </c>
      <c r="E16" s="156" t="s">
        <v>645</v>
      </c>
      <c r="F16" s="156">
        <f>B37</f>
        <v>12</v>
      </c>
    </row>
    <row r="17" spans="1:6" x14ac:dyDescent="0.35">
      <c r="A17" s="181" t="s">
        <v>646</v>
      </c>
      <c r="B17" s="976">
        <v>72</v>
      </c>
      <c r="E17" s="156" t="s">
        <v>647</v>
      </c>
      <c r="F17" s="156">
        <f>B38</f>
        <v>10</v>
      </c>
    </row>
    <row r="18" spans="1:6" x14ac:dyDescent="0.35">
      <c r="A18" s="952" t="s">
        <v>648</v>
      </c>
      <c r="B18" s="976">
        <v>22</v>
      </c>
      <c r="C18" s="156" t="s">
        <v>649</v>
      </c>
    </row>
    <row r="19" spans="1:6" x14ac:dyDescent="0.35">
      <c r="A19" s="952" t="s">
        <v>650</v>
      </c>
      <c r="B19" s="976">
        <v>20</v>
      </c>
      <c r="C19" s="156" t="s">
        <v>109</v>
      </c>
    </row>
    <row r="20" spans="1:6" x14ac:dyDescent="0.35">
      <c r="A20" s="952" t="s">
        <v>651</v>
      </c>
      <c r="B20" s="976">
        <v>8</v>
      </c>
      <c r="C20" s="156" t="s">
        <v>649</v>
      </c>
    </row>
    <row r="21" spans="1:6" x14ac:dyDescent="0.35">
      <c r="A21" s="952" t="s">
        <v>652</v>
      </c>
      <c r="B21" s="976">
        <v>4</v>
      </c>
      <c r="C21" s="156" t="s">
        <v>51</v>
      </c>
    </row>
    <row r="22" spans="1:6" x14ac:dyDescent="0.35">
      <c r="A22" s="952" t="s">
        <v>653</v>
      </c>
      <c r="B22" s="976">
        <v>4</v>
      </c>
      <c r="C22" s="156" t="s">
        <v>109</v>
      </c>
    </row>
    <row r="23" spans="1:6" x14ac:dyDescent="0.35">
      <c r="A23" s="952" t="s">
        <v>654</v>
      </c>
      <c r="B23" s="976">
        <v>3</v>
      </c>
      <c r="C23" s="156" t="s">
        <v>655</v>
      </c>
    </row>
    <row r="24" spans="1:6" x14ac:dyDescent="0.35">
      <c r="A24" s="952" t="s">
        <v>656</v>
      </c>
      <c r="B24" s="976">
        <v>3</v>
      </c>
      <c r="C24" s="156" t="s">
        <v>657</v>
      </c>
    </row>
    <row r="25" spans="1:6" x14ac:dyDescent="0.35">
      <c r="A25" s="1098" t="s">
        <v>658</v>
      </c>
      <c r="B25" s="976">
        <v>3</v>
      </c>
      <c r="C25" s="156" t="s">
        <v>55</v>
      </c>
    </row>
    <row r="26" spans="1:6" x14ac:dyDescent="0.35">
      <c r="A26" s="952" t="s">
        <v>659</v>
      </c>
      <c r="B26" s="976">
        <v>4</v>
      </c>
      <c r="C26" s="156" t="s">
        <v>660</v>
      </c>
    </row>
    <row r="27" spans="1:6" x14ac:dyDescent="0.35">
      <c r="A27" s="181" t="s">
        <v>391</v>
      </c>
      <c r="B27" s="976">
        <v>44</v>
      </c>
    </row>
    <row r="28" spans="1:6" x14ac:dyDescent="0.35">
      <c r="A28" s="1091" t="s">
        <v>643</v>
      </c>
      <c r="B28" s="1092">
        <v>15</v>
      </c>
    </row>
    <row r="29" spans="1:6" x14ac:dyDescent="0.35">
      <c r="A29" s="952" t="s">
        <v>661</v>
      </c>
      <c r="B29" s="976">
        <v>14</v>
      </c>
    </row>
    <row r="30" spans="1:6" x14ac:dyDescent="0.35">
      <c r="A30" s="952" t="s">
        <v>662</v>
      </c>
      <c r="B30" s="976">
        <v>10</v>
      </c>
    </row>
    <row r="31" spans="1:6" x14ac:dyDescent="0.35">
      <c r="A31" s="952" t="s">
        <v>663</v>
      </c>
      <c r="B31" s="976">
        <v>2</v>
      </c>
    </row>
    <row r="32" spans="1:6" x14ac:dyDescent="0.35">
      <c r="A32" s="952" t="s">
        <v>664</v>
      </c>
      <c r="B32" s="976">
        <v>2</v>
      </c>
    </row>
    <row r="33" spans="1:6" x14ac:dyDescent="0.35">
      <c r="A33" s="952" t="s">
        <v>665</v>
      </c>
      <c r="B33" s="976">
        <v>1</v>
      </c>
    </row>
    <row r="34" spans="1:6" x14ac:dyDescent="0.35">
      <c r="A34" s="181" t="s">
        <v>666</v>
      </c>
      <c r="B34" s="976">
        <v>88</v>
      </c>
    </row>
    <row r="35" spans="1:6" x14ac:dyDescent="0.35">
      <c r="A35" s="1098" t="s">
        <v>667</v>
      </c>
      <c r="B35" s="976">
        <v>26</v>
      </c>
    </row>
    <row r="36" spans="1:6" x14ac:dyDescent="0.35">
      <c r="A36" s="952" t="s">
        <v>668</v>
      </c>
      <c r="B36" s="976">
        <v>25</v>
      </c>
    </row>
    <row r="37" spans="1:6" x14ac:dyDescent="0.35">
      <c r="A37" s="952" t="s">
        <v>645</v>
      </c>
      <c r="B37" s="976">
        <v>12</v>
      </c>
      <c r="C37" s="156" t="s">
        <v>669</v>
      </c>
      <c r="E37" s="156" t="s">
        <v>670</v>
      </c>
      <c r="F37" s="156" t="s">
        <v>671</v>
      </c>
    </row>
    <row r="38" spans="1:6" x14ac:dyDescent="0.35">
      <c r="A38" s="952" t="s">
        <v>647</v>
      </c>
      <c r="B38" s="976">
        <v>10</v>
      </c>
      <c r="C38" s="156" t="s">
        <v>669</v>
      </c>
      <c r="E38" s="156" t="s">
        <v>672</v>
      </c>
      <c r="F38" s="156" t="s">
        <v>673</v>
      </c>
    </row>
    <row r="39" spans="1:6" x14ac:dyDescent="0.35">
      <c r="A39" s="952" t="s">
        <v>674</v>
      </c>
      <c r="B39" s="976">
        <v>7</v>
      </c>
      <c r="C39" s="156" t="s">
        <v>660</v>
      </c>
      <c r="E39" s="156" t="s">
        <v>675</v>
      </c>
      <c r="F39" s="156" t="s">
        <v>676</v>
      </c>
    </row>
    <row r="40" spans="1:6" x14ac:dyDescent="0.35">
      <c r="A40" s="952" t="s">
        <v>677</v>
      </c>
      <c r="B40" s="976">
        <v>5</v>
      </c>
      <c r="C40" s="156" t="s">
        <v>109</v>
      </c>
      <c r="E40" s="156" t="s">
        <v>678</v>
      </c>
    </row>
    <row r="41" spans="1:6" x14ac:dyDescent="0.35">
      <c r="A41" s="952" t="s">
        <v>679</v>
      </c>
      <c r="B41" s="976">
        <v>2</v>
      </c>
      <c r="C41" s="156" t="s">
        <v>660</v>
      </c>
      <c r="E41" s="156" t="s">
        <v>680</v>
      </c>
    </row>
    <row r="42" spans="1:6" x14ac:dyDescent="0.35">
      <c r="A42" s="952" t="s">
        <v>681</v>
      </c>
      <c r="B42" s="976">
        <v>2</v>
      </c>
      <c r="C42" s="156" t="s">
        <v>649</v>
      </c>
      <c r="E42" s="1093" t="s">
        <v>682</v>
      </c>
    </row>
    <row r="43" spans="1:6" x14ac:dyDescent="0.35">
      <c r="A43" s="952" t="s">
        <v>683</v>
      </c>
      <c r="B43" s="976">
        <v>0</v>
      </c>
      <c r="E43" s="156" t="s">
        <v>684</v>
      </c>
    </row>
    <row r="44" spans="1:6" x14ac:dyDescent="0.35">
      <c r="A44" s="181" t="s">
        <v>685</v>
      </c>
      <c r="B44" s="976">
        <v>40</v>
      </c>
    </row>
    <row r="45" spans="1:6" x14ac:dyDescent="0.35">
      <c r="A45" s="1098" t="s">
        <v>686</v>
      </c>
      <c r="B45" s="1099">
        <v>21</v>
      </c>
    </row>
    <row r="46" spans="1:6" x14ac:dyDescent="0.35">
      <c r="A46" s="952" t="s">
        <v>687</v>
      </c>
      <c r="B46" s="976">
        <v>6</v>
      </c>
    </row>
    <row r="47" spans="1:6" x14ac:dyDescent="0.35">
      <c r="A47" s="1098" t="s">
        <v>688</v>
      </c>
      <c r="B47" s="1099">
        <v>4</v>
      </c>
    </row>
    <row r="48" spans="1:6" x14ac:dyDescent="0.35">
      <c r="A48" s="952" t="s">
        <v>689</v>
      </c>
      <c r="B48" s="976">
        <v>4</v>
      </c>
    </row>
    <row r="49" spans="1:2" x14ac:dyDescent="0.35">
      <c r="A49" s="1098" t="s">
        <v>690</v>
      </c>
      <c r="B49" s="1099">
        <v>3</v>
      </c>
    </row>
    <row r="50" spans="1:2" x14ac:dyDescent="0.35">
      <c r="A50" s="952" t="s">
        <v>691</v>
      </c>
      <c r="B50" s="97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zoomScale="105" zoomScaleNormal="90" workbookViewId="0">
      <selection activeCell="AJ16" sqref="AJ16"/>
    </sheetView>
  </sheetViews>
  <sheetFormatPr defaultColWidth="11.453125" defaultRowHeight="14.5" x14ac:dyDescent="0.35"/>
  <cols>
    <col min="1" max="1" width="6.453125" customWidth="1"/>
    <col min="2" max="2" width="8.1796875" customWidth="1"/>
    <col min="4" max="4" width="7.1796875" customWidth="1"/>
    <col min="5" max="5" width="8.7265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903</v>
      </c>
      <c r="I1" s="1385"/>
      <c r="J1" s="1385"/>
      <c r="K1" s="1385"/>
    </row>
    <row r="2" spans="1:62" ht="13.15" customHeight="1" x14ac:dyDescent="0.35">
      <c r="A2" s="1115"/>
      <c r="O2" s="1143" t="s">
        <v>863</v>
      </c>
      <c r="P2" s="1391" t="s">
        <v>692</v>
      </c>
      <c r="Q2" s="1391"/>
      <c r="R2" s="1391"/>
      <c r="S2" s="1391"/>
      <c r="T2" s="1100"/>
      <c r="U2" s="1100"/>
      <c r="V2" s="1100"/>
      <c r="W2" s="1100"/>
      <c r="X2" s="1100"/>
      <c r="Y2" s="1386" t="s">
        <v>693</v>
      </c>
      <c r="Z2" s="1387"/>
      <c r="AA2" s="1387"/>
      <c r="AB2" s="1387"/>
      <c r="AC2" s="1387"/>
      <c r="AD2" s="1387"/>
      <c r="AE2" s="1100"/>
      <c r="AF2" s="1100"/>
      <c r="AG2" s="1388" t="s">
        <v>694</v>
      </c>
      <c r="AH2" s="1387"/>
      <c r="AI2" s="1387"/>
      <c r="AJ2" s="1390" t="s">
        <v>695</v>
      </c>
      <c r="AK2" s="1390"/>
      <c r="AL2" s="1390"/>
      <c r="AM2" s="1390"/>
      <c r="AN2" s="1390"/>
      <c r="AO2" s="1390"/>
      <c r="AP2" s="1390"/>
      <c r="AQ2" s="1390"/>
      <c r="AR2" s="1390"/>
      <c r="AS2" s="1390"/>
      <c r="AT2" s="1101"/>
      <c r="AU2" s="1389" t="s">
        <v>434</v>
      </c>
      <c r="AV2" s="1389"/>
      <c r="AW2" s="1389"/>
      <c r="AX2" s="1389"/>
      <c r="AY2" s="1389"/>
      <c r="AZ2" s="1389"/>
      <c r="BA2" s="1389"/>
      <c r="BB2" s="1127"/>
      <c r="BC2" s="1127"/>
      <c r="BD2" s="1127"/>
      <c r="BE2" s="1127"/>
      <c r="BF2" s="1127"/>
      <c r="BG2" s="1127"/>
      <c r="BH2" s="1127"/>
      <c r="BI2" s="1127"/>
      <c r="BJ2" s="1133" t="s">
        <v>696</v>
      </c>
    </row>
    <row r="3" spans="1:62" ht="43.15" customHeight="1" x14ac:dyDescent="0.35">
      <c r="A3" s="1116"/>
      <c r="B3" s="1116"/>
      <c r="C3" s="1116"/>
      <c r="D3" s="1116"/>
      <c r="E3" s="1116"/>
      <c r="F3" s="1116"/>
      <c r="G3" s="1116"/>
      <c r="H3" s="1116"/>
      <c r="I3" s="1116"/>
      <c r="J3" s="1116"/>
      <c r="K3" s="1116"/>
      <c r="L3" s="1116"/>
      <c r="M3" s="1116"/>
      <c r="N3" s="1116"/>
      <c r="O3" s="1144" t="s">
        <v>697</v>
      </c>
      <c r="P3" s="1126" t="s">
        <v>698</v>
      </c>
      <c r="Q3" s="1126" t="s">
        <v>699</v>
      </c>
      <c r="R3" s="1126" t="s">
        <v>700</v>
      </c>
      <c r="S3" s="1126" t="s">
        <v>701</v>
      </c>
      <c r="T3" s="1126" t="s">
        <v>702</v>
      </c>
      <c r="U3" s="1126" t="s">
        <v>703</v>
      </c>
      <c r="V3" s="1126" t="s">
        <v>704</v>
      </c>
      <c r="W3" s="1126" t="s">
        <v>705</v>
      </c>
      <c r="X3" s="1126" t="s">
        <v>706</v>
      </c>
      <c r="Y3" s="1126" t="s">
        <v>707</v>
      </c>
      <c r="Z3" s="1126"/>
      <c r="AA3" s="1126"/>
      <c r="AB3" s="1126"/>
      <c r="AC3" s="1126" t="s">
        <v>708</v>
      </c>
      <c r="AD3" s="1126" t="s">
        <v>709</v>
      </c>
      <c r="AE3" s="1126" t="s">
        <v>710</v>
      </c>
      <c r="AF3" s="1126" t="s">
        <v>711</v>
      </c>
      <c r="AG3" s="1126" t="s">
        <v>712</v>
      </c>
      <c r="AH3" s="1126" t="s">
        <v>713</v>
      </c>
      <c r="AI3" s="1126" t="s">
        <v>714</v>
      </c>
      <c r="AJ3" s="1126" t="s">
        <v>715</v>
      </c>
      <c r="AK3" s="1126" t="s">
        <v>716</v>
      </c>
      <c r="AL3" s="1126" t="s">
        <v>717</v>
      </c>
      <c r="AM3" s="1126" t="s">
        <v>718</v>
      </c>
      <c r="AN3" s="1126" t="s">
        <v>719</v>
      </c>
      <c r="AO3" s="1126" t="s">
        <v>720</v>
      </c>
      <c r="AP3" s="1126" t="s">
        <v>721</v>
      </c>
      <c r="AQ3" s="1139" t="s">
        <v>722</v>
      </c>
      <c r="AR3" s="1126" t="s">
        <v>723</v>
      </c>
      <c r="AS3" s="1126" t="s">
        <v>724</v>
      </c>
      <c r="AT3" s="1126" t="s">
        <v>725</v>
      </c>
      <c r="AU3" s="1126" t="s">
        <v>726</v>
      </c>
      <c r="AV3" s="1126" t="s">
        <v>727</v>
      </c>
      <c r="AW3" s="1126" t="s">
        <v>728</v>
      </c>
      <c r="AX3" s="1126" t="s">
        <v>729</v>
      </c>
      <c r="AY3" s="1126" t="s">
        <v>730</v>
      </c>
      <c r="AZ3" s="1126" t="s">
        <v>731</v>
      </c>
      <c r="BA3" s="1126" t="s">
        <v>708</v>
      </c>
      <c r="BB3" s="1134" t="s">
        <v>732</v>
      </c>
      <c r="BC3" s="1134" t="s">
        <v>733</v>
      </c>
      <c r="BD3" s="1134" t="s">
        <v>734</v>
      </c>
      <c r="BE3" s="1134" t="s">
        <v>735</v>
      </c>
      <c r="BF3" s="1134" t="s">
        <v>736</v>
      </c>
      <c r="BG3" s="1134" t="s">
        <v>737</v>
      </c>
      <c r="BH3" s="1134" t="s">
        <v>738</v>
      </c>
      <c r="BI3" s="1134" t="s">
        <v>739</v>
      </c>
      <c r="BJ3" s="1128" t="s">
        <v>740</v>
      </c>
    </row>
    <row r="4" spans="1:62" ht="63" customHeight="1" x14ac:dyDescent="0.35">
      <c r="A4" s="1137" t="s">
        <v>741</v>
      </c>
      <c r="B4" s="1115" t="s">
        <v>56</v>
      </c>
      <c r="C4" s="1115" t="s">
        <v>742</v>
      </c>
      <c r="D4" s="1115" t="s">
        <v>612</v>
      </c>
      <c r="E4" s="1115" t="s">
        <v>743</v>
      </c>
      <c r="F4" s="1115" t="s">
        <v>744</v>
      </c>
      <c r="G4" s="1115" t="s">
        <v>745</v>
      </c>
      <c r="H4" s="1115" t="s">
        <v>131</v>
      </c>
      <c r="I4" s="1122" t="s">
        <v>396</v>
      </c>
      <c r="J4" s="1122" t="s">
        <v>150</v>
      </c>
      <c r="K4" s="1122" t="s">
        <v>746</v>
      </c>
      <c r="L4" s="1120" t="s">
        <v>159</v>
      </c>
      <c r="M4" s="1115" t="s">
        <v>109</v>
      </c>
      <c r="N4" s="1115" t="s">
        <v>747</v>
      </c>
      <c r="O4" s="1145" t="s">
        <v>748</v>
      </c>
      <c r="P4" s="1134" t="s">
        <v>749</v>
      </c>
      <c r="Q4" s="1134" t="s">
        <v>750</v>
      </c>
      <c r="R4" s="1134" t="s">
        <v>751</v>
      </c>
      <c r="S4" s="1134" t="s">
        <v>752</v>
      </c>
      <c r="T4" s="1134" t="s">
        <v>753</v>
      </c>
      <c r="U4" s="1134" t="s">
        <v>754</v>
      </c>
      <c r="V4" s="1134" t="s">
        <v>755</v>
      </c>
      <c r="W4" s="1134" t="s">
        <v>756</v>
      </c>
      <c r="X4" s="1134" t="s">
        <v>757</v>
      </c>
      <c r="Y4" s="1134" t="s">
        <v>758</v>
      </c>
      <c r="Z4" s="1134" t="s">
        <v>759</v>
      </c>
      <c r="AA4" s="1134" t="s">
        <v>760</v>
      </c>
      <c r="AB4" s="1134" t="s">
        <v>761</v>
      </c>
      <c r="AC4" s="1134" t="s">
        <v>762</v>
      </c>
      <c r="AD4" s="1134" t="s">
        <v>763</v>
      </c>
      <c r="AE4" s="1134" t="s">
        <v>764</v>
      </c>
      <c r="AF4" s="1134" t="s">
        <v>765</v>
      </c>
      <c r="AG4" s="1134" t="s">
        <v>210</v>
      </c>
      <c r="AH4" s="1134" t="s">
        <v>211</v>
      </c>
      <c r="AI4" s="1134" t="s">
        <v>766</v>
      </c>
      <c r="AJ4" s="1134" t="s">
        <v>767</v>
      </c>
      <c r="AK4" s="1134" t="s">
        <v>768</v>
      </c>
      <c r="AL4" s="1134" t="s">
        <v>769</v>
      </c>
      <c r="AM4" s="1134" t="s">
        <v>770</v>
      </c>
      <c r="AN4" s="1134" t="s">
        <v>771</v>
      </c>
      <c r="AO4" s="1134" t="s">
        <v>772</v>
      </c>
      <c r="AP4" s="1134" t="s">
        <v>773</v>
      </c>
      <c r="AQ4" s="1135" t="s">
        <v>774</v>
      </c>
      <c r="AR4" s="1134" t="s">
        <v>775</v>
      </c>
      <c r="AS4" s="1134" t="s">
        <v>776</v>
      </c>
      <c r="AT4" s="1134" t="s">
        <v>777</v>
      </c>
      <c r="AU4" s="1134" t="s">
        <v>778</v>
      </c>
      <c r="AV4" s="1134" t="s">
        <v>779</v>
      </c>
      <c r="AW4" s="1134" t="s">
        <v>780</v>
      </c>
      <c r="AX4" s="1134" t="s">
        <v>781</v>
      </c>
      <c r="AY4" s="1134" t="s">
        <v>782</v>
      </c>
      <c r="AZ4" s="1134" t="s">
        <v>783</v>
      </c>
      <c r="BA4" s="1134"/>
      <c r="BB4" s="1134" t="s">
        <v>487</v>
      </c>
      <c r="BC4" s="1134" t="s">
        <v>784</v>
      </c>
      <c r="BD4" s="1134" t="s">
        <v>785</v>
      </c>
      <c r="BE4" s="1134" t="s">
        <v>786</v>
      </c>
      <c r="BF4" s="1134" t="s">
        <v>787</v>
      </c>
      <c r="BG4" s="1134" t="s">
        <v>788</v>
      </c>
      <c r="BH4" s="1134" t="s">
        <v>789</v>
      </c>
      <c r="BI4" s="1134" t="s">
        <v>790</v>
      </c>
      <c r="BJ4" s="1136" t="s">
        <v>791</v>
      </c>
    </row>
    <row r="5" spans="1:62" x14ac:dyDescent="0.35">
      <c r="A5" s="1117">
        <v>2021</v>
      </c>
      <c r="B5" s="1119">
        <f>Q5</f>
        <v>394.202</v>
      </c>
      <c r="C5" s="1119">
        <f>SUM(Y5:AB5)</f>
        <v>195.7</v>
      </c>
      <c r="D5" s="1119">
        <f>T5</f>
        <v>18.823</v>
      </c>
      <c r="E5" s="1119">
        <f>SUM(P5:S5)-B5</f>
        <v>0.77600000000001046</v>
      </c>
      <c r="F5" s="1119">
        <f>SUM(T5:AF5)-C5-L5-D5 - 28</f>
        <v>19.722000000000016</v>
      </c>
      <c r="G5" s="1119">
        <f>SUM(BB5:BI5)-BC5</f>
        <v>81.642999999999986</v>
      </c>
      <c r="H5" s="1119">
        <f>SUM(AG5:AI5)</f>
        <v>7.798</v>
      </c>
      <c r="I5" s="1119">
        <f>AJ5</f>
        <v>283.95749999999998</v>
      </c>
      <c r="J5" s="1119">
        <f>AL5</f>
        <v>12.347</v>
      </c>
      <c r="K5" s="1119">
        <f>SUM(AM5:AT5)</f>
        <v>29.628</v>
      </c>
      <c r="L5" s="1123">
        <f>103/4</f>
        <v>25.75</v>
      </c>
      <c r="M5" s="1119">
        <f t="shared" ref="M5:M16" si="0">SUM(AU5:BA5)</f>
        <v>31.939</v>
      </c>
      <c r="N5" s="1119">
        <f>AK5</f>
        <v>3.4</v>
      </c>
      <c r="O5" s="1146">
        <v>50</v>
      </c>
      <c r="P5" s="1141">
        <v>0.55000000000000004</v>
      </c>
      <c r="Q5" s="1142">
        <v>394.202</v>
      </c>
      <c r="R5" s="1148">
        <v>0.14599999999999999</v>
      </c>
      <c r="S5" s="1148">
        <v>0.08</v>
      </c>
      <c r="T5" s="1148">
        <v>18.823</v>
      </c>
      <c r="U5" s="1142">
        <v>19</v>
      </c>
      <c r="V5" s="1148">
        <v>11.481999999999999</v>
      </c>
      <c r="W5" s="1112">
        <v>1.5580000000000001</v>
      </c>
      <c r="X5" s="1112">
        <v>0.74</v>
      </c>
      <c r="Y5" s="1142">
        <v>0.2</v>
      </c>
      <c r="Z5" s="1142">
        <v>43.1</v>
      </c>
      <c r="AA5" s="1142">
        <v>33.9</v>
      </c>
      <c r="AB5" s="1142">
        <v>118.5</v>
      </c>
      <c r="AC5" s="1142">
        <v>28</v>
      </c>
      <c r="AD5" s="1112">
        <v>-2.0379999999999998</v>
      </c>
      <c r="AE5" s="1142">
        <v>14.31</v>
      </c>
      <c r="AF5" s="1148">
        <v>0.42</v>
      </c>
      <c r="AG5" s="1148">
        <v>7.7279999999999998</v>
      </c>
      <c r="AH5" s="1142">
        <v>7.0000000000000007E-2</v>
      </c>
      <c r="AI5" s="1142">
        <v>0</v>
      </c>
      <c r="AJ5" s="1142">
        <v>283.95749999999998</v>
      </c>
      <c r="AK5" s="1140">
        <v>3.4</v>
      </c>
      <c r="AL5" s="1140">
        <v>12.347</v>
      </c>
      <c r="AM5" s="1149">
        <v>0.28599999999999998</v>
      </c>
      <c r="AN5" s="1140">
        <v>2</v>
      </c>
      <c r="AO5" s="1142">
        <v>0.81</v>
      </c>
      <c r="AP5" s="1140">
        <v>0.52100000000000002</v>
      </c>
      <c r="AQ5" s="1102">
        <v>10</v>
      </c>
      <c r="AR5" s="1140">
        <v>2.7</v>
      </c>
      <c r="AS5" s="1140">
        <v>0.751</v>
      </c>
      <c r="AT5" s="1142">
        <v>12.56</v>
      </c>
      <c r="AU5" s="1142">
        <v>0</v>
      </c>
      <c r="AV5" s="1140">
        <v>1.415</v>
      </c>
      <c r="AW5" s="1140">
        <v>10.51</v>
      </c>
      <c r="AX5" s="1140">
        <v>2.6</v>
      </c>
      <c r="AY5" s="1142">
        <v>-0.33</v>
      </c>
      <c r="AZ5" s="1140">
        <v>17.744</v>
      </c>
      <c r="BA5" s="1142">
        <v>0</v>
      </c>
      <c r="BB5" s="1140">
        <v>4.0999999999999996</v>
      </c>
      <c r="BC5" s="1140">
        <v>7.25</v>
      </c>
      <c r="BD5" s="1140">
        <v>48.4</v>
      </c>
      <c r="BE5" s="1148">
        <v>0.83</v>
      </c>
      <c r="BF5" s="1112">
        <v>4.5110000000000001</v>
      </c>
      <c r="BG5" s="1142">
        <v>3.0739999999999998</v>
      </c>
      <c r="BH5" s="1103">
        <v>-0.28399999999999997</v>
      </c>
      <c r="BI5" s="1140">
        <v>21.012</v>
      </c>
      <c r="BJ5" s="1129">
        <v>1.1599999999999999</v>
      </c>
    </row>
    <row r="6" spans="1:62" x14ac:dyDescent="0.35">
      <c r="A6" s="1117">
        <v>2022</v>
      </c>
      <c r="B6" s="1119">
        <f t="shared" ref="B6:B15" si="1">Q6</f>
        <v>17.465</v>
      </c>
      <c r="C6" s="1119">
        <f t="shared" ref="C6:C15" si="2">SUM(Y6:AB6)</f>
        <v>10.1</v>
      </c>
      <c r="D6" s="1119">
        <f t="shared" ref="D6:D15" si="3">T6</f>
        <v>2.5950000000000002</v>
      </c>
      <c r="E6" s="1119">
        <f t="shared" ref="E6:E15" si="4">SUM(P6:S6)-B6</f>
        <v>19.719000000000005</v>
      </c>
      <c r="F6" s="1119">
        <f>SUM(T6:AF6)-C6-L6-D6</f>
        <v>52.756999999999998</v>
      </c>
      <c r="G6" s="1119">
        <f t="shared" ref="G6:G16" si="5">SUM(BB6:BI6)-BC6</f>
        <v>110.24799999999999</v>
      </c>
      <c r="H6" s="1119">
        <f t="shared" ref="H6:H15" si="6">SUM(AG6:AI6)</f>
        <v>7.9489999999999998</v>
      </c>
      <c r="I6" s="1119">
        <f t="shared" ref="I6:I15" si="7">AJ6</f>
        <v>77.092500000000001</v>
      </c>
      <c r="J6" s="1119">
        <f t="shared" ref="J6:J15" si="8">AL6</f>
        <v>46.79</v>
      </c>
      <c r="K6" s="1119">
        <f t="shared" ref="K6:K16" si="9">SUM(AM6:AT6)</f>
        <v>35.671000000000006</v>
      </c>
      <c r="L6" s="1123">
        <v>0</v>
      </c>
      <c r="M6" s="1119">
        <f t="shared" si="0"/>
        <v>56.412999999999997</v>
      </c>
      <c r="N6" s="1119">
        <f t="shared" ref="N6:N15" si="10">AK6</f>
        <v>5.0999999999999996</v>
      </c>
      <c r="O6" s="1146">
        <v>55</v>
      </c>
      <c r="P6" s="1141">
        <v>15.61</v>
      </c>
      <c r="Q6" s="1142">
        <v>17.465</v>
      </c>
      <c r="R6" s="1148">
        <v>0.317</v>
      </c>
      <c r="S6" s="1148">
        <v>3.7919999999999998</v>
      </c>
      <c r="T6" s="1142">
        <v>2.5950000000000002</v>
      </c>
      <c r="U6" s="1140">
        <v>14.5</v>
      </c>
      <c r="V6" s="1142">
        <v>25.070999999999998</v>
      </c>
      <c r="W6" s="1112">
        <v>1.952</v>
      </c>
      <c r="X6" s="1112">
        <v>0.61399999999999999</v>
      </c>
      <c r="Y6" s="1140">
        <v>0</v>
      </c>
      <c r="Z6" s="1140">
        <v>2.2999999999999998</v>
      </c>
      <c r="AA6" s="1140">
        <v>1.6</v>
      </c>
      <c r="AB6" s="1140">
        <v>6.2</v>
      </c>
      <c r="AC6" s="1142">
        <v>0</v>
      </c>
      <c r="AD6" s="1142">
        <v>1.31</v>
      </c>
      <c r="AE6" s="1142">
        <v>8.61</v>
      </c>
      <c r="AF6" s="1142">
        <v>0.7</v>
      </c>
      <c r="AG6" s="1148">
        <v>7.782</v>
      </c>
      <c r="AH6" s="1142">
        <v>0.12</v>
      </c>
      <c r="AI6" s="1142">
        <v>4.7E-2</v>
      </c>
      <c r="AJ6" s="1142">
        <v>77.092500000000001</v>
      </c>
      <c r="AK6" s="1140">
        <v>5.0999999999999996</v>
      </c>
      <c r="AL6" s="1140">
        <v>46.79</v>
      </c>
      <c r="AM6" s="1103">
        <v>0.30499999999999999</v>
      </c>
      <c r="AN6" s="1140">
        <v>4.3</v>
      </c>
      <c r="AO6" s="1112">
        <v>1.1000000000000001</v>
      </c>
      <c r="AP6" s="1140">
        <v>1.575</v>
      </c>
      <c r="AQ6" s="1102">
        <v>10</v>
      </c>
      <c r="AR6" s="1140">
        <v>4.5</v>
      </c>
      <c r="AS6" s="1140">
        <v>1.9810000000000001</v>
      </c>
      <c r="AT6" s="1142">
        <v>11.91</v>
      </c>
      <c r="AU6" s="1142">
        <v>0</v>
      </c>
      <c r="AV6" s="1140">
        <v>3.927</v>
      </c>
      <c r="AW6" s="1140">
        <v>4.2880000000000003</v>
      </c>
      <c r="AX6" s="1140">
        <v>3.7</v>
      </c>
      <c r="AY6" s="1142">
        <v>-1.34</v>
      </c>
      <c r="AZ6" s="1140">
        <v>45.838000000000001</v>
      </c>
      <c r="BA6" s="1142">
        <v>0</v>
      </c>
      <c r="BB6" s="1140">
        <v>11.3</v>
      </c>
      <c r="BC6" s="1140">
        <v>0</v>
      </c>
      <c r="BD6" s="1140">
        <v>1.1000000000000001</v>
      </c>
      <c r="BE6" s="1148">
        <v>1.75</v>
      </c>
      <c r="BF6" s="1112">
        <v>1.7330000000000001</v>
      </c>
      <c r="BG6" s="1112">
        <v>7.1440000000000001</v>
      </c>
      <c r="BH6" s="1104">
        <v>81.608999999999995</v>
      </c>
      <c r="BI6" s="1140">
        <v>5.6120000000000001</v>
      </c>
      <c r="BJ6" s="1129">
        <v>4.2</v>
      </c>
    </row>
    <row r="7" spans="1:62" x14ac:dyDescent="0.35">
      <c r="A7" s="1117">
        <v>2023</v>
      </c>
      <c r="B7" s="1119">
        <f t="shared" si="1"/>
        <v>0.48599999999999999</v>
      </c>
      <c r="C7" s="1119">
        <f t="shared" si="2"/>
        <v>0</v>
      </c>
      <c r="D7" s="1119">
        <f t="shared" si="3"/>
        <v>0.93700000000000006</v>
      </c>
      <c r="E7" s="1119">
        <f t="shared" si="4"/>
        <v>1.4159999999999999</v>
      </c>
      <c r="F7" s="1119">
        <f t="shared" ref="F7:F15" si="11">SUM(T7:AF7)-C7-L7-D7</f>
        <v>12</v>
      </c>
      <c r="G7" s="1119">
        <f t="shared" si="5"/>
        <v>12.726000000000001</v>
      </c>
      <c r="H7" s="1119">
        <f t="shared" si="6"/>
        <v>4.7519999999999998</v>
      </c>
      <c r="I7" s="1119">
        <f t="shared" si="7"/>
        <v>1</v>
      </c>
      <c r="J7" s="1119">
        <f t="shared" si="8"/>
        <v>38.595999999999997</v>
      </c>
      <c r="K7" s="1119">
        <f t="shared" si="9"/>
        <v>24.216000000000001</v>
      </c>
      <c r="L7" s="1123">
        <v>0</v>
      </c>
      <c r="M7" s="1119">
        <f t="shared" si="0"/>
        <v>15.652999999999999</v>
      </c>
      <c r="N7" s="1119">
        <f t="shared" si="10"/>
        <v>0</v>
      </c>
      <c r="O7" s="1146">
        <v>0.7</v>
      </c>
      <c r="P7" s="1141">
        <v>0.96</v>
      </c>
      <c r="Q7" s="1142">
        <v>0.48599999999999999</v>
      </c>
      <c r="R7" s="1148">
        <v>0.45600000000000002</v>
      </c>
      <c r="S7" s="1142">
        <v>0</v>
      </c>
      <c r="T7" s="1105">
        <v>0.93700000000000006</v>
      </c>
      <c r="U7" s="1140">
        <v>3</v>
      </c>
      <c r="V7" s="1148">
        <v>7.891</v>
      </c>
      <c r="W7" s="1112">
        <v>0.61699999999999999</v>
      </c>
      <c r="X7" s="1112">
        <v>8.4000000000000005E-2</v>
      </c>
      <c r="Y7" s="1140">
        <v>0</v>
      </c>
      <c r="Z7" s="1140">
        <v>0</v>
      </c>
      <c r="AA7" s="1140">
        <v>0</v>
      </c>
      <c r="AB7" s="1140">
        <v>0</v>
      </c>
      <c r="AC7" s="1142">
        <v>0</v>
      </c>
      <c r="AD7" s="1142">
        <v>0.318</v>
      </c>
      <c r="AE7" s="1148">
        <v>-0.11000000000000001</v>
      </c>
      <c r="AF7" s="1142">
        <v>0.2</v>
      </c>
      <c r="AG7" s="1148">
        <v>4.6749999999999998</v>
      </c>
      <c r="AH7" s="1142">
        <v>0.06</v>
      </c>
      <c r="AI7" s="1142">
        <v>1.7000000000000001E-2</v>
      </c>
      <c r="AJ7" s="1142">
        <v>1</v>
      </c>
      <c r="AK7" s="1140">
        <v>0</v>
      </c>
      <c r="AL7" s="1140">
        <v>38.595999999999997</v>
      </c>
      <c r="AM7" s="1142">
        <v>0.14899999999999999</v>
      </c>
      <c r="AN7" s="1140">
        <v>1.2</v>
      </c>
      <c r="AO7" s="1112">
        <v>0.53</v>
      </c>
      <c r="AP7" s="1140">
        <v>0.38100000000000001</v>
      </c>
      <c r="AQ7" s="1102">
        <v>8</v>
      </c>
      <c r="AR7" s="1140">
        <v>4.5</v>
      </c>
      <c r="AS7" s="1140">
        <v>0.76600000000000001</v>
      </c>
      <c r="AT7" s="1142">
        <v>8.69</v>
      </c>
      <c r="AU7" s="1142">
        <v>0</v>
      </c>
      <c r="AV7" s="1140">
        <v>1.93</v>
      </c>
      <c r="AW7" s="1140">
        <v>1.4379999999999999</v>
      </c>
      <c r="AX7" s="1140">
        <v>2.6</v>
      </c>
      <c r="AY7" s="1112">
        <v>-2.48</v>
      </c>
      <c r="AZ7" s="1140">
        <v>12.164999999999999</v>
      </c>
      <c r="BA7" s="1112">
        <v>0</v>
      </c>
      <c r="BB7" s="1140">
        <v>8.4</v>
      </c>
      <c r="BC7" s="1140">
        <v>0</v>
      </c>
      <c r="BD7" s="1140">
        <v>0.3</v>
      </c>
      <c r="BE7" s="1148">
        <v>1.8</v>
      </c>
      <c r="BF7" s="1112">
        <v>0</v>
      </c>
      <c r="BG7" s="1112">
        <v>0</v>
      </c>
      <c r="BH7" s="1103">
        <v>1.3759999999999999</v>
      </c>
      <c r="BI7" s="1140">
        <v>0.85</v>
      </c>
      <c r="BJ7" s="1129">
        <v>2.7</v>
      </c>
    </row>
    <row r="8" spans="1:62" x14ac:dyDescent="0.35">
      <c r="A8" s="1117">
        <v>2024</v>
      </c>
      <c r="B8" s="1119">
        <f t="shared" si="1"/>
        <v>0</v>
      </c>
      <c r="C8" s="1119">
        <f t="shared" si="2"/>
        <v>0</v>
      </c>
      <c r="D8" s="1119">
        <f t="shared" si="3"/>
        <v>0.16</v>
      </c>
      <c r="E8" s="1119">
        <f t="shared" si="4"/>
        <v>1.4790000000000001</v>
      </c>
      <c r="F8" s="1119">
        <f t="shared" si="11"/>
        <v>4.2219999999999995</v>
      </c>
      <c r="G8" s="1119">
        <f t="shared" si="5"/>
        <v>1.365</v>
      </c>
      <c r="H8" s="1119">
        <f t="shared" si="6"/>
        <v>4.637999999999999</v>
      </c>
      <c r="I8" s="1119">
        <f t="shared" si="7"/>
        <v>0</v>
      </c>
      <c r="J8" s="1119">
        <f t="shared" si="8"/>
        <v>31.911000000000001</v>
      </c>
      <c r="K8" s="1119">
        <f t="shared" si="9"/>
        <v>9.6430000000000007</v>
      </c>
      <c r="L8" s="1123">
        <v>0</v>
      </c>
      <c r="M8" s="1119">
        <f t="shared" si="0"/>
        <v>3.9320000000000004</v>
      </c>
      <c r="N8" s="1119">
        <f t="shared" si="10"/>
        <v>0</v>
      </c>
      <c r="O8" s="1146">
        <v>0.7</v>
      </c>
      <c r="P8" s="1141">
        <v>0.96</v>
      </c>
      <c r="Q8" s="1140">
        <v>0</v>
      </c>
      <c r="R8" s="1148">
        <v>0.51900000000000002</v>
      </c>
      <c r="S8" s="1142">
        <v>0</v>
      </c>
      <c r="T8" s="1106">
        <v>0.16</v>
      </c>
      <c r="U8" s="1140">
        <v>2.8</v>
      </c>
      <c r="V8" s="1142">
        <v>0.504</v>
      </c>
      <c r="W8" s="1112">
        <v>0.47199999999999998</v>
      </c>
      <c r="X8" s="1112">
        <v>2E-3</v>
      </c>
      <c r="Y8" s="1140">
        <v>0</v>
      </c>
      <c r="Z8" s="1140">
        <v>0</v>
      </c>
      <c r="AA8" s="1140">
        <v>0</v>
      </c>
      <c r="AB8" s="1140">
        <v>0</v>
      </c>
      <c r="AC8" s="1142">
        <v>0</v>
      </c>
      <c r="AD8" s="1142">
        <v>0.34399999999999997</v>
      </c>
      <c r="AE8" s="1148">
        <v>0</v>
      </c>
      <c r="AF8" s="1148">
        <v>0.1</v>
      </c>
      <c r="AG8" s="1148">
        <v>4.5739999999999998</v>
      </c>
      <c r="AH8" s="1142">
        <v>0.06</v>
      </c>
      <c r="AI8" s="1142">
        <v>4.0000000000000001E-3</v>
      </c>
      <c r="AJ8" s="1142">
        <v>0</v>
      </c>
      <c r="AK8" s="1140">
        <v>0</v>
      </c>
      <c r="AL8" s="1140">
        <v>31.911000000000001</v>
      </c>
      <c r="AM8" s="1142">
        <v>4.1000000000000002E-2</v>
      </c>
      <c r="AN8" s="1140">
        <v>0.4</v>
      </c>
      <c r="AO8" s="1112">
        <v>0.41</v>
      </c>
      <c r="AP8" s="1140">
        <v>0.13100000000000001</v>
      </c>
      <c r="AQ8" s="1102">
        <v>0</v>
      </c>
      <c r="AR8" s="1140">
        <v>3</v>
      </c>
      <c r="AS8" s="1140">
        <v>0.30099999999999999</v>
      </c>
      <c r="AT8" s="1112">
        <v>5.36</v>
      </c>
      <c r="AU8" s="1142">
        <v>0</v>
      </c>
      <c r="AV8" s="1140">
        <v>0.79600000000000004</v>
      </c>
      <c r="AW8" s="1140">
        <v>0.27500000000000002</v>
      </c>
      <c r="AX8" s="1140">
        <v>1</v>
      </c>
      <c r="AY8" s="1112">
        <v>-2.6</v>
      </c>
      <c r="AZ8" s="1140">
        <v>4.4610000000000003</v>
      </c>
      <c r="BA8" s="1112">
        <v>0</v>
      </c>
      <c r="BB8" s="1140">
        <v>0.2</v>
      </c>
      <c r="BC8" s="1140">
        <v>0</v>
      </c>
      <c r="BD8" s="1140">
        <v>0</v>
      </c>
      <c r="BE8" s="1148">
        <v>1.95</v>
      </c>
      <c r="BF8" s="1112">
        <v>0</v>
      </c>
      <c r="BG8" s="1112">
        <v>0</v>
      </c>
      <c r="BH8" s="1103">
        <v>-0.875</v>
      </c>
      <c r="BI8" s="1140">
        <v>0.09</v>
      </c>
      <c r="BJ8" s="1130">
        <v>0.87</v>
      </c>
    </row>
    <row r="9" spans="1:62" x14ac:dyDescent="0.35">
      <c r="A9" s="1117">
        <v>2025</v>
      </c>
      <c r="B9" s="1119">
        <f t="shared" si="1"/>
        <v>0</v>
      </c>
      <c r="C9" s="1119">
        <f t="shared" si="2"/>
        <v>0</v>
      </c>
      <c r="D9" s="1119">
        <f t="shared" si="3"/>
        <v>3.3000000000000002E-2</v>
      </c>
      <c r="E9" s="1119">
        <f t="shared" si="4"/>
        <v>1.63</v>
      </c>
      <c r="F9" s="1119">
        <f t="shared" si="11"/>
        <v>2.3719999999999999</v>
      </c>
      <c r="G9" s="1119">
        <f t="shared" si="5"/>
        <v>-0.90100000000000025</v>
      </c>
      <c r="H9" s="1119">
        <f t="shared" si="6"/>
        <v>1.8800000000000001</v>
      </c>
      <c r="I9" s="1119">
        <f t="shared" si="7"/>
        <v>0</v>
      </c>
      <c r="J9" s="1119">
        <f t="shared" si="8"/>
        <v>23.099</v>
      </c>
      <c r="K9" s="1119">
        <f t="shared" si="9"/>
        <v>4.5789999999999997</v>
      </c>
      <c r="L9" s="1123">
        <v>0</v>
      </c>
      <c r="M9" s="1119">
        <f t="shared" si="0"/>
        <v>-0.74299999999999988</v>
      </c>
      <c r="N9" s="1119">
        <f t="shared" si="10"/>
        <v>0</v>
      </c>
      <c r="O9" s="1146">
        <v>0.7</v>
      </c>
      <c r="P9" s="1141">
        <v>1.06</v>
      </c>
      <c r="Q9" s="1140">
        <v>0</v>
      </c>
      <c r="R9" s="1148">
        <v>0.56999999999999995</v>
      </c>
      <c r="S9" s="1142">
        <v>0</v>
      </c>
      <c r="T9" s="1107">
        <v>3.3000000000000002E-2</v>
      </c>
      <c r="U9" s="1140">
        <v>2</v>
      </c>
      <c r="V9" s="1107">
        <v>0</v>
      </c>
      <c r="W9" s="1112">
        <v>0.21299999999999999</v>
      </c>
      <c r="X9" s="1112">
        <v>2E-3</v>
      </c>
      <c r="Y9" s="1140">
        <v>0</v>
      </c>
      <c r="Z9" s="1140">
        <v>0</v>
      </c>
      <c r="AA9" s="1140">
        <v>0</v>
      </c>
      <c r="AB9" s="1140">
        <v>0</v>
      </c>
      <c r="AC9" s="1142">
        <v>0</v>
      </c>
      <c r="AD9" s="1142">
        <v>0.157</v>
      </c>
      <c r="AE9" s="1148">
        <v>0</v>
      </c>
      <c r="AF9" s="1148">
        <v>0</v>
      </c>
      <c r="AG9" s="1142">
        <v>1.81</v>
      </c>
      <c r="AH9" s="1142">
        <v>7.0000000000000007E-2</v>
      </c>
      <c r="AI9" s="1142">
        <v>0</v>
      </c>
      <c r="AJ9" s="1140">
        <v>0</v>
      </c>
      <c r="AK9" s="1140">
        <v>0</v>
      </c>
      <c r="AL9" s="1140">
        <v>23.099</v>
      </c>
      <c r="AM9" s="1142">
        <v>1.2999999999999999E-2</v>
      </c>
      <c r="AN9" s="1140">
        <v>0.3</v>
      </c>
      <c r="AO9" s="1138">
        <v>0.15</v>
      </c>
      <c r="AP9" s="1140">
        <v>0.112</v>
      </c>
      <c r="AQ9" s="1102">
        <v>0</v>
      </c>
      <c r="AR9" s="1140">
        <v>0.2</v>
      </c>
      <c r="AS9" s="1140">
        <v>7.3999999999999996E-2</v>
      </c>
      <c r="AT9" s="1112">
        <v>3.73</v>
      </c>
      <c r="AU9" s="1142">
        <v>0</v>
      </c>
      <c r="AV9" s="1140">
        <v>5.3999999999999999E-2</v>
      </c>
      <c r="AW9" s="1140">
        <v>0.13100000000000001</v>
      </c>
      <c r="AX9" s="1140">
        <v>0</v>
      </c>
      <c r="AY9" s="1112">
        <v>-2.71</v>
      </c>
      <c r="AZ9" s="1140">
        <v>1.782</v>
      </c>
      <c r="BA9" s="1112">
        <v>0</v>
      </c>
      <c r="BB9" s="1140">
        <v>0</v>
      </c>
      <c r="BC9" s="1140">
        <v>0</v>
      </c>
      <c r="BD9" s="1140">
        <v>0</v>
      </c>
      <c r="BE9" s="1148">
        <v>1.43</v>
      </c>
      <c r="BF9" s="1112">
        <v>0</v>
      </c>
      <c r="BG9" s="1112">
        <v>0</v>
      </c>
      <c r="BH9" s="1103">
        <v>-2.3410000000000002</v>
      </c>
      <c r="BI9" s="1140">
        <v>0.01</v>
      </c>
      <c r="BJ9" s="1130">
        <v>0.33</v>
      </c>
    </row>
    <row r="10" spans="1:62" x14ac:dyDescent="0.35">
      <c r="A10" s="1117">
        <v>2026</v>
      </c>
      <c r="B10" s="1119">
        <f t="shared" si="1"/>
        <v>0</v>
      </c>
      <c r="C10" s="1119">
        <f t="shared" si="2"/>
        <v>0</v>
      </c>
      <c r="D10" s="1119">
        <f t="shared" si="3"/>
        <v>3.2000000000000001E-2</v>
      </c>
      <c r="E10" s="1119">
        <f t="shared" si="4"/>
        <v>1.671</v>
      </c>
      <c r="F10" s="1119">
        <f t="shared" si="11"/>
        <v>0.49</v>
      </c>
      <c r="G10" s="1119">
        <f t="shared" si="5"/>
        <v>-2.1500000000000004</v>
      </c>
      <c r="H10" s="1119">
        <f t="shared" si="6"/>
        <v>1.446</v>
      </c>
      <c r="I10" s="1119">
        <f t="shared" si="7"/>
        <v>0</v>
      </c>
      <c r="J10" s="1119">
        <f t="shared" si="8"/>
        <v>10.766999999999999</v>
      </c>
      <c r="K10" s="1119">
        <f t="shared" si="9"/>
        <v>2.9130000000000003</v>
      </c>
      <c r="L10" s="1123"/>
      <c r="M10" s="1119">
        <f t="shared" si="0"/>
        <v>-21.606000000000002</v>
      </c>
      <c r="N10" s="1119">
        <f t="shared" si="10"/>
        <v>0</v>
      </c>
      <c r="O10" s="1146">
        <v>0.7</v>
      </c>
      <c r="P10" s="1141">
        <v>1.07</v>
      </c>
      <c r="Q10" s="1140">
        <v>0</v>
      </c>
      <c r="R10" s="1148">
        <v>0.60099999999999998</v>
      </c>
      <c r="S10" s="1142">
        <v>0</v>
      </c>
      <c r="T10" s="1103">
        <v>3.2000000000000001E-2</v>
      </c>
      <c r="U10" s="1140">
        <v>0.3</v>
      </c>
      <c r="V10" s="1148">
        <v>0</v>
      </c>
      <c r="W10" s="1112">
        <v>0.188</v>
      </c>
      <c r="X10" s="1112">
        <v>2E-3</v>
      </c>
      <c r="Y10" s="1140">
        <v>0</v>
      </c>
      <c r="Z10" s="1140">
        <v>0</v>
      </c>
      <c r="AA10" s="1140">
        <v>0</v>
      </c>
      <c r="AB10" s="1140">
        <v>0</v>
      </c>
      <c r="AC10" s="1142">
        <v>0</v>
      </c>
      <c r="AD10" s="1142">
        <v>0</v>
      </c>
      <c r="AE10" s="1142">
        <v>0</v>
      </c>
      <c r="AF10" s="1148">
        <v>0</v>
      </c>
      <c r="AG10" s="1142">
        <v>1.3759999999999999</v>
      </c>
      <c r="AH10" s="1142">
        <v>7.0000000000000007E-2</v>
      </c>
      <c r="AI10" s="1142">
        <v>0</v>
      </c>
      <c r="AJ10" s="1108">
        <v>0</v>
      </c>
      <c r="AK10" s="1140">
        <v>0</v>
      </c>
      <c r="AL10" s="1140">
        <v>10.766999999999999</v>
      </c>
      <c r="AM10" s="1142">
        <v>3.0000000000000001E-3</v>
      </c>
      <c r="AN10" s="1140">
        <v>0.2</v>
      </c>
      <c r="AO10" s="1138">
        <v>0.1</v>
      </c>
      <c r="AP10" s="1140">
        <v>0.05</v>
      </c>
      <c r="AQ10" s="1102">
        <v>0</v>
      </c>
      <c r="AR10" s="1140">
        <v>0</v>
      </c>
      <c r="AS10" s="1140">
        <v>0</v>
      </c>
      <c r="AT10" s="1112">
        <v>2.56</v>
      </c>
      <c r="AU10" s="1142">
        <v>0</v>
      </c>
      <c r="AV10" s="1140">
        <v>3.7999999999999999E-2</v>
      </c>
      <c r="AW10" s="1140">
        <v>2.5999999999999999E-2</v>
      </c>
      <c r="AX10" s="1140">
        <v>0</v>
      </c>
      <c r="AY10" s="1112">
        <v>-2.6700000000000004</v>
      </c>
      <c r="AZ10" s="1140">
        <v>0</v>
      </c>
      <c r="BA10" s="1112">
        <v>-19</v>
      </c>
      <c r="BB10" s="1140">
        <v>0</v>
      </c>
      <c r="BC10" s="1140">
        <v>0</v>
      </c>
      <c r="BD10" s="1140">
        <v>0</v>
      </c>
      <c r="BE10" s="1112">
        <v>0.88</v>
      </c>
      <c r="BF10" s="1112">
        <v>0</v>
      </c>
      <c r="BG10" s="1112">
        <v>0</v>
      </c>
      <c r="BH10" s="1142">
        <v>-2.8200000000000003</v>
      </c>
      <c r="BI10" s="1140">
        <v>-0.21</v>
      </c>
      <c r="BJ10" s="1130">
        <v>0.17</v>
      </c>
    </row>
    <row r="11" spans="1:62" x14ac:dyDescent="0.35">
      <c r="A11" s="1117">
        <v>2027</v>
      </c>
      <c r="B11" s="1119">
        <f t="shared" si="1"/>
        <v>0</v>
      </c>
      <c r="C11" s="1119">
        <f t="shared" si="2"/>
        <v>0</v>
      </c>
      <c r="D11" s="1119">
        <f t="shared" si="3"/>
        <v>3.2000000000000001E-2</v>
      </c>
      <c r="E11" s="1119">
        <f t="shared" si="4"/>
        <v>1.7130000000000001</v>
      </c>
      <c r="F11" s="1119">
        <f t="shared" si="11"/>
        <v>0</v>
      </c>
      <c r="G11" s="1119">
        <f t="shared" si="5"/>
        <v>-4.8169999999999993</v>
      </c>
      <c r="H11" s="1119">
        <f t="shared" si="6"/>
        <v>0.65699999999999992</v>
      </c>
      <c r="I11" s="1119">
        <f t="shared" si="7"/>
        <v>0</v>
      </c>
      <c r="J11" s="1119">
        <f t="shared" si="8"/>
        <v>4.0789999999999997</v>
      </c>
      <c r="K11" s="1119">
        <f t="shared" si="9"/>
        <v>2.46</v>
      </c>
      <c r="L11" s="1123"/>
      <c r="M11" s="1119">
        <f t="shared" si="0"/>
        <v>-14.713000000000001</v>
      </c>
      <c r="N11" s="1119">
        <f t="shared" si="10"/>
        <v>0</v>
      </c>
      <c r="O11" s="1146">
        <v>0.3</v>
      </c>
      <c r="P11" s="1141">
        <v>1.08</v>
      </c>
      <c r="Q11" s="1140">
        <v>0</v>
      </c>
      <c r="R11" s="1148">
        <v>0.63300000000000001</v>
      </c>
      <c r="S11" s="1106">
        <v>0</v>
      </c>
      <c r="T11" s="1140">
        <v>3.2000000000000001E-2</v>
      </c>
      <c r="U11" s="1140">
        <v>0</v>
      </c>
      <c r="V11" s="1142">
        <v>0</v>
      </c>
      <c r="W11" s="1112">
        <v>0</v>
      </c>
      <c r="X11" s="1112">
        <v>0</v>
      </c>
      <c r="Y11" s="1140">
        <v>0</v>
      </c>
      <c r="Z11" s="1140">
        <v>0</v>
      </c>
      <c r="AA11" s="1140">
        <v>0</v>
      </c>
      <c r="AB11" s="1140">
        <v>0</v>
      </c>
      <c r="AC11" s="1142">
        <v>0</v>
      </c>
      <c r="AD11" s="1148">
        <v>0</v>
      </c>
      <c r="AE11" s="1142">
        <v>0</v>
      </c>
      <c r="AF11" s="1148">
        <v>0</v>
      </c>
      <c r="AG11" s="1142">
        <v>0.57699999999999996</v>
      </c>
      <c r="AH11" s="1142">
        <v>0.08</v>
      </c>
      <c r="AI11" s="1142">
        <v>0</v>
      </c>
      <c r="AJ11" s="1142">
        <v>0</v>
      </c>
      <c r="AK11" s="1140">
        <v>0</v>
      </c>
      <c r="AL11" s="1140">
        <v>4.0789999999999997</v>
      </c>
      <c r="AM11" s="1140">
        <v>0</v>
      </c>
      <c r="AN11" s="1140">
        <v>0.1</v>
      </c>
      <c r="AO11" s="1138">
        <v>0.1</v>
      </c>
      <c r="AP11" s="1140">
        <v>0.03</v>
      </c>
      <c r="AQ11" s="1102">
        <v>0</v>
      </c>
      <c r="AR11" s="1140">
        <v>0</v>
      </c>
      <c r="AS11" s="1140">
        <v>0</v>
      </c>
      <c r="AT11" s="1138">
        <v>2.23</v>
      </c>
      <c r="AU11" s="1142">
        <v>0</v>
      </c>
      <c r="AV11" s="1140">
        <v>1.7000000000000001E-2</v>
      </c>
      <c r="AW11" s="1140">
        <v>0</v>
      </c>
      <c r="AX11" s="1140">
        <v>0</v>
      </c>
      <c r="AY11" s="1112">
        <v>-2.73</v>
      </c>
      <c r="AZ11" s="1140">
        <v>0</v>
      </c>
      <c r="BA11" s="1112">
        <v>-12</v>
      </c>
      <c r="BB11" s="1140">
        <v>0</v>
      </c>
      <c r="BC11" s="1140">
        <v>0</v>
      </c>
      <c r="BD11" s="1140">
        <v>0</v>
      </c>
      <c r="BE11" s="1112">
        <v>0.28000000000000003</v>
      </c>
      <c r="BF11" s="1112">
        <v>0</v>
      </c>
      <c r="BG11" s="1112">
        <v>0</v>
      </c>
      <c r="BH11" s="1107">
        <v>-5.0069999999999997</v>
      </c>
      <c r="BI11" s="1140">
        <v>-0.09</v>
      </c>
      <c r="BJ11" s="1131">
        <v>0.06</v>
      </c>
    </row>
    <row r="12" spans="1:62" x14ac:dyDescent="0.35">
      <c r="A12" s="1117">
        <v>2028</v>
      </c>
      <c r="B12" s="1119">
        <f t="shared" si="1"/>
        <v>0</v>
      </c>
      <c r="C12" s="1119">
        <f t="shared" si="2"/>
        <v>0</v>
      </c>
      <c r="D12" s="1119">
        <f t="shared" si="3"/>
        <v>3.3000000000000002E-2</v>
      </c>
      <c r="E12" s="1119">
        <f t="shared" si="4"/>
        <v>1.7130000000000001</v>
      </c>
      <c r="F12" s="1119">
        <f t="shared" si="11"/>
        <v>0</v>
      </c>
      <c r="G12" s="1119">
        <f t="shared" si="5"/>
        <v>-5.0590000000000002</v>
      </c>
      <c r="H12" s="1119">
        <f t="shared" si="6"/>
        <v>-1.071</v>
      </c>
      <c r="I12" s="1119">
        <f t="shared" si="7"/>
        <v>0</v>
      </c>
      <c r="J12" s="1119">
        <f t="shared" si="8"/>
        <v>1.635</v>
      </c>
      <c r="K12" s="1119">
        <f t="shared" si="9"/>
        <v>1.81</v>
      </c>
      <c r="L12" s="1123"/>
      <c r="M12" s="1119">
        <f t="shared" si="0"/>
        <v>-2.7690000000000001</v>
      </c>
      <c r="N12" s="1119">
        <f t="shared" si="10"/>
        <v>0</v>
      </c>
      <c r="O12" s="1146">
        <v>0.3</v>
      </c>
      <c r="P12" s="1141">
        <v>1.08</v>
      </c>
      <c r="Q12" s="1140">
        <v>0</v>
      </c>
      <c r="R12" s="1148">
        <v>0.63300000000000001</v>
      </c>
      <c r="S12" s="1106">
        <v>0</v>
      </c>
      <c r="T12" s="1109">
        <v>3.3000000000000002E-2</v>
      </c>
      <c r="U12" s="1140">
        <v>0</v>
      </c>
      <c r="V12" s="1142">
        <v>0</v>
      </c>
      <c r="W12" s="1112">
        <v>0</v>
      </c>
      <c r="X12" s="1112">
        <v>0</v>
      </c>
      <c r="Y12" s="1140">
        <v>0</v>
      </c>
      <c r="Z12" s="1140">
        <v>0</v>
      </c>
      <c r="AA12" s="1140">
        <v>0</v>
      </c>
      <c r="AB12" s="1140">
        <v>0</v>
      </c>
      <c r="AC12" s="1142">
        <v>0</v>
      </c>
      <c r="AD12" s="1142">
        <v>0</v>
      </c>
      <c r="AE12" s="1142">
        <v>0</v>
      </c>
      <c r="AF12" s="1142">
        <v>0</v>
      </c>
      <c r="AG12" s="1142">
        <v>-1.151</v>
      </c>
      <c r="AH12" s="1142">
        <v>0.08</v>
      </c>
      <c r="AI12" s="1142">
        <v>0</v>
      </c>
      <c r="AJ12" s="1142">
        <v>0</v>
      </c>
      <c r="AK12" s="1140">
        <v>0</v>
      </c>
      <c r="AL12" s="1140">
        <v>1.635</v>
      </c>
      <c r="AM12" s="1140">
        <v>0</v>
      </c>
      <c r="AN12" s="1140">
        <v>0.1</v>
      </c>
      <c r="AO12" s="1112">
        <v>0</v>
      </c>
      <c r="AP12" s="1140">
        <v>0</v>
      </c>
      <c r="AQ12" s="1102">
        <v>0</v>
      </c>
      <c r="AR12" s="1140">
        <v>0</v>
      </c>
      <c r="AS12" s="1140">
        <v>0</v>
      </c>
      <c r="AT12" s="1138">
        <v>1.71</v>
      </c>
      <c r="AU12" s="1142">
        <v>0</v>
      </c>
      <c r="AV12" s="1140">
        <v>1E-3</v>
      </c>
      <c r="AW12" s="1140">
        <v>0</v>
      </c>
      <c r="AX12" s="1140">
        <v>0</v>
      </c>
      <c r="AY12" s="1112">
        <v>-2.77</v>
      </c>
      <c r="AZ12" s="1140">
        <v>0</v>
      </c>
      <c r="BA12" s="1112">
        <v>0</v>
      </c>
      <c r="BB12" s="1140">
        <v>0</v>
      </c>
      <c r="BC12" s="1140">
        <v>0</v>
      </c>
      <c r="BD12" s="1140">
        <v>0</v>
      </c>
      <c r="BE12" s="1112">
        <v>0.1</v>
      </c>
      <c r="BF12" s="1112">
        <v>0</v>
      </c>
      <c r="BG12" s="1112">
        <v>0</v>
      </c>
      <c r="BH12" s="1107">
        <v>-5.069</v>
      </c>
      <c r="BI12" s="1140">
        <v>-0.09</v>
      </c>
      <c r="BJ12" s="1131">
        <v>0.03</v>
      </c>
    </row>
    <row r="13" spans="1:62" x14ac:dyDescent="0.35">
      <c r="A13" s="1117">
        <v>2029</v>
      </c>
      <c r="B13" s="1119">
        <f t="shared" si="1"/>
        <v>0</v>
      </c>
      <c r="C13" s="1119">
        <f t="shared" si="2"/>
        <v>0</v>
      </c>
      <c r="D13" s="1119">
        <f t="shared" si="3"/>
        <v>3.3000000000000002E-2</v>
      </c>
      <c r="E13" s="1119">
        <f t="shared" si="4"/>
        <v>1.7130000000000001</v>
      </c>
      <c r="F13" s="1119">
        <f t="shared" si="11"/>
        <v>0</v>
      </c>
      <c r="G13" s="1119">
        <f t="shared" si="5"/>
        <v>-5.218</v>
      </c>
      <c r="H13" s="1119">
        <f t="shared" si="6"/>
        <v>-1.964</v>
      </c>
      <c r="I13" s="1119">
        <f t="shared" si="7"/>
        <v>0</v>
      </c>
      <c r="J13" s="1119">
        <f t="shared" si="8"/>
        <v>-1.7000000000000001E-2</v>
      </c>
      <c r="K13" s="1119">
        <f t="shared" si="9"/>
        <v>1</v>
      </c>
      <c r="L13" s="1123"/>
      <c r="M13" s="1119">
        <f t="shared" si="0"/>
        <v>-2.75</v>
      </c>
      <c r="N13" s="1119">
        <f t="shared" si="10"/>
        <v>0</v>
      </c>
      <c r="O13" s="1146">
        <v>0.3</v>
      </c>
      <c r="P13" s="1141">
        <v>1.08</v>
      </c>
      <c r="Q13" s="1140">
        <v>0</v>
      </c>
      <c r="R13" s="1148">
        <v>0.63300000000000001</v>
      </c>
      <c r="S13" s="1106">
        <v>0</v>
      </c>
      <c r="T13" s="1142">
        <v>3.3000000000000002E-2</v>
      </c>
      <c r="U13" s="1140">
        <v>0</v>
      </c>
      <c r="V13" s="1142">
        <v>0</v>
      </c>
      <c r="W13" s="1112">
        <v>0</v>
      </c>
      <c r="X13" s="1112">
        <v>0</v>
      </c>
      <c r="Y13" s="1140">
        <v>0</v>
      </c>
      <c r="Z13" s="1140">
        <v>0</v>
      </c>
      <c r="AA13" s="1140">
        <v>0</v>
      </c>
      <c r="AB13" s="1140">
        <v>0</v>
      </c>
      <c r="AC13" s="1142">
        <v>0</v>
      </c>
      <c r="AD13" s="1142">
        <v>0</v>
      </c>
      <c r="AE13" s="1142">
        <v>0</v>
      </c>
      <c r="AF13" s="1142">
        <v>0</v>
      </c>
      <c r="AG13" s="1140">
        <v>-2.044</v>
      </c>
      <c r="AH13" s="1142">
        <v>0.08</v>
      </c>
      <c r="AI13" s="1142">
        <v>0</v>
      </c>
      <c r="AJ13" s="1110">
        <v>0</v>
      </c>
      <c r="AK13" s="1140">
        <v>0</v>
      </c>
      <c r="AL13" s="1140">
        <v>-1.7000000000000001E-2</v>
      </c>
      <c r="AM13" s="1140">
        <v>0</v>
      </c>
      <c r="AN13" s="1140">
        <v>0</v>
      </c>
      <c r="AO13" s="1112">
        <v>0</v>
      </c>
      <c r="AP13" s="1140">
        <v>0</v>
      </c>
      <c r="AQ13" s="1102">
        <v>0</v>
      </c>
      <c r="AR13" s="1140">
        <v>0</v>
      </c>
      <c r="AS13" s="1140">
        <v>0</v>
      </c>
      <c r="AT13" s="1138">
        <v>1</v>
      </c>
      <c r="AU13" s="1142">
        <v>0</v>
      </c>
      <c r="AV13" s="1140">
        <v>0</v>
      </c>
      <c r="AW13" s="1140">
        <v>0</v>
      </c>
      <c r="AX13" s="1140">
        <v>0</v>
      </c>
      <c r="AY13" s="1112">
        <v>-2.75</v>
      </c>
      <c r="AZ13" s="1140">
        <v>0</v>
      </c>
      <c r="BA13" s="1112">
        <v>0</v>
      </c>
      <c r="BB13" s="1140">
        <v>0</v>
      </c>
      <c r="BC13" s="1140">
        <v>0</v>
      </c>
      <c r="BD13" s="1140">
        <v>0</v>
      </c>
      <c r="BE13" s="1112">
        <v>0</v>
      </c>
      <c r="BF13" s="1111">
        <v>0</v>
      </c>
      <c r="BG13" s="1112">
        <v>0</v>
      </c>
      <c r="BH13" s="1107">
        <v>-5.1180000000000003</v>
      </c>
      <c r="BI13" s="1140">
        <v>-0.1</v>
      </c>
      <c r="BJ13" s="1131">
        <v>0.01</v>
      </c>
    </row>
    <row r="14" spans="1:62" x14ac:dyDescent="0.35">
      <c r="A14" s="1117">
        <v>2030</v>
      </c>
      <c r="B14" s="1119">
        <f t="shared" si="1"/>
        <v>0</v>
      </c>
      <c r="C14" s="1119">
        <f t="shared" si="2"/>
        <v>0</v>
      </c>
      <c r="D14" s="1119">
        <f t="shared" si="3"/>
        <v>3.3000000000000002E-2</v>
      </c>
      <c r="E14" s="1119">
        <f t="shared" si="4"/>
        <v>1.8130000000000002</v>
      </c>
      <c r="F14" s="1119">
        <f t="shared" si="11"/>
        <v>0</v>
      </c>
      <c r="G14" s="1119">
        <f t="shared" si="5"/>
        <v>-5.9420000000000002</v>
      </c>
      <c r="H14" s="1119">
        <f t="shared" si="6"/>
        <v>-2.0210000000000004</v>
      </c>
      <c r="I14" s="1119">
        <f t="shared" si="7"/>
        <v>0</v>
      </c>
      <c r="J14" s="1119">
        <f t="shared" si="8"/>
        <v>-1.9E-2</v>
      </c>
      <c r="K14" s="1119">
        <f t="shared" si="9"/>
        <v>0.8</v>
      </c>
      <c r="L14" s="1123"/>
      <c r="M14" s="1119">
        <f t="shared" si="0"/>
        <v>-8.1189999999999998</v>
      </c>
      <c r="N14" s="1119">
        <f t="shared" si="10"/>
        <v>0</v>
      </c>
      <c r="O14" s="1146">
        <v>0.3</v>
      </c>
      <c r="P14" s="1141">
        <v>1.1800000000000002</v>
      </c>
      <c r="Q14" s="1140">
        <v>0</v>
      </c>
      <c r="R14" s="1148">
        <v>0.63300000000000001</v>
      </c>
      <c r="S14" s="1106">
        <v>0</v>
      </c>
      <c r="T14" s="1142">
        <v>3.3000000000000002E-2</v>
      </c>
      <c r="U14" s="1140">
        <v>0</v>
      </c>
      <c r="V14" s="1142">
        <v>0</v>
      </c>
      <c r="W14" s="1112">
        <v>0</v>
      </c>
      <c r="X14" s="1112">
        <v>0</v>
      </c>
      <c r="Y14" s="1140">
        <v>0</v>
      </c>
      <c r="Z14" s="1140">
        <v>0</v>
      </c>
      <c r="AA14" s="1140">
        <v>0</v>
      </c>
      <c r="AB14" s="1140">
        <v>0</v>
      </c>
      <c r="AC14" s="1142">
        <v>0</v>
      </c>
      <c r="AD14" s="1148">
        <v>0</v>
      </c>
      <c r="AE14" s="1140">
        <v>0</v>
      </c>
      <c r="AF14" s="1142">
        <v>0</v>
      </c>
      <c r="AG14" s="1142">
        <v>-2.1110000000000002</v>
      </c>
      <c r="AH14" s="1142">
        <v>0.09</v>
      </c>
      <c r="AI14" s="1142">
        <v>0</v>
      </c>
      <c r="AJ14" s="1113">
        <v>0</v>
      </c>
      <c r="AK14" s="1140">
        <v>0</v>
      </c>
      <c r="AL14" s="1140">
        <v>-1.9E-2</v>
      </c>
      <c r="AM14" s="1140">
        <v>0</v>
      </c>
      <c r="AN14" s="1140">
        <v>0</v>
      </c>
      <c r="AO14" s="1112">
        <v>0</v>
      </c>
      <c r="AP14" s="1140">
        <v>0</v>
      </c>
      <c r="AQ14" s="1102">
        <v>0</v>
      </c>
      <c r="AR14" s="1140">
        <v>0</v>
      </c>
      <c r="AS14" s="1140">
        <v>0</v>
      </c>
      <c r="AT14" s="1112">
        <v>0.8</v>
      </c>
      <c r="AU14" s="1142">
        <v>-5.4089999999999998</v>
      </c>
      <c r="AV14" s="1140">
        <v>0</v>
      </c>
      <c r="AW14" s="1140">
        <v>0</v>
      </c>
      <c r="AX14" s="1140">
        <v>0</v>
      </c>
      <c r="AY14" s="1112">
        <v>-2.71</v>
      </c>
      <c r="AZ14" s="1140">
        <v>0</v>
      </c>
      <c r="BA14" s="1112">
        <v>0</v>
      </c>
      <c r="BB14" s="1140">
        <v>0</v>
      </c>
      <c r="BC14" s="1140">
        <v>0</v>
      </c>
      <c r="BD14" s="1140">
        <v>0</v>
      </c>
      <c r="BE14" s="1140">
        <v>0</v>
      </c>
      <c r="BF14" s="1112">
        <v>0</v>
      </c>
      <c r="BG14" s="1112">
        <v>0</v>
      </c>
      <c r="BH14" s="1142">
        <v>-5.8319999999999999</v>
      </c>
      <c r="BI14" s="1140">
        <v>-0.11</v>
      </c>
      <c r="BJ14" s="1130">
        <v>0.01</v>
      </c>
    </row>
    <row r="15" spans="1:62" ht="17.25" customHeight="1" x14ac:dyDescent="0.35">
      <c r="A15" s="1117">
        <v>2031</v>
      </c>
      <c r="B15" s="1119">
        <f t="shared" si="1"/>
        <v>0</v>
      </c>
      <c r="C15" s="1119">
        <f t="shared" si="2"/>
        <v>0</v>
      </c>
      <c r="D15" s="1119">
        <f t="shared" si="3"/>
        <v>0</v>
      </c>
      <c r="E15" s="1119">
        <f t="shared" si="4"/>
        <v>1.8230000000000002</v>
      </c>
      <c r="F15" s="1119">
        <f t="shared" si="11"/>
        <v>0</v>
      </c>
      <c r="G15" s="1119">
        <f t="shared" si="5"/>
        <v>-7.7250000000000005</v>
      </c>
      <c r="H15" s="1119">
        <f t="shared" si="6"/>
        <v>-2.4630000000000001</v>
      </c>
      <c r="I15" s="1119">
        <f t="shared" si="7"/>
        <v>0</v>
      </c>
      <c r="J15" s="1119">
        <f t="shared" si="8"/>
        <v>-1.9E-2</v>
      </c>
      <c r="K15" s="1119">
        <f t="shared" si="9"/>
        <v>0</v>
      </c>
      <c r="L15" s="1123"/>
      <c r="M15" s="1119">
        <f t="shared" si="0"/>
        <v>-3.0390000000000001</v>
      </c>
      <c r="N15" s="1119">
        <f t="shared" si="10"/>
        <v>0</v>
      </c>
      <c r="O15" s="1146">
        <v>0.3</v>
      </c>
      <c r="P15" s="1141">
        <v>1.1900000000000002</v>
      </c>
      <c r="Q15" s="1140">
        <v>0</v>
      </c>
      <c r="R15" s="1148">
        <v>0.63300000000000001</v>
      </c>
      <c r="S15" s="1106">
        <v>0</v>
      </c>
      <c r="T15" s="1112">
        <v>0</v>
      </c>
      <c r="U15" s="1140">
        <v>0</v>
      </c>
      <c r="V15" s="1140">
        <v>0</v>
      </c>
      <c r="W15" s="1112">
        <v>0</v>
      </c>
      <c r="X15" s="1112">
        <v>0</v>
      </c>
      <c r="Y15" s="1140">
        <v>0</v>
      </c>
      <c r="Z15" s="1140">
        <v>0</v>
      </c>
      <c r="AA15" s="1140">
        <v>0</v>
      </c>
      <c r="AB15" s="1140">
        <v>0</v>
      </c>
      <c r="AC15" s="1142">
        <v>0</v>
      </c>
      <c r="AD15" s="1140">
        <v>0</v>
      </c>
      <c r="AE15" s="1142">
        <v>0</v>
      </c>
      <c r="AF15" s="1142">
        <v>0</v>
      </c>
      <c r="AG15" s="1142">
        <v>-2.5529999999999999</v>
      </c>
      <c r="AH15" s="1142">
        <v>0.09</v>
      </c>
      <c r="AI15" s="1142">
        <v>0</v>
      </c>
      <c r="AJ15" s="1114">
        <v>0</v>
      </c>
      <c r="AK15" s="1140">
        <v>0</v>
      </c>
      <c r="AL15" s="1140">
        <v>-1.9E-2</v>
      </c>
      <c r="AM15" s="1140">
        <v>0</v>
      </c>
      <c r="AN15" s="1140">
        <v>0</v>
      </c>
      <c r="AO15" s="1112">
        <v>0</v>
      </c>
      <c r="AP15" s="1140">
        <v>0</v>
      </c>
      <c r="AQ15" s="1102">
        <v>0</v>
      </c>
      <c r="AR15" s="1140">
        <v>0</v>
      </c>
      <c r="AS15" s="1140">
        <v>0</v>
      </c>
      <c r="AT15" s="1112">
        <v>0</v>
      </c>
      <c r="AU15" s="1142">
        <v>-0.26900000000000002</v>
      </c>
      <c r="AV15" s="1140">
        <v>0</v>
      </c>
      <c r="AW15" s="1140">
        <v>0</v>
      </c>
      <c r="AX15" s="1140">
        <v>0</v>
      </c>
      <c r="AY15" s="1112">
        <v>-2.77</v>
      </c>
      <c r="AZ15" s="1140">
        <v>0</v>
      </c>
      <c r="BA15" s="1112">
        <v>0</v>
      </c>
      <c r="BB15" s="1140">
        <v>0</v>
      </c>
      <c r="BC15" s="1140">
        <v>0</v>
      </c>
      <c r="BD15" s="1140">
        <v>0</v>
      </c>
      <c r="BE15" s="1140">
        <v>0</v>
      </c>
      <c r="BF15" s="1112">
        <v>0</v>
      </c>
      <c r="BG15" s="1112">
        <v>0</v>
      </c>
      <c r="BH15" s="1142">
        <v>-5.4350000000000005</v>
      </c>
      <c r="BI15" s="1140">
        <v>-2.29</v>
      </c>
      <c r="BJ15" s="1130">
        <v>0</v>
      </c>
    </row>
    <row r="16" spans="1:62" x14ac:dyDescent="0.35">
      <c r="A16" s="1118" t="s">
        <v>360</v>
      </c>
      <c r="B16" s="1118">
        <f>SUM(B5:B15)</f>
        <v>412.15299999999996</v>
      </c>
      <c r="C16" s="1118">
        <f>SUM(C5:C15)</f>
        <v>205.79999999999998</v>
      </c>
      <c r="D16" s="1118">
        <f>SUM(D5:D15)</f>
        <v>22.711000000000006</v>
      </c>
      <c r="E16" s="1118">
        <f t="shared" ref="E16:H16" si="12">SUM(E5:E15)</f>
        <v>35.466000000000015</v>
      </c>
      <c r="F16" s="1118">
        <f t="shared" si="12"/>
        <v>91.563000000000002</v>
      </c>
      <c r="G16" s="1119">
        <f t="shared" si="5"/>
        <v>174.17</v>
      </c>
      <c r="H16" s="1118">
        <f t="shared" si="12"/>
        <v>21.600999999999996</v>
      </c>
      <c r="I16" s="1123">
        <f t="shared" ref="I16" si="13">SUM(I5:I15)</f>
        <v>362.04999999999995</v>
      </c>
      <c r="J16" s="1123">
        <f t="shared" ref="J16" si="14">SUM(J5:J15)</f>
        <v>169.16899999999998</v>
      </c>
      <c r="K16" s="1119">
        <f t="shared" si="9"/>
        <v>112.72</v>
      </c>
      <c r="L16" s="1123">
        <f>SUM(L5:L15)</f>
        <v>25.75</v>
      </c>
      <c r="M16" s="1119">
        <f t="shared" si="0"/>
        <v>85.197999999999993</v>
      </c>
      <c r="N16" s="1119">
        <f>AK16</f>
        <v>8.5</v>
      </c>
      <c r="O16" s="1147">
        <f t="shared" ref="O16:BI16" si="15">SUM(O5:O15)</f>
        <v>109.3</v>
      </c>
      <c r="P16" s="1140">
        <f t="shared" si="15"/>
        <v>25.819999999999997</v>
      </c>
      <c r="Q16" s="1140">
        <f t="shared" si="15"/>
        <v>412.15299999999996</v>
      </c>
      <c r="R16" s="1140">
        <f t="shared" si="15"/>
        <v>5.774</v>
      </c>
      <c r="S16" s="1140">
        <f t="shared" si="15"/>
        <v>3.8719999999999999</v>
      </c>
      <c r="T16" s="1140">
        <f t="shared" si="15"/>
        <v>22.711000000000006</v>
      </c>
      <c r="U16" s="1140">
        <f t="shared" si="15"/>
        <v>41.599999999999994</v>
      </c>
      <c r="V16" s="1140">
        <f t="shared" si="15"/>
        <v>44.947999999999993</v>
      </c>
      <c r="W16" s="1140">
        <f t="shared" si="15"/>
        <v>5</v>
      </c>
      <c r="X16" s="1140">
        <f t="shared" si="15"/>
        <v>1.4440000000000002</v>
      </c>
      <c r="Y16" s="1140">
        <f t="shared" si="15"/>
        <v>0.2</v>
      </c>
      <c r="Z16" s="1140">
        <f t="shared" si="15"/>
        <v>45.4</v>
      </c>
      <c r="AA16" s="1140">
        <f t="shared" si="15"/>
        <v>35.5</v>
      </c>
      <c r="AB16" s="1140">
        <f t="shared" si="15"/>
        <v>124.7</v>
      </c>
      <c r="AC16" s="1140">
        <f t="shared" si="15"/>
        <v>28</v>
      </c>
      <c r="AD16" s="1140">
        <f t="shared" si="15"/>
        <v>9.100000000000022E-2</v>
      </c>
      <c r="AE16" s="1140">
        <f t="shared" si="15"/>
        <v>22.810000000000002</v>
      </c>
      <c r="AF16" s="1140">
        <f t="shared" si="15"/>
        <v>1.42</v>
      </c>
      <c r="AG16" s="1140">
        <f t="shared" si="15"/>
        <v>20.662999999999997</v>
      </c>
      <c r="AH16" s="1140">
        <f t="shared" si="15"/>
        <v>0.86999999999999988</v>
      </c>
      <c r="AI16" s="1140">
        <f t="shared" si="15"/>
        <v>6.8000000000000005E-2</v>
      </c>
      <c r="AJ16" s="1140">
        <f t="shared" si="15"/>
        <v>362.04999999999995</v>
      </c>
      <c r="AK16" s="1140">
        <f t="shared" ref="AK16:AO16" si="16">SUM(AK5:AK15)</f>
        <v>8.5</v>
      </c>
      <c r="AL16" s="1140">
        <f t="shared" si="16"/>
        <v>169.16899999999998</v>
      </c>
      <c r="AM16" s="1121">
        <f t="shared" si="16"/>
        <v>0.79700000000000004</v>
      </c>
      <c r="AN16" s="1140">
        <f t="shared" si="16"/>
        <v>8.6</v>
      </c>
      <c r="AO16" s="1140">
        <f t="shared" si="16"/>
        <v>3.2000000000000006</v>
      </c>
      <c r="AP16" s="1140">
        <f t="shared" si="15"/>
        <v>2.8000000000000003</v>
      </c>
      <c r="AQ16" s="1124">
        <f>SUM(AQ5:AQ15)</f>
        <v>28</v>
      </c>
      <c r="AR16" s="1140">
        <f>SUM(AR5:AR15)</f>
        <v>14.899999999999999</v>
      </c>
      <c r="AS16" s="1140">
        <f>SUM(AS5:AS15)</f>
        <v>3.8730000000000002</v>
      </c>
      <c r="AT16" s="1140">
        <f t="shared" ref="AT16" si="17">SUM(AT5:AT15)</f>
        <v>50.54999999999999</v>
      </c>
      <c r="AU16" s="1140">
        <f t="shared" si="15"/>
        <v>-5.6779999999999999</v>
      </c>
      <c r="AV16" s="1140">
        <f t="shared" si="15"/>
        <v>8.177999999999999</v>
      </c>
      <c r="AW16" s="1140">
        <f t="shared" si="15"/>
        <v>16.667999999999999</v>
      </c>
      <c r="AX16" s="1140">
        <f t="shared" si="15"/>
        <v>9.9</v>
      </c>
      <c r="AY16" s="1140">
        <f t="shared" si="15"/>
        <v>-25.860000000000003</v>
      </c>
      <c r="AZ16" s="1140">
        <f t="shared" si="15"/>
        <v>81.99</v>
      </c>
      <c r="BA16" s="1140">
        <v>0</v>
      </c>
      <c r="BB16" s="1140">
        <f t="shared" si="15"/>
        <v>24</v>
      </c>
      <c r="BC16" s="1140">
        <f t="shared" si="15"/>
        <v>7.25</v>
      </c>
      <c r="BD16" s="1140">
        <f t="shared" si="15"/>
        <v>49.8</v>
      </c>
      <c r="BE16" s="1140">
        <f t="shared" si="15"/>
        <v>9.02</v>
      </c>
      <c r="BF16" s="1140">
        <f t="shared" si="15"/>
        <v>6.2439999999999998</v>
      </c>
      <c r="BG16" s="1140">
        <f t="shared" si="15"/>
        <v>10.218</v>
      </c>
      <c r="BH16" s="1140">
        <f t="shared" si="15"/>
        <v>50.203999999999979</v>
      </c>
      <c r="BI16" s="1140">
        <f t="shared" si="15"/>
        <v>24.684000000000005</v>
      </c>
      <c r="BJ16" s="1132">
        <f>SUM(BJ5:BJ15)</f>
        <v>9.5399999999999991</v>
      </c>
    </row>
    <row r="17" spans="2:61" x14ac:dyDescent="0.35">
      <c r="R17" s="1148"/>
      <c r="S17" s="1148"/>
      <c r="W17" s="1148"/>
      <c r="X17" s="1148"/>
      <c r="AE17" s="1148"/>
      <c r="AF17" s="1148"/>
      <c r="AV17" s="1148"/>
      <c r="AW17" s="1148"/>
      <c r="AX17" s="1148"/>
      <c r="AY17" s="1148"/>
      <c r="AZ17" s="1148"/>
      <c r="BA17" s="1148"/>
      <c r="BC17" s="1148"/>
      <c r="BE17" s="1148"/>
      <c r="BF17" s="1148"/>
      <c r="BG17" s="1148"/>
    </row>
    <row r="18" spans="2:61" x14ac:dyDescent="0.35">
      <c r="R18" s="1148"/>
      <c r="S18" s="1148"/>
      <c r="W18" s="1148"/>
      <c r="X18" s="1148"/>
      <c r="AE18" s="1148"/>
      <c r="AF18" s="1148"/>
      <c r="AV18" s="1148"/>
      <c r="AW18" s="1148"/>
      <c r="AX18" s="1148"/>
      <c r="AY18" s="1148"/>
      <c r="AZ18" s="1148"/>
      <c r="BA18" s="1148"/>
      <c r="BC18" s="1148" t="s">
        <v>792</v>
      </c>
      <c r="BD18" s="1148" t="s">
        <v>792</v>
      </c>
      <c r="BE18" s="1148"/>
      <c r="BF18" s="1148" t="s">
        <v>792</v>
      </c>
      <c r="BG18" s="1148" t="s">
        <v>792</v>
      </c>
      <c r="BI18" s="1148" t="s">
        <v>792</v>
      </c>
    </row>
    <row r="19" spans="2:61" x14ac:dyDescent="0.35">
      <c r="B19" s="1125"/>
      <c r="C19" s="1125"/>
      <c r="D19" s="1125"/>
      <c r="E19" s="1125"/>
      <c r="F19" s="1125"/>
      <c r="H19" s="1125"/>
      <c r="I19" s="1125"/>
      <c r="J19" s="1125"/>
      <c r="K19" s="1125"/>
      <c r="M19" s="1125"/>
      <c r="N19" s="1125"/>
      <c r="R19" s="1148"/>
      <c r="S19" s="1148"/>
      <c r="W19" s="1148"/>
      <c r="X19" s="1148"/>
      <c r="AE19" s="1148"/>
      <c r="AF19" s="1148"/>
      <c r="AV19" s="1148"/>
      <c r="AW19" s="1148"/>
      <c r="AX19" s="1148"/>
      <c r="AY19" s="1148"/>
      <c r="AZ19" s="1148"/>
      <c r="BA19" s="1148"/>
      <c r="BC19" s="1148"/>
      <c r="BD19" t="s">
        <v>793</v>
      </c>
      <c r="BE19" s="1148"/>
      <c r="BF19" s="1148"/>
      <c r="BG19" s="1148"/>
    </row>
    <row r="20" spans="2:61" x14ac:dyDescent="0.35">
      <c r="R20" s="1148"/>
      <c r="S20" s="1148"/>
      <c r="W20" s="1148"/>
      <c r="X20" s="1148"/>
      <c r="AE20" s="1148"/>
      <c r="AF20" s="1148"/>
      <c r="AV20" s="1148"/>
      <c r="AW20" s="1148"/>
      <c r="AX20" s="1148"/>
      <c r="AY20" s="1148"/>
      <c r="AZ20" s="1148"/>
      <c r="BA20" s="1148"/>
      <c r="BC20" s="1148"/>
      <c r="BE20" s="1148"/>
      <c r="BF20" s="1148"/>
      <c r="BG20" s="1148"/>
    </row>
    <row r="21" spans="2:61" x14ac:dyDescent="0.35">
      <c r="R21" s="1148"/>
      <c r="S21" s="1148"/>
      <c r="W21" s="1148"/>
      <c r="X21" s="1148"/>
      <c r="AE21" s="1148"/>
      <c r="AF21" s="1148"/>
      <c r="AV21" s="1148"/>
      <c r="AW21" s="1148"/>
      <c r="AX21" s="1148"/>
      <c r="AY21" s="1148"/>
      <c r="AZ21" s="1148"/>
      <c r="BA21" s="1148"/>
      <c r="BC21" s="1148"/>
      <c r="BE21" s="1148"/>
      <c r="BF21" s="1148"/>
      <c r="BG21" s="1148"/>
    </row>
    <row r="22" spans="2:61" x14ac:dyDescent="0.35">
      <c r="B22" s="1125"/>
      <c r="R22" s="1148"/>
      <c r="S22" s="1148"/>
      <c r="W22" s="1148"/>
      <c r="X22" s="1148"/>
      <c r="AE22" s="1148"/>
      <c r="AF22" s="1148"/>
      <c r="AV22" s="1148"/>
      <c r="AW22" s="1148"/>
      <c r="AX22" s="1148"/>
      <c r="AY22" s="1148"/>
      <c r="AZ22" s="1148"/>
      <c r="BA22" s="1148"/>
      <c r="BC22" s="1148"/>
      <c r="BE22" s="1148"/>
      <c r="BF22" s="1148"/>
      <c r="BG22" s="1148"/>
    </row>
    <row r="23" spans="2:61" x14ac:dyDescent="0.35">
      <c r="B23" s="1125"/>
      <c r="R23" s="1148"/>
      <c r="S23" s="1148"/>
      <c r="W23" s="1148"/>
      <c r="X23" s="1148"/>
      <c r="AE23" s="1148"/>
      <c r="AF23" s="1148"/>
      <c r="AV23" s="1148"/>
      <c r="AW23" s="1148"/>
      <c r="AX23" s="1148"/>
      <c r="AY23" s="1148"/>
      <c r="AZ23" s="1148"/>
      <c r="BA23" s="1148"/>
      <c r="BC23" s="1148"/>
      <c r="BE23" s="1148"/>
      <c r="BF23" s="1148"/>
      <c r="BG23" s="1148"/>
    </row>
    <row r="24" spans="2:61" x14ac:dyDescent="0.35">
      <c r="B24" s="1125"/>
      <c r="R24" s="1148"/>
      <c r="S24" s="1148"/>
      <c r="W24" s="1148"/>
      <c r="X24" s="1148"/>
      <c r="AE24" s="1148"/>
      <c r="AF24" s="1148"/>
      <c r="AV24" s="1148"/>
      <c r="AW24" s="1148"/>
      <c r="AX24" s="1148"/>
      <c r="AY24" s="1148"/>
      <c r="AZ24" s="1148"/>
      <c r="BA24" s="1148"/>
      <c r="BC24" s="1148"/>
      <c r="BE24" s="1148"/>
      <c r="BF24" s="1148"/>
      <c r="BG24" s="1148"/>
    </row>
    <row r="25" spans="2:61" x14ac:dyDescent="0.35">
      <c r="B25" s="1125"/>
      <c r="R25" s="1148"/>
      <c r="S25" s="1148"/>
      <c r="W25" s="1148"/>
      <c r="X25" s="1148"/>
      <c r="AE25" s="1148"/>
      <c r="AF25" s="1148"/>
      <c r="AV25" s="1148"/>
      <c r="AW25" s="1148"/>
      <c r="AX25" s="1148"/>
      <c r="AY25" s="1148"/>
      <c r="AZ25" s="1148"/>
      <c r="BA25" s="1148"/>
      <c r="BC25" s="1148"/>
      <c r="BE25" s="1148"/>
      <c r="BF25" s="1148"/>
      <c r="BG25" s="1148"/>
    </row>
    <row r="26" spans="2:61" x14ac:dyDescent="0.35">
      <c r="B26" s="1125"/>
      <c r="R26" s="1148"/>
      <c r="S26" s="1148"/>
      <c r="W26" s="1148"/>
      <c r="X26" s="1148"/>
      <c r="AE26" s="1148"/>
      <c r="AF26" s="1148"/>
      <c r="AV26" s="1148"/>
      <c r="AW26" s="1148"/>
      <c r="AX26" s="1148"/>
      <c r="AY26" s="1148"/>
      <c r="AZ26" s="1148"/>
      <c r="BA26" s="1148"/>
      <c r="BC26" s="1148"/>
      <c r="BE26" s="1148"/>
      <c r="BF26" s="1148"/>
      <c r="BG26" s="1148"/>
    </row>
    <row r="27" spans="2:61" x14ac:dyDescent="0.35">
      <c r="B27" s="1125"/>
      <c r="R27" s="1148"/>
      <c r="S27" s="1148"/>
      <c r="W27" s="1148"/>
      <c r="X27" s="1148"/>
      <c r="AE27" s="1148"/>
      <c r="AF27" s="1148"/>
      <c r="AV27" s="1148"/>
      <c r="AW27" s="1148"/>
      <c r="AX27" s="1148"/>
      <c r="AY27" s="1148"/>
      <c r="AZ27" s="1148"/>
      <c r="BA27" s="1148"/>
      <c r="BC27" s="1148"/>
      <c r="BE27" s="1148"/>
      <c r="BF27" s="1148"/>
      <c r="BG27" s="1148"/>
    </row>
    <row r="28" spans="2:61" x14ac:dyDescent="0.35">
      <c r="B28" s="1125"/>
      <c r="R28" s="1148"/>
      <c r="S28" s="1148"/>
      <c r="W28" s="1148"/>
      <c r="X28" s="1148"/>
      <c r="AE28" s="1148"/>
      <c r="AF28" s="1148"/>
      <c r="AV28" s="1148"/>
      <c r="AW28" s="1148"/>
      <c r="AX28" s="1148"/>
      <c r="AY28" s="1148"/>
      <c r="AZ28" s="1148"/>
      <c r="BA28" s="1148"/>
      <c r="BC28" s="1148"/>
      <c r="BE28" s="1148"/>
      <c r="BF28" s="1148"/>
      <c r="BG28" s="1148"/>
    </row>
    <row r="29" spans="2:61" x14ac:dyDescent="0.35">
      <c r="R29" s="1148"/>
      <c r="S29" s="1148"/>
      <c r="W29" s="1148"/>
      <c r="X29" s="1148"/>
      <c r="AE29" s="1148"/>
      <c r="AF29" s="1148"/>
      <c r="AV29" s="1148"/>
      <c r="AW29" s="1148"/>
      <c r="AX29" s="1148"/>
      <c r="AY29" s="1148"/>
      <c r="AZ29" s="1148"/>
      <c r="BA29" s="1148"/>
      <c r="BC29" s="1148"/>
      <c r="BE29" s="1148"/>
      <c r="BF29" s="1148"/>
      <c r="BG29" s="1148"/>
    </row>
    <row r="30" spans="2:61" x14ac:dyDescent="0.35">
      <c r="R30" s="1148"/>
      <c r="S30" s="1148"/>
      <c r="W30" s="1148"/>
      <c r="X30" s="1148"/>
      <c r="AE30" s="1148"/>
      <c r="AF30" s="1148"/>
      <c r="AV30" s="1148"/>
      <c r="AW30" s="1148"/>
      <c r="AX30" s="1148"/>
      <c r="AY30" s="1148"/>
      <c r="AZ30" s="1148"/>
      <c r="BA30" s="1148"/>
      <c r="BC30" s="1148"/>
      <c r="BE30" s="1148"/>
      <c r="BF30" s="1148"/>
      <c r="BG30" s="1148"/>
    </row>
    <row r="31" spans="2:61" x14ac:dyDescent="0.35">
      <c r="R31" s="1148"/>
      <c r="S31" s="1148"/>
      <c r="W31" s="1148"/>
      <c r="X31" s="1148"/>
      <c r="AE31" s="1148"/>
      <c r="AF31" s="1148"/>
      <c r="AV31" s="1148"/>
      <c r="AW31" s="1148"/>
      <c r="AX31" s="1148"/>
      <c r="AY31" s="1148"/>
      <c r="AZ31" s="1148"/>
      <c r="BA31" s="1148"/>
      <c r="BC31" s="1148"/>
      <c r="BE31" s="1148"/>
      <c r="BF31" s="1148"/>
      <c r="BG31" s="1148"/>
    </row>
    <row r="32" spans="2:61" x14ac:dyDescent="0.35">
      <c r="R32" s="1148"/>
      <c r="S32" s="1148"/>
      <c r="W32" s="1148"/>
      <c r="X32" s="1148"/>
      <c r="AE32" s="1148"/>
      <c r="AF32" s="1148"/>
      <c r="AV32" s="1148"/>
      <c r="AW32" s="1148"/>
      <c r="AX32" s="1148"/>
      <c r="AY32" s="1148"/>
      <c r="AZ32" s="1148"/>
      <c r="BA32" s="1148"/>
      <c r="BC32" s="1148"/>
      <c r="BE32" s="1148"/>
      <c r="BF32" s="1148"/>
      <c r="BG32" s="1148"/>
    </row>
    <row r="33" spans="18:59" x14ac:dyDescent="0.35">
      <c r="R33" s="1148"/>
      <c r="S33" s="1148"/>
      <c r="W33" s="1148"/>
      <c r="X33" s="1148"/>
      <c r="AE33" s="1148"/>
      <c r="AF33" s="1148"/>
      <c r="AV33" s="1148"/>
      <c r="AW33" s="1148"/>
      <c r="AX33" s="1148"/>
      <c r="AY33" s="1148"/>
      <c r="AZ33" s="1148"/>
      <c r="BA33" s="1148"/>
      <c r="BC33" s="1148"/>
      <c r="BE33" s="1148"/>
      <c r="BF33" s="1148"/>
      <c r="BG33" s="1148"/>
    </row>
    <row r="34" spans="18:59" x14ac:dyDescent="0.35">
      <c r="R34" s="1148"/>
      <c r="S34" s="1148"/>
      <c r="W34" s="1148"/>
      <c r="X34" s="1148"/>
      <c r="AE34" s="1148"/>
      <c r="AF34" s="1148"/>
      <c r="AV34" s="1148"/>
      <c r="AW34" s="1148"/>
      <c r="AX34" s="1148"/>
      <c r="AY34" s="1148"/>
      <c r="AZ34" s="1148"/>
      <c r="BA34" s="1148"/>
      <c r="BC34" s="1148"/>
      <c r="BE34" s="1148"/>
      <c r="BF34" s="1148"/>
      <c r="BG34" s="1148"/>
    </row>
    <row r="35" spans="18:59" x14ac:dyDescent="0.35">
      <c r="R35" s="1148"/>
      <c r="S35" s="1148"/>
      <c r="W35" s="1148"/>
      <c r="X35" s="1148"/>
      <c r="AE35" s="1148"/>
      <c r="AF35" s="1148"/>
      <c r="AV35" s="1148"/>
      <c r="AW35" s="1148"/>
      <c r="AX35" s="1148"/>
      <c r="AY35" s="1148"/>
      <c r="AZ35" s="1148"/>
      <c r="BA35" s="1148"/>
      <c r="BC35" s="1148"/>
      <c r="BE35" s="1148"/>
      <c r="BF35" s="1148"/>
      <c r="BG35" s="1148"/>
    </row>
    <row r="36" spans="18:59" x14ac:dyDescent="0.35">
      <c r="R36" s="1148"/>
      <c r="S36" s="1148"/>
      <c r="W36" s="1148"/>
      <c r="X36" s="1148"/>
      <c r="AE36" s="1148"/>
      <c r="AF36" s="1148"/>
      <c r="AV36" s="1148"/>
      <c r="AW36" s="1148"/>
      <c r="AX36" s="1148"/>
      <c r="AY36" s="1148"/>
      <c r="AZ36" s="1148"/>
      <c r="BA36" s="1148"/>
      <c r="BC36" s="1148"/>
      <c r="BE36" s="1148"/>
      <c r="BF36" s="1148"/>
      <c r="BG36" s="1148"/>
    </row>
    <row r="37" spans="18:59" x14ac:dyDescent="0.35">
      <c r="R37" s="1148"/>
      <c r="S37" s="1148"/>
      <c r="W37" s="1148"/>
      <c r="X37" s="1148"/>
      <c r="AE37" s="1148"/>
      <c r="AF37" s="1148"/>
      <c r="AV37" s="1148"/>
      <c r="AW37" s="1148"/>
      <c r="AX37" s="1148"/>
      <c r="AY37" s="1148"/>
      <c r="AZ37" s="1148"/>
      <c r="BA37" s="1148"/>
      <c r="BC37" s="1148"/>
      <c r="BE37" s="1148"/>
      <c r="BF37" s="1148"/>
      <c r="BG37" s="1148"/>
    </row>
    <row r="38" spans="18:59" x14ac:dyDescent="0.35">
      <c r="R38" s="1148"/>
      <c r="S38" s="1148"/>
      <c r="W38" s="1148"/>
      <c r="X38" s="1148"/>
      <c r="AE38" s="1148"/>
      <c r="AF38" s="1148"/>
      <c r="AV38" s="1148"/>
      <c r="AW38" s="1148"/>
      <c r="AX38" s="1148"/>
      <c r="AY38" s="1148"/>
      <c r="AZ38" s="1148"/>
      <c r="BA38" s="1148"/>
      <c r="BC38" s="1148"/>
      <c r="BE38" s="1148"/>
      <c r="BF38" s="1148"/>
      <c r="BG38" s="1148"/>
    </row>
    <row r="39" spans="18:59" x14ac:dyDescent="0.35">
      <c r="R39" s="1148"/>
      <c r="S39" s="1148"/>
      <c r="W39" s="1148"/>
      <c r="X39" s="1148"/>
      <c r="AE39" s="1148"/>
      <c r="AF39" s="1148"/>
      <c r="AV39" s="1148"/>
      <c r="AW39" s="1148"/>
      <c r="AX39" s="1148"/>
      <c r="AY39" s="1148"/>
      <c r="AZ39" s="1148"/>
      <c r="BA39" s="1148"/>
      <c r="BC39" s="1148"/>
      <c r="BE39" s="1148"/>
      <c r="BF39" s="1148"/>
      <c r="BG39" s="1148"/>
    </row>
    <row r="40" spans="18:59" x14ac:dyDescent="0.35">
      <c r="R40" s="1148"/>
      <c r="S40" s="1148"/>
      <c r="W40" s="1148"/>
      <c r="X40" s="1148"/>
      <c r="AE40" s="1148"/>
      <c r="AF40" s="1148"/>
      <c r="AV40" s="1148"/>
      <c r="AW40" s="1148"/>
      <c r="AX40" s="1148"/>
      <c r="AY40" s="1148"/>
      <c r="AZ40" s="1148"/>
      <c r="BA40" s="1148"/>
      <c r="BC40" s="1148"/>
      <c r="BE40" s="1148"/>
      <c r="BF40" s="1148"/>
      <c r="BG40" s="1148"/>
    </row>
    <row r="41" spans="18:59" x14ac:dyDescent="0.35">
      <c r="R41" s="1148"/>
      <c r="S41" s="1148"/>
      <c r="W41" s="1148"/>
      <c r="X41" s="1148"/>
      <c r="AE41" s="1148"/>
      <c r="AF41" s="1148"/>
      <c r="AV41" s="1148"/>
      <c r="AW41" s="1148"/>
      <c r="AX41" s="1148"/>
      <c r="AY41" s="1148"/>
      <c r="AZ41" s="1148"/>
      <c r="BA41" s="1148"/>
      <c r="BC41" s="1148"/>
      <c r="BE41" s="1148"/>
      <c r="BF41" s="1148"/>
      <c r="BG41" s="1148"/>
    </row>
    <row r="42" spans="18:59" x14ac:dyDescent="0.35">
      <c r="R42" s="1148"/>
      <c r="S42" s="1148"/>
      <c r="W42" s="1148"/>
      <c r="X42" s="1148"/>
      <c r="AE42" s="1148"/>
      <c r="AF42" s="1148"/>
      <c r="AV42" s="1148"/>
      <c r="AW42" s="1148"/>
      <c r="AX42" s="1148"/>
      <c r="AY42" s="1148"/>
      <c r="AZ42" s="1148"/>
      <c r="BA42" s="1148"/>
      <c r="BC42" s="1148"/>
      <c r="BE42" s="1148"/>
      <c r="BF42" s="1148"/>
      <c r="BG42" s="1148"/>
    </row>
    <row r="43" spans="18:59" x14ac:dyDescent="0.35">
      <c r="R43" s="1148"/>
      <c r="S43" s="1148"/>
      <c r="W43" s="1148"/>
      <c r="X43" s="1148"/>
      <c r="AE43" s="1148"/>
      <c r="AF43" s="1148"/>
      <c r="AV43" s="1148"/>
      <c r="AW43" s="1148"/>
      <c r="AX43" s="1148"/>
      <c r="AY43" s="1148"/>
      <c r="AZ43" s="1148"/>
      <c r="BA43" s="1148"/>
      <c r="BC43" s="1148"/>
      <c r="BE43" s="1148"/>
      <c r="BF43" s="1148"/>
      <c r="BG43" s="1148"/>
    </row>
    <row r="44" spans="18:59" x14ac:dyDescent="0.35">
      <c r="R44" s="1148"/>
      <c r="S44" s="1148"/>
      <c r="W44" s="1148"/>
      <c r="X44" s="1148"/>
      <c r="AE44" s="1148"/>
      <c r="AF44" s="1148"/>
      <c r="AV44" s="1148"/>
      <c r="AW44" s="1148"/>
      <c r="AX44" s="1148"/>
      <c r="AY44" s="1148"/>
      <c r="AZ44" s="1148"/>
      <c r="BA44" s="1148"/>
      <c r="BC44" s="1148"/>
      <c r="BE44" s="1148"/>
      <c r="BF44" s="1148"/>
      <c r="BG44" s="1148"/>
    </row>
    <row r="45" spans="18:59" x14ac:dyDescent="0.35">
      <c r="R45" s="1148"/>
      <c r="S45" s="1148"/>
      <c r="W45" s="1148"/>
      <c r="X45" s="1148"/>
      <c r="AE45" s="1148"/>
      <c r="AF45" s="1148"/>
      <c r="AV45" s="1148"/>
      <c r="AW45" s="1148"/>
      <c r="AX45" s="1148"/>
      <c r="AY45" s="1148"/>
      <c r="AZ45" s="1148"/>
      <c r="BA45" s="1148"/>
      <c r="BC45" s="1148"/>
      <c r="BE45" s="1148"/>
      <c r="BF45" s="1148"/>
      <c r="BG45" s="1148"/>
    </row>
    <row r="46" spans="18:59" x14ac:dyDescent="0.35">
      <c r="R46" s="1148"/>
      <c r="S46" s="1148"/>
      <c r="W46" s="1148"/>
      <c r="X46" s="1148"/>
      <c r="AE46" s="1148"/>
      <c r="AF46" s="1148"/>
      <c r="AV46" s="1148"/>
      <c r="AW46" s="1148"/>
      <c r="AX46" s="1148"/>
      <c r="AY46" s="1148"/>
      <c r="AZ46" s="1148"/>
      <c r="BA46" s="1148"/>
      <c r="BC46" s="1148"/>
      <c r="BE46" s="1148"/>
      <c r="BF46" s="1148"/>
      <c r="BG46" s="1148"/>
    </row>
    <row r="47" spans="18:59" x14ac:dyDescent="0.35">
      <c r="R47" s="1148"/>
      <c r="S47" s="1148"/>
      <c r="W47" s="1148"/>
      <c r="X47" s="1148"/>
      <c r="AE47" s="1148"/>
      <c r="AF47" s="1148"/>
      <c r="AV47" s="1148"/>
      <c r="AW47" s="1148"/>
      <c r="AX47" s="1148"/>
      <c r="AY47" s="1148"/>
      <c r="AZ47" s="1148"/>
      <c r="BA47" s="1148"/>
      <c r="BC47" s="1148"/>
      <c r="BE47" s="1148"/>
      <c r="BF47" s="1148"/>
      <c r="BG47" s="1148"/>
    </row>
    <row r="48" spans="18:59" x14ac:dyDescent="0.35">
      <c r="R48" s="1148"/>
      <c r="S48" s="1148"/>
      <c r="W48" s="1148"/>
      <c r="X48" s="1148"/>
      <c r="AE48" s="1148"/>
      <c r="AF48" s="1148"/>
      <c r="AV48" s="1148"/>
      <c r="AW48" s="1148"/>
      <c r="AX48" s="1148"/>
      <c r="AY48" s="1148"/>
      <c r="AZ48" s="1148"/>
      <c r="BA48" s="1148"/>
      <c r="BC48" s="1148"/>
      <c r="BE48" s="1148"/>
      <c r="BF48" s="1148"/>
      <c r="BG48" s="1148"/>
    </row>
    <row r="49" spans="18:59" x14ac:dyDescent="0.35">
      <c r="R49" s="1148"/>
      <c r="S49" s="1148"/>
      <c r="W49" s="1148"/>
      <c r="X49" s="1148"/>
      <c r="AE49" s="1148"/>
      <c r="AF49" s="1148"/>
      <c r="AV49" s="1148"/>
      <c r="AW49" s="1148"/>
      <c r="AX49" s="1148"/>
      <c r="AY49" s="1148"/>
      <c r="AZ49" s="1148"/>
      <c r="BA49" s="1148"/>
      <c r="BC49" s="1148"/>
      <c r="BE49" s="1148"/>
      <c r="BF49" s="1148"/>
      <c r="BG49" s="1148"/>
    </row>
    <row r="50" spans="18:59" x14ac:dyDescent="0.35">
      <c r="R50" s="1148"/>
      <c r="S50" s="1148"/>
      <c r="W50" s="1148"/>
      <c r="X50" s="1148"/>
      <c r="AE50" s="1148"/>
      <c r="AF50" s="1148"/>
      <c r="AV50" s="1148"/>
      <c r="AW50" s="1148"/>
      <c r="AX50" s="1148"/>
      <c r="AY50" s="1148"/>
      <c r="AZ50" s="1148"/>
      <c r="BA50" s="1148"/>
      <c r="BC50" s="1148"/>
      <c r="BE50" s="1148"/>
      <c r="BF50" s="1148"/>
      <c r="BG50" s="1148"/>
    </row>
    <row r="51" spans="18:59" x14ac:dyDescent="0.35">
      <c r="R51" s="1148"/>
      <c r="S51" s="1148"/>
      <c r="W51" s="1148"/>
      <c r="X51" s="1148"/>
      <c r="AE51" s="1148"/>
      <c r="AF51" s="1148"/>
      <c r="AV51" s="1148"/>
      <c r="AW51" s="1148"/>
      <c r="AX51" s="1148"/>
      <c r="AY51" s="1148"/>
      <c r="AZ51" s="1148"/>
      <c r="BA51" s="1148"/>
      <c r="BC51" s="1148"/>
      <c r="BE51" s="1148"/>
      <c r="BF51" s="1148"/>
      <c r="BG51" s="1148"/>
    </row>
    <row r="52" spans="18:59" x14ac:dyDescent="0.35">
      <c r="R52" s="1148"/>
      <c r="S52" s="1148"/>
      <c r="W52" s="1148"/>
      <c r="X52" s="1148"/>
      <c r="AE52" s="1148"/>
      <c r="AF52" s="1148"/>
      <c r="AV52" s="1148"/>
      <c r="AW52" s="1148"/>
      <c r="AX52" s="1148"/>
      <c r="AY52" s="1148"/>
      <c r="AZ52" s="1148"/>
      <c r="BA52" s="1148"/>
      <c r="BC52" s="1148"/>
      <c r="BE52" s="1148"/>
      <c r="BF52" s="1148"/>
      <c r="BG52" s="1148"/>
    </row>
    <row r="53" spans="18:59" x14ac:dyDescent="0.35">
      <c r="R53" s="1148"/>
      <c r="S53" s="1148"/>
      <c r="W53" s="1148"/>
      <c r="X53" s="1148"/>
      <c r="AE53" s="1148"/>
      <c r="AF53" s="1148"/>
      <c r="AV53" s="1148"/>
      <c r="AW53" s="1148"/>
      <c r="AX53" s="1148"/>
      <c r="AY53" s="1148"/>
      <c r="AZ53" s="1148"/>
      <c r="BA53" s="1148"/>
      <c r="BC53" s="1148"/>
      <c r="BE53" s="1148"/>
      <c r="BF53" s="1148"/>
      <c r="BG53" s="1148"/>
    </row>
    <row r="54" spans="18:59" x14ac:dyDescent="0.35">
      <c r="R54" s="1148"/>
      <c r="S54" s="1148"/>
      <c r="W54" s="1148"/>
      <c r="X54" s="1148"/>
      <c r="AE54" s="1148"/>
      <c r="AF54" s="1148"/>
      <c r="AV54" s="1148"/>
      <c r="AW54" s="1148"/>
      <c r="AX54" s="1148"/>
      <c r="AY54" s="1148"/>
      <c r="AZ54" s="1148"/>
      <c r="BA54" s="1148"/>
      <c r="BC54" s="1148"/>
      <c r="BE54" s="1148"/>
      <c r="BF54" s="1148"/>
      <c r="BG54" s="1148"/>
    </row>
    <row r="55" spans="18:59" x14ac:dyDescent="0.35">
      <c r="R55" s="1148"/>
      <c r="S55" s="1148"/>
      <c r="W55" s="1148"/>
      <c r="X55" s="1148"/>
      <c r="AE55" s="1148"/>
      <c r="AF55" s="1148"/>
      <c r="AV55" s="1148"/>
      <c r="AW55" s="1148"/>
      <c r="AX55" s="1148"/>
      <c r="AY55" s="1148"/>
      <c r="AZ55" s="1148"/>
      <c r="BA55" s="1148"/>
      <c r="BC55" s="1148"/>
      <c r="BE55" s="1148"/>
      <c r="BF55" s="1148"/>
      <c r="BG55" s="1148"/>
    </row>
    <row r="56" spans="18:59" x14ac:dyDescent="0.35">
      <c r="R56" s="1148"/>
      <c r="S56" s="1148"/>
      <c r="W56" s="1148"/>
      <c r="X56" s="1148"/>
      <c r="AE56" s="1148"/>
      <c r="AF56" s="1148"/>
      <c r="AV56" s="1148"/>
      <c r="AW56" s="1148"/>
      <c r="AX56" s="1148"/>
      <c r="AY56" s="1148"/>
      <c r="AZ56" s="1148"/>
      <c r="BA56" s="1148"/>
      <c r="BC56" s="1148"/>
      <c r="BE56" s="1148"/>
      <c r="BF56" s="1148"/>
      <c r="BG56" s="1148"/>
    </row>
    <row r="57" spans="18:59" x14ac:dyDescent="0.35">
      <c r="R57" s="1148"/>
      <c r="S57" s="1148"/>
      <c r="W57" s="1148"/>
      <c r="X57" s="1148"/>
      <c r="AE57" s="1148"/>
      <c r="AF57" s="1148"/>
      <c r="AV57" s="1148"/>
      <c r="AW57" s="1148"/>
      <c r="AX57" s="1148"/>
      <c r="AY57" s="1148"/>
      <c r="AZ57" s="1148"/>
      <c r="BA57" s="1148"/>
      <c r="BC57" s="1148"/>
      <c r="BE57" s="1148"/>
      <c r="BF57" s="1148"/>
      <c r="BG57" s="1148"/>
    </row>
    <row r="58" spans="18:59" x14ac:dyDescent="0.35">
      <c r="R58" s="1148"/>
      <c r="S58" s="1148"/>
      <c r="W58" s="1148"/>
      <c r="X58" s="1148"/>
      <c r="AE58" s="1148"/>
      <c r="AF58" s="1148"/>
      <c r="AV58" s="1148"/>
      <c r="AW58" s="1148"/>
      <c r="AX58" s="1148"/>
      <c r="AY58" s="1148"/>
      <c r="AZ58" s="1148"/>
      <c r="BA58" s="1148"/>
      <c r="BC58" s="1148"/>
      <c r="BE58" s="1148"/>
      <c r="BF58" s="1148"/>
      <c r="BG58" s="1148"/>
    </row>
    <row r="59" spans="18:59" x14ac:dyDescent="0.35">
      <c r="R59" s="1148"/>
      <c r="S59" s="1148"/>
      <c r="W59" s="1148"/>
      <c r="X59" s="1148"/>
      <c r="AE59" s="1148"/>
      <c r="AF59" s="1148"/>
      <c r="AV59" s="1148"/>
      <c r="AW59" s="1148"/>
      <c r="AX59" s="1148"/>
      <c r="AY59" s="1148"/>
      <c r="AZ59" s="1148"/>
      <c r="BA59" s="1148"/>
      <c r="BC59" s="1148"/>
      <c r="BE59" s="1148"/>
      <c r="BF59" s="1148"/>
      <c r="BG59" s="1148"/>
    </row>
    <row r="60" spans="18:59" x14ac:dyDescent="0.35">
      <c r="R60" s="1148"/>
      <c r="S60" s="1148"/>
      <c r="W60" s="1148"/>
      <c r="X60" s="1148"/>
      <c r="AE60" s="1148"/>
      <c r="AF60" s="1148"/>
      <c r="AV60" s="1148"/>
      <c r="AW60" s="1148"/>
      <c r="AX60" s="1148"/>
      <c r="AY60" s="1148"/>
      <c r="AZ60" s="1148"/>
      <c r="BA60" s="1148"/>
      <c r="BC60" s="1148"/>
      <c r="BE60" s="1148"/>
      <c r="BF60" s="1148"/>
      <c r="BG60" s="1148"/>
    </row>
    <row r="61" spans="18:59" x14ac:dyDescent="0.35">
      <c r="R61" s="1148"/>
      <c r="S61" s="1148"/>
      <c r="W61" s="1148"/>
      <c r="X61" s="1148"/>
      <c r="AE61" s="1148"/>
      <c r="AF61" s="1148"/>
      <c r="AV61" s="1148"/>
      <c r="AW61" s="1148"/>
      <c r="AX61" s="1148"/>
      <c r="AY61" s="1148"/>
      <c r="AZ61" s="1148"/>
      <c r="BA61" s="1148"/>
      <c r="BC61" s="1148"/>
      <c r="BE61" s="1148"/>
      <c r="BF61" s="1148"/>
      <c r="BG61" s="1148"/>
    </row>
    <row r="62" spans="18:59" x14ac:dyDescent="0.35">
      <c r="R62" s="1148"/>
      <c r="S62" s="1148"/>
      <c r="W62" s="1148"/>
      <c r="X62" s="1148"/>
      <c r="AE62" s="1148"/>
      <c r="AF62" s="1148"/>
      <c r="AV62" s="1148"/>
      <c r="AW62" s="1148"/>
      <c r="AX62" s="1148"/>
      <c r="AY62" s="1148"/>
      <c r="AZ62" s="1148"/>
      <c r="BA62" s="1148"/>
      <c r="BC62" s="1148"/>
      <c r="BE62" s="1148"/>
      <c r="BF62" s="1148"/>
      <c r="BG62" s="1148"/>
    </row>
    <row r="63" spans="18:59" x14ac:dyDescent="0.35">
      <c r="R63" s="1148"/>
      <c r="S63" s="1148"/>
      <c r="W63" s="1148"/>
      <c r="X63" s="1148"/>
      <c r="AE63" s="1148"/>
      <c r="AF63" s="1148"/>
      <c r="AV63" s="1148"/>
      <c r="AW63" s="1148"/>
      <c r="AX63" s="1148"/>
      <c r="AY63" s="1148"/>
      <c r="AZ63" s="1148"/>
      <c r="BA63" s="1148"/>
      <c r="BC63" s="1148"/>
      <c r="BE63" s="1148"/>
      <c r="BF63" s="1148"/>
      <c r="BG63" s="1148"/>
    </row>
    <row r="64" spans="18:59" x14ac:dyDescent="0.35">
      <c r="R64" s="1148"/>
      <c r="S64" s="1148"/>
      <c r="W64" s="1148"/>
      <c r="X64" s="1148"/>
      <c r="AE64" s="1148"/>
      <c r="AF64" s="1148"/>
      <c r="AV64" s="1148"/>
      <c r="AW64" s="1148"/>
      <c r="AX64" s="1148"/>
      <c r="AY64" s="1148"/>
      <c r="AZ64" s="1148"/>
      <c r="BA64" s="1148"/>
      <c r="BC64" s="1148"/>
      <c r="BE64" s="1148"/>
      <c r="BF64" s="1148"/>
      <c r="BG64" s="1148"/>
    </row>
    <row r="65" spans="18:59" x14ac:dyDescent="0.35">
      <c r="R65" s="1148"/>
      <c r="S65" s="1148"/>
      <c r="W65" s="1148"/>
      <c r="X65" s="1148"/>
      <c r="AE65" s="1148"/>
      <c r="AF65" s="1148"/>
      <c r="AV65" s="1148"/>
      <c r="AW65" s="1148"/>
      <c r="AX65" s="1148"/>
      <c r="AY65" s="1148"/>
      <c r="AZ65" s="1148"/>
      <c r="BA65" s="1148"/>
      <c r="BC65" s="1148"/>
      <c r="BE65" s="1148"/>
      <c r="BF65" s="1148"/>
      <c r="BG65" s="1148"/>
    </row>
    <row r="66" spans="18:59" x14ac:dyDescent="0.35">
      <c r="R66" s="1148"/>
      <c r="S66" s="1148"/>
      <c r="W66" s="1148"/>
      <c r="X66" s="1148"/>
      <c r="AE66" s="1148"/>
      <c r="AF66" s="1148"/>
      <c r="AV66" s="1148"/>
      <c r="AW66" s="1148"/>
      <c r="AX66" s="1148"/>
      <c r="AY66" s="1148"/>
      <c r="AZ66" s="1148"/>
      <c r="BA66" s="1148"/>
      <c r="BC66" s="1148"/>
      <c r="BE66" s="1148"/>
      <c r="BF66" s="1148"/>
      <c r="BG66" s="1148"/>
    </row>
    <row r="67" spans="18:59" x14ac:dyDescent="0.35">
      <c r="R67" s="1148"/>
      <c r="S67" s="1148"/>
      <c r="W67" s="1148"/>
      <c r="X67" s="1148"/>
      <c r="AE67" s="1148"/>
      <c r="AF67" s="1148"/>
      <c r="AV67" s="1148"/>
      <c r="AW67" s="1148"/>
      <c r="AX67" s="1148"/>
      <c r="AY67" s="1148"/>
      <c r="AZ67" s="1148"/>
      <c r="BA67" s="1148"/>
      <c r="BC67" s="1148"/>
      <c r="BE67" s="1148"/>
      <c r="BF67" s="1148"/>
      <c r="BG67" s="1148"/>
    </row>
    <row r="68" spans="18:59" x14ac:dyDescent="0.35">
      <c r="R68" s="1148"/>
      <c r="S68" s="1148"/>
      <c r="W68" s="1148"/>
      <c r="X68" s="1148"/>
      <c r="AE68" s="1148"/>
      <c r="AF68" s="1148"/>
      <c r="AV68" s="1148"/>
      <c r="AW68" s="1148"/>
      <c r="AX68" s="1148"/>
      <c r="AY68" s="1148"/>
      <c r="AZ68" s="1148"/>
      <c r="BA68" s="1148"/>
      <c r="BC68" s="1148"/>
      <c r="BE68" s="1148"/>
      <c r="BF68" s="1148"/>
      <c r="BG68" s="1148"/>
    </row>
    <row r="69" spans="18:59" x14ac:dyDescent="0.35">
      <c r="R69" s="1148"/>
      <c r="S69" s="1148"/>
      <c r="W69" s="1148"/>
      <c r="X69" s="1148"/>
      <c r="AE69" s="1148"/>
      <c r="AF69" s="1148"/>
      <c r="AV69" s="1148"/>
      <c r="AW69" s="1148"/>
      <c r="AX69" s="1148"/>
      <c r="AY69" s="1148"/>
      <c r="AZ69" s="1148"/>
      <c r="BA69" s="1148"/>
      <c r="BC69" s="1148"/>
      <c r="BE69" s="1148"/>
      <c r="BF69" s="1148"/>
      <c r="BG69" s="1148"/>
    </row>
    <row r="70" spans="18:59" x14ac:dyDescent="0.35">
      <c r="R70" s="1148"/>
      <c r="S70" s="1148"/>
      <c r="W70" s="1148"/>
      <c r="X70" s="1148"/>
      <c r="AE70" s="1148"/>
      <c r="AF70" s="1148"/>
      <c r="AV70" s="1148"/>
      <c r="AW70" s="1148"/>
      <c r="AX70" s="1148"/>
      <c r="AY70" s="1148"/>
      <c r="AZ70" s="1148"/>
      <c r="BA70" s="1148"/>
      <c r="BC70" s="1148"/>
      <c r="BE70" s="1148"/>
      <c r="BF70" s="1148"/>
      <c r="BG70" s="1148"/>
    </row>
    <row r="71" spans="18:59" x14ac:dyDescent="0.35">
      <c r="R71" s="1148"/>
      <c r="S71" s="1148"/>
      <c r="W71" s="1148"/>
      <c r="X71" s="1148"/>
      <c r="AE71" s="1148"/>
      <c r="AF71" s="1148"/>
      <c r="AV71" s="1148"/>
      <c r="AW71" s="1148"/>
      <c r="AX71" s="1148"/>
      <c r="AY71" s="1148"/>
      <c r="AZ71" s="1148"/>
      <c r="BA71" s="1148"/>
      <c r="BC71" s="1148"/>
      <c r="BE71" s="1148"/>
      <c r="BF71" s="1148"/>
      <c r="BG71" s="1148"/>
    </row>
    <row r="72" spans="18:59" x14ac:dyDescent="0.35">
      <c r="R72" s="1148"/>
      <c r="S72" s="1148"/>
      <c r="W72" s="1148"/>
      <c r="X72" s="1148"/>
      <c r="AE72" s="1148"/>
      <c r="AF72" s="1148"/>
      <c r="AV72" s="1148"/>
      <c r="AW72" s="1148"/>
      <c r="AX72" s="1148"/>
      <c r="AY72" s="1148"/>
      <c r="AZ72" s="1148"/>
      <c r="BA72" s="1148"/>
      <c r="BC72" s="1148"/>
      <c r="BE72" s="1148"/>
      <c r="BF72" s="1148"/>
      <c r="BG72" s="1148"/>
    </row>
    <row r="73" spans="18:59" x14ac:dyDescent="0.35">
      <c r="R73" s="1148"/>
      <c r="S73" s="1148"/>
      <c r="W73" s="1148"/>
      <c r="X73" s="1148"/>
      <c r="AE73" s="1148"/>
      <c r="AF73" s="1148"/>
      <c r="AV73" s="1148"/>
      <c r="AW73" s="1148"/>
      <c r="AX73" s="1148"/>
      <c r="AY73" s="1148"/>
      <c r="AZ73" s="1148"/>
      <c r="BA73" s="1148"/>
      <c r="BC73" s="1148"/>
      <c r="BE73" s="1148"/>
      <c r="BF73" s="1148"/>
      <c r="BG73" s="1148"/>
    </row>
    <row r="74" spans="18:59" x14ac:dyDescent="0.35">
      <c r="R74" s="1148"/>
      <c r="S74" s="1148"/>
      <c r="W74" s="1148"/>
      <c r="X74" s="1148"/>
      <c r="AE74" s="1148"/>
      <c r="AF74" s="1148"/>
      <c r="AV74" s="1148"/>
      <c r="AW74" s="1148"/>
      <c r="AX74" s="1148"/>
      <c r="AY74" s="1148"/>
      <c r="AZ74" s="1148"/>
      <c r="BA74" s="1148"/>
      <c r="BC74" s="1148"/>
      <c r="BE74" s="1148"/>
      <c r="BF74" s="1148"/>
      <c r="BG74" s="1148"/>
    </row>
    <row r="75" spans="18:59" x14ac:dyDescent="0.35">
      <c r="R75" s="1148"/>
      <c r="S75" s="1148"/>
      <c r="W75" s="1148"/>
      <c r="X75" s="1148"/>
      <c r="AE75" s="1148"/>
      <c r="AF75" s="1148"/>
      <c r="AV75" s="1148"/>
      <c r="AW75" s="1148"/>
      <c r="AX75" s="1148"/>
      <c r="AY75" s="1148"/>
      <c r="AZ75" s="1148"/>
      <c r="BA75" s="1148"/>
      <c r="BC75" s="1148"/>
      <c r="BE75" s="1148"/>
      <c r="BF75" s="1148"/>
      <c r="BG75" s="1148"/>
    </row>
    <row r="76" spans="18:59" x14ac:dyDescent="0.35">
      <c r="R76" s="1148"/>
      <c r="S76" s="1148"/>
      <c r="W76" s="1148"/>
      <c r="X76" s="1148"/>
      <c r="AE76" s="1148"/>
      <c r="AF76" s="1148"/>
      <c r="AV76" s="1148"/>
      <c r="AW76" s="1148"/>
      <c r="AX76" s="1148"/>
      <c r="AY76" s="1148"/>
      <c r="AZ76" s="1148"/>
      <c r="BA76" s="1148"/>
      <c r="BC76" s="1148"/>
      <c r="BE76" s="1148"/>
      <c r="BF76" s="1148"/>
      <c r="BG76" s="1148"/>
    </row>
    <row r="77" spans="18:59" x14ac:dyDescent="0.35">
      <c r="R77" s="1148"/>
      <c r="S77" s="1148"/>
      <c r="W77" s="1148"/>
      <c r="X77" s="1148"/>
      <c r="AE77" s="1148"/>
      <c r="AF77" s="1148"/>
      <c r="AV77" s="1148"/>
      <c r="AW77" s="1148"/>
      <c r="AX77" s="1148"/>
      <c r="AY77" s="1148"/>
      <c r="AZ77" s="1148"/>
      <c r="BA77" s="1148"/>
      <c r="BC77" s="1148"/>
      <c r="BE77" s="1148"/>
      <c r="BF77" s="1148"/>
      <c r="BG77" s="1148"/>
    </row>
    <row r="78" spans="18:59" x14ac:dyDescent="0.35">
      <c r="R78" s="1148"/>
      <c r="S78" s="1148"/>
      <c r="W78" s="1148"/>
      <c r="X78" s="1148"/>
      <c r="AE78" s="1148"/>
      <c r="AF78" s="1148"/>
      <c r="AV78" s="1148"/>
      <c r="AW78" s="1148"/>
      <c r="AX78" s="1148"/>
      <c r="AY78" s="1148"/>
      <c r="AZ78" s="1148"/>
      <c r="BA78" s="1148"/>
      <c r="BC78" s="1148"/>
      <c r="BE78" s="1148"/>
      <c r="BF78" s="1148"/>
      <c r="BG78" s="1148"/>
    </row>
    <row r="79" spans="18:59" x14ac:dyDescent="0.35">
      <c r="R79" s="1148"/>
      <c r="S79" s="1148"/>
      <c r="W79" s="1148"/>
      <c r="X79" s="1148"/>
      <c r="AE79" s="1148"/>
      <c r="AF79" s="1148"/>
      <c r="AV79" s="1148"/>
      <c r="AW79" s="1148"/>
      <c r="AX79" s="1148"/>
      <c r="AY79" s="1148"/>
      <c r="AZ79" s="1148"/>
      <c r="BA79" s="1148"/>
      <c r="BC79" s="1148"/>
      <c r="BE79" s="1148"/>
      <c r="BF79" s="1148"/>
      <c r="BG79" s="1148"/>
    </row>
    <row r="80" spans="18:59" x14ac:dyDescent="0.35">
      <c r="R80" s="1148"/>
      <c r="S80" s="1148"/>
      <c r="W80" s="1148"/>
      <c r="X80" s="1148"/>
      <c r="AE80" s="1148"/>
      <c r="AF80" s="1148"/>
      <c r="AV80" s="1148"/>
      <c r="AW80" s="1148"/>
      <c r="AX80" s="1148"/>
      <c r="AY80" s="1148"/>
      <c r="AZ80" s="1148"/>
      <c r="BA80" s="1148"/>
      <c r="BC80" s="1148"/>
      <c r="BE80" s="1148"/>
      <c r="BF80" s="1148"/>
      <c r="BG80" s="1148"/>
    </row>
    <row r="81" spans="18:59" x14ac:dyDescent="0.35">
      <c r="R81" s="1148"/>
      <c r="S81" s="1148"/>
      <c r="W81" s="1148"/>
      <c r="X81" s="1148"/>
      <c r="AE81" s="1148"/>
      <c r="AF81" s="1148"/>
      <c r="AV81" s="1148"/>
      <c r="AW81" s="1148"/>
      <c r="AX81" s="1148"/>
      <c r="AY81" s="1148"/>
      <c r="AZ81" s="1148"/>
      <c r="BA81" s="1148"/>
      <c r="BC81" s="1148"/>
      <c r="BE81" s="1148"/>
      <c r="BF81" s="1148"/>
      <c r="BG81" s="1148"/>
    </row>
    <row r="82" spans="18:59" x14ac:dyDescent="0.35">
      <c r="R82" s="1148"/>
      <c r="S82" s="1148"/>
      <c r="W82" s="1148"/>
      <c r="X82" s="1148"/>
      <c r="AE82" s="1148"/>
      <c r="AF82" s="1148"/>
      <c r="AV82" s="1148"/>
      <c r="AW82" s="1148"/>
      <c r="AX82" s="1148"/>
      <c r="AY82" s="1148"/>
      <c r="AZ82" s="1148"/>
      <c r="BA82" s="1148"/>
      <c r="BC82" s="1148"/>
      <c r="BE82" s="1148"/>
      <c r="BF82" s="1148"/>
      <c r="BG82" s="1148"/>
    </row>
    <row r="83" spans="18:59" x14ac:dyDescent="0.35">
      <c r="R83" s="1148"/>
      <c r="S83" s="1148"/>
      <c r="W83" s="1148"/>
      <c r="X83" s="1148"/>
      <c r="AE83" s="1148"/>
      <c r="AF83" s="1148"/>
      <c r="AV83" s="1148"/>
      <c r="AW83" s="1148"/>
      <c r="AX83" s="1148"/>
      <c r="AY83" s="1148"/>
      <c r="AZ83" s="1148"/>
      <c r="BA83" s="1148"/>
      <c r="BC83" s="1148"/>
      <c r="BE83" s="1148"/>
      <c r="BF83" s="1148"/>
      <c r="BG83" s="1148"/>
    </row>
    <row r="84" spans="18:59" x14ac:dyDescent="0.35">
      <c r="R84" s="1148"/>
      <c r="S84" s="1148"/>
      <c r="W84" s="1148"/>
      <c r="X84" s="1148"/>
      <c r="AE84" s="1148"/>
      <c r="AF84" s="1148"/>
      <c r="AV84" s="1148"/>
      <c r="AW84" s="1148"/>
      <c r="AX84" s="1148"/>
      <c r="AY84" s="1148"/>
      <c r="AZ84" s="1148"/>
      <c r="BA84" s="1148"/>
      <c r="BC84" s="1148"/>
      <c r="BE84" s="1148"/>
      <c r="BF84" s="1148"/>
      <c r="BG84" s="1148"/>
    </row>
    <row r="85" spans="18:59" x14ac:dyDescent="0.35">
      <c r="R85" s="1148"/>
      <c r="S85" s="1148"/>
      <c r="W85" s="1148"/>
      <c r="X85" s="1148"/>
      <c r="AE85" s="1148"/>
      <c r="AF85" s="1148"/>
      <c r="AV85" s="1148"/>
      <c r="AW85" s="1148"/>
      <c r="AX85" s="1148"/>
      <c r="AY85" s="1148"/>
      <c r="AZ85" s="1148"/>
      <c r="BA85" s="1148"/>
      <c r="BC85" s="1148"/>
      <c r="BE85" s="1148"/>
      <c r="BF85" s="1148"/>
      <c r="BG85" s="1148"/>
    </row>
    <row r="86" spans="18:59" x14ac:dyDescent="0.35">
      <c r="R86" s="1148"/>
      <c r="S86" s="1148"/>
      <c r="W86" s="1148"/>
      <c r="X86" s="1148"/>
      <c r="AE86" s="1148"/>
      <c r="AF86" s="1148"/>
      <c r="AV86" s="1148"/>
      <c r="AW86" s="1148"/>
      <c r="AX86" s="1148"/>
      <c r="AY86" s="1148"/>
      <c r="AZ86" s="1148"/>
      <c r="BA86" s="1148"/>
      <c r="BC86" s="1148"/>
      <c r="BE86" s="1148"/>
      <c r="BF86" s="1148"/>
      <c r="BG86" s="1148"/>
    </row>
    <row r="87" spans="18:59" x14ac:dyDescent="0.35">
      <c r="R87" s="1148"/>
      <c r="S87" s="1148"/>
      <c r="W87" s="1148"/>
      <c r="X87" s="1148"/>
      <c r="AE87" s="1148"/>
      <c r="AF87" s="1148"/>
      <c r="AV87" s="1148"/>
      <c r="AW87" s="1148"/>
      <c r="AX87" s="1148"/>
      <c r="AY87" s="1148"/>
      <c r="AZ87" s="1148"/>
      <c r="BA87" s="1148"/>
      <c r="BC87" s="1148"/>
      <c r="BE87" s="1148"/>
      <c r="BF87" s="1148"/>
      <c r="BG87" s="1148"/>
    </row>
    <row r="88" spans="18:59" x14ac:dyDescent="0.35">
      <c r="R88" s="1148"/>
      <c r="S88" s="1148"/>
      <c r="W88" s="1148"/>
      <c r="X88" s="1148"/>
      <c r="AE88" s="1148"/>
      <c r="AF88" s="1148"/>
      <c r="AV88" s="1148"/>
      <c r="AW88" s="1148"/>
      <c r="AX88" s="1148"/>
      <c r="AY88" s="1148"/>
      <c r="AZ88" s="1148"/>
      <c r="BA88" s="1148"/>
      <c r="BC88" s="1148"/>
      <c r="BE88" s="1148"/>
      <c r="BF88" s="1148"/>
      <c r="BG88" s="1148"/>
    </row>
    <row r="89" spans="18:59" x14ac:dyDescent="0.35">
      <c r="R89" s="1148"/>
      <c r="S89" s="1148"/>
      <c r="W89" s="1148"/>
      <c r="X89" s="1148"/>
      <c r="AE89" s="1148"/>
      <c r="AF89" s="1148"/>
      <c r="AV89" s="1148"/>
      <c r="AW89" s="1148"/>
      <c r="AX89" s="1148"/>
      <c r="AY89" s="1148"/>
      <c r="AZ89" s="1148"/>
      <c r="BA89" s="1148"/>
      <c r="BC89" s="1148"/>
      <c r="BE89" s="1148"/>
      <c r="BF89" s="1148"/>
      <c r="BG89" s="1148"/>
    </row>
    <row r="90" spans="18:59" x14ac:dyDescent="0.35">
      <c r="R90" s="1148"/>
      <c r="S90" s="1148"/>
      <c r="W90" s="1148"/>
      <c r="X90" s="1148"/>
      <c r="AE90" s="1148"/>
      <c r="AF90" s="1148"/>
      <c r="AV90" s="1148"/>
      <c r="AW90" s="1148"/>
      <c r="AX90" s="1148"/>
      <c r="AY90" s="1148"/>
      <c r="AZ90" s="1148"/>
      <c r="BA90" s="1148"/>
      <c r="BC90" s="1148"/>
      <c r="BE90" s="1148"/>
      <c r="BF90" s="1148"/>
      <c r="BG90" s="1148"/>
    </row>
    <row r="91" spans="18:59" x14ac:dyDescent="0.35">
      <c r="R91" s="1148"/>
      <c r="S91" s="1148"/>
      <c r="W91" s="1148"/>
      <c r="X91" s="1148"/>
      <c r="AE91" s="1148"/>
      <c r="AF91" s="1148"/>
      <c r="AV91" s="1148"/>
      <c r="AW91" s="1148"/>
      <c r="AX91" s="1148"/>
      <c r="AY91" s="1148"/>
      <c r="AZ91" s="1148"/>
      <c r="BA91" s="1148"/>
      <c r="BC91" s="1148"/>
      <c r="BE91" s="1148"/>
      <c r="BF91" s="1148"/>
      <c r="BG91" s="1148"/>
    </row>
    <row r="92" spans="18:59" x14ac:dyDescent="0.35">
      <c r="R92" s="1148"/>
      <c r="S92" s="1148"/>
      <c r="W92" s="1148"/>
      <c r="X92" s="1148"/>
      <c r="AE92" s="1148"/>
      <c r="AF92" s="1148"/>
      <c r="AV92" s="1148"/>
      <c r="AW92" s="1148"/>
      <c r="AX92" s="1148"/>
      <c r="AY92" s="1148"/>
      <c r="AZ92" s="1148"/>
      <c r="BA92" s="1148"/>
      <c r="BC92" s="1148"/>
      <c r="BE92" s="1148"/>
      <c r="BF92" s="1148"/>
      <c r="BG92" s="1148"/>
    </row>
    <row r="93" spans="18:59" x14ac:dyDescent="0.35">
      <c r="R93" s="1148"/>
      <c r="S93" s="1148"/>
      <c r="W93" s="1148"/>
      <c r="X93" s="1148"/>
      <c r="AE93" s="1148"/>
      <c r="AF93" s="1148"/>
      <c r="AV93" s="1148"/>
      <c r="AW93" s="1148"/>
      <c r="AX93" s="1148"/>
      <c r="AY93" s="1148"/>
      <c r="AZ93" s="1148"/>
      <c r="BA93" s="1148"/>
      <c r="BC93" s="1148"/>
      <c r="BE93" s="1148"/>
      <c r="BF93" s="1148"/>
      <c r="BG93" s="1148"/>
    </row>
    <row r="94" spans="18:59" x14ac:dyDescent="0.35">
      <c r="R94" s="1148"/>
      <c r="S94" s="1148"/>
      <c r="W94" s="1148"/>
      <c r="X94" s="1148"/>
      <c r="AE94" s="1148"/>
      <c r="AF94" s="1148"/>
      <c r="AV94" s="1148"/>
      <c r="AW94" s="1148"/>
      <c r="AX94" s="1148"/>
      <c r="AY94" s="1148"/>
      <c r="AZ94" s="1148"/>
      <c r="BA94" s="1148"/>
      <c r="BC94" s="1148"/>
      <c r="BE94" s="1148"/>
      <c r="BF94" s="1148"/>
      <c r="BG94" s="1148"/>
    </row>
    <row r="95" spans="18:59" x14ac:dyDescent="0.35">
      <c r="R95" s="1148"/>
      <c r="S95" s="1148"/>
      <c r="W95" s="1148"/>
      <c r="X95" s="1148"/>
      <c r="AE95" s="1148"/>
      <c r="AF95" s="1148"/>
      <c r="AV95" s="1148"/>
      <c r="AW95" s="1148"/>
      <c r="AX95" s="1148"/>
      <c r="AY95" s="1148"/>
      <c r="AZ95" s="1148"/>
      <c r="BA95" s="1148"/>
      <c r="BC95" s="1148"/>
      <c r="BE95" s="1148"/>
      <c r="BF95" s="1148"/>
      <c r="BG95" s="1148"/>
    </row>
    <row r="96" spans="18:59" x14ac:dyDescent="0.35">
      <c r="R96" s="1148"/>
      <c r="S96" s="1148"/>
      <c r="W96" s="1148"/>
      <c r="X96" s="1148"/>
      <c r="AE96" s="1148"/>
      <c r="AF96" s="1148"/>
      <c r="AV96" s="1148"/>
      <c r="AW96" s="1148"/>
      <c r="AX96" s="1148"/>
      <c r="AY96" s="1148"/>
      <c r="AZ96" s="1148"/>
      <c r="BA96" s="1148"/>
      <c r="BC96" s="1148"/>
      <c r="BE96" s="1148"/>
      <c r="BF96" s="1148"/>
      <c r="BG96" s="1148"/>
    </row>
    <row r="97" spans="18:59" x14ac:dyDescent="0.35">
      <c r="R97" s="1148"/>
      <c r="S97" s="1148"/>
      <c r="W97" s="1148"/>
      <c r="X97" s="1148"/>
      <c r="AE97" s="1148"/>
      <c r="AF97" s="1148"/>
      <c r="AV97" s="1148"/>
      <c r="AW97" s="1148"/>
      <c r="AX97" s="1148"/>
      <c r="AY97" s="1148"/>
      <c r="AZ97" s="1148"/>
      <c r="BA97" s="1148"/>
      <c r="BC97" s="1148"/>
      <c r="BE97" s="1148"/>
      <c r="BF97" s="1148"/>
      <c r="BG97" s="1148"/>
    </row>
    <row r="98" spans="18:59" x14ac:dyDescent="0.35">
      <c r="R98" s="1148"/>
      <c r="S98" s="1148"/>
      <c r="W98" s="1148"/>
      <c r="X98" s="1148"/>
      <c r="AE98" s="1148"/>
      <c r="AF98" s="1148"/>
      <c r="AV98" s="1148"/>
      <c r="AW98" s="1148"/>
      <c r="AX98" s="1148"/>
      <c r="AY98" s="1148"/>
      <c r="AZ98" s="1148"/>
      <c r="BA98" s="1148"/>
      <c r="BC98" s="1148"/>
      <c r="BE98" s="1148"/>
      <c r="BF98" s="1148"/>
      <c r="BG98" s="1148"/>
    </row>
    <row r="99" spans="18:59" x14ac:dyDescent="0.35">
      <c r="R99" s="1148"/>
      <c r="S99" s="1148"/>
      <c r="W99" s="1148"/>
      <c r="X99" s="1148"/>
      <c r="AE99" s="1148"/>
      <c r="AF99" s="1148"/>
      <c r="AV99" s="1148"/>
      <c r="AW99" s="1148"/>
      <c r="AX99" s="1148"/>
      <c r="AY99" s="1148"/>
      <c r="AZ99" s="1148"/>
      <c r="BA99" s="1148"/>
      <c r="BC99" s="1148"/>
      <c r="BE99" s="1148"/>
      <c r="BF99" s="1148"/>
      <c r="BG99" s="1148"/>
    </row>
    <row r="100" spans="18:59" x14ac:dyDescent="0.35">
      <c r="R100" s="1148"/>
      <c r="S100" s="1148"/>
      <c r="W100" s="1148"/>
      <c r="X100" s="1148"/>
      <c r="AE100" s="1148"/>
      <c r="AF100" s="1148"/>
      <c r="AV100" s="1148"/>
      <c r="AW100" s="1148"/>
      <c r="AX100" s="1148"/>
      <c r="AY100" s="1148"/>
      <c r="AZ100" s="1148"/>
      <c r="BA100" s="1148"/>
      <c r="BC100" s="1148"/>
      <c r="BE100" s="1148"/>
      <c r="BF100" s="1148"/>
      <c r="BG100" s="1148"/>
    </row>
    <row r="101" spans="18:59" x14ac:dyDescent="0.35">
      <c r="R101" s="1148"/>
      <c r="S101" s="1148"/>
      <c r="W101" s="1148"/>
      <c r="X101" s="1148"/>
      <c r="AE101" s="1148"/>
      <c r="AF101" s="1148"/>
      <c r="AV101" s="1148"/>
      <c r="AW101" s="1148"/>
      <c r="AX101" s="1148"/>
      <c r="AY101" s="1148"/>
      <c r="AZ101" s="1148"/>
      <c r="BA101" s="1148"/>
      <c r="BC101" s="1148"/>
      <c r="BE101" s="1148"/>
      <c r="BF101" s="1148"/>
      <c r="BG101" s="1148"/>
    </row>
    <row r="102" spans="18:59" x14ac:dyDescent="0.35">
      <c r="R102" s="1148"/>
      <c r="S102" s="1148"/>
      <c r="W102" s="1148"/>
      <c r="X102" s="1148"/>
      <c r="AE102" s="1148"/>
      <c r="AF102" s="1148"/>
      <c r="AV102" s="1148"/>
      <c r="AW102" s="1148"/>
      <c r="AX102" s="1148"/>
      <c r="AY102" s="1148"/>
      <c r="AZ102" s="1148"/>
      <c r="BA102" s="1148"/>
      <c r="BC102" s="1148"/>
      <c r="BE102" s="1148"/>
      <c r="BF102" s="1148"/>
      <c r="BG102" s="1148"/>
    </row>
    <row r="103" spans="18:59" x14ac:dyDescent="0.35">
      <c r="R103" s="1148"/>
      <c r="S103" s="1148"/>
      <c r="W103" s="1148"/>
      <c r="X103" s="1148"/>
      <c r="AE103" s="1148"/>
      <c r="AF103" s="1148"/>
      <c r="AV103" s="1148"/>
      <c r="AW103" s="1148"/>
      <c r="AX103" s="1148"/>
      <c r="AY103" s="1148"/>
      <c r="AZ103" s="1148"/>
      <c r="BA103" s="1148"/>
      <c r="BC103" s="1148"/>
      <c r="BE103" s="1148"/>
      <c r="BF103" s="1148"/>
      <c r="BG103" s="1148"/>
    </row>
    <row r="104" spans="18:59" x14ac:dyDescent="0.35">
      <c r="R104" s="1148"/>
      <c r="S104" s="1148"/>
      <c r="W104" s="1148"/>
      <c r="X104" s="1148"/>
      <c r="AE104" s="1148"/>
      <c r="AF104" s="1148"/>
      <c r="AV104" s="1148"/>
      <c r="AW104" s="1148"/>
      <c r="AX104" s="1148"/>
      <c r="AY104" s="1148"/>
      <c r="AZ104" s="1148"/>
      <c r="BA104" s="1148"/>
      <c r="BC104" s="1148"/>
      <c r="BE104" s="1148"/>
      <c r="BF104" s="1148"/>
      <c r="BG104" s="1148"/>
    </row>
    <row r="105" spans="18:59" x14ac:dyDescent="0.35">
      <c r="R105" s="1148"/>
      <c r="S105" s="1148"/>
      <c r="W105" s="1148"/>
      <c r="X105" s="1148"/>
      <c r="AE105" s="1148"/>
      <c r="AF105" s="1148"/>
      <c r="AV105" s="1148"/>
      <c r="AW105" s="1148"/>
      <c r="AX105" s="1148"/>
      <c r="AY105" s="1148"/>
      <c r="AZ105" s="1148"/>
      <c r="BA105" s="1148"/>
      <c r="BC105" s="1148"/>
      <c r="BE105" s="1148"/>
      <c r="BF105" s="1148"/>
      <c r="BG105" s="1148"/>
    </row>
    <row r="106" spans="18:59" x14ac:dyDescent="0.35">
      <c r="R106" s="1148"/>
      <c r="S106" s="1148"/>
      <c r="W106" s="1148"/>
      <c r="X106" s="1148"/>
      <c r="AE106" s="1148"/>
      <c r="AF106" s="1148"/>
      <c r="AV106" s="1148"/>
      <c r="AW106" s="1148"/>
      <c r="AX106" s="1148"/>
      <c r="AY106" s="1148"/>
      <c r="AZ106" s="1148"/>
      <c r="BA106" s="1148"/>
      <c r="BC106" s="1148"/>
      <c r="BE106" s="1148"/>
      <c r="BF106" s="1148"/>
      <c r="BG106" s="1148"/>
    </row>
    <row r="107" spans="18:59" x14ac:dyDescent="0.35">
      <c r="R107" s="1148"/>
      <c r="S107" s="1148"/>
      <c r="W107" s="1148"/>
      <c r="X107" s="1148"/>
      <c r="AE107" s="1148"/>
      <c r="AF107" s="1148"/>
      <c r="AV107" s="1148"/>
      <c r="AW107" s="1148"/>
      <c r="AX107" s="1148"/>
      <c r="AY107" s="1148"/>
      <c r="AZ107" s="1148"/>
      <c r="BA107" s="1148"/>
      <c r="BC107" s="1148"/>
      <c r="BE107" s="1148"/>
      <c r="BF107" s="1148"/>
      <c r="BG107" s="1148"/>
    </row>
    <row r="108" spans="18:59" x14ac:dyDescent="0.35">
      <c r="R108" s="1148"/>
      <c r="S108" s="1148"/>
      <c r="W108" s="1148"/>
      <c r="X108" s="1148"/>
      <c r="AE108" s="1148"/>
      <c r="AF108" s="1148"/>
      <c r="AV108" s="1148"/>
      <c r="AW108" s="1148"/>
      <c r="AX108" s="1148"/>
      <c r="AY108" s="1148"/>
      <c r="AZ108" s="1148"/>
      <c r="BA108" s="1148"/>
      <c r="BC108" s="1148"/>
      <c r="BE108" s="1148"/>
      <c r="BF108" s="1148"/>
      <c r="BG108" s="1148"/>
    </row>
    <row r="109" spans="18:59" x14ac:dyDescent="0.35">
      <c r="R109" s="1148"/>
      <c r="S109" s="1148"/>
      <c r="W109" s="1148"/>
      <c r="X109" s="1148"/>
      <c r="AE109" s="1148"/>
      <c r="AF109" s="1148"/>
      <c r="AV109" s="1148"/>
      <c r="AW109" s="1148"/>
      <c r="AX109" s="1148"/>
      <c r="AY109" s="1148"/>
      <c r="AZ109" s="1148"/>
      <c r="BA109" s="1148"/>
      <c r="BC109" s="1148"/>
      <c r="BE109" s="1148"/>
      <c r="BF109" s="1148"/>
      <c r="BG109" s="1148"/>
    </row>
    <row r="110" spans="18:59" x14ac:dyDescent="0.35">
      <c r="R110" s="1148"/>
      <c r="S110" s="1148"/>
      <c r="W110" s="1148"/>
      <c r="X110" s="1148"/>
      <c r="AE110" s="1148"/>
      <c r="AF110" s="1148"/>
      <c r="AV110" s="1148"/>
      <c r="AW110" s="1148"/>
      <c r="AX110" s="1148"/>
      <c r="AY110" s="1148"/>
      <c r="AZ110" s="1148"/>
      <c r="BA110" s="1148"/>
      <c r="BC110" s="1148"/>
      <c r="BE110" s="1148"/>
      <c r="BF110" s="1148"/>
      <c r="BG110" s="1148"/>
    </row>
    <row r="111" spans="18:59" x14ac:dyDescent="0.35">
      <c r="R111" s="1148"/>
      <c r="S111" s="1148"/>
      <c r="W111" s="1148"/>
      <c r="X111" s="1148"/>
      <c r="AE111" s="1148"/>
      <c r="AF111" s="1148"/>
      <c r="AV111" s="1148"/>
      <c r="AW111" s="1148"/>
      <c r="AX111" s="1148"/>
      <c r="AY111" s="1148"/>
      <c r="AZ111" s="1148"/>
      <c r="BA111" s="1148"/>
      <c r="BC111" s="1148"/>
      <c r="BE111" s="1148"/>
      <c r="BF111" s="1148"/>
      <c r="BG111" s="1148"/>
    </row>
    <row r="112" spans="18:59" x14ac:dyDescent="0.35">
      <c r="R112" s="1148"/>
      <c r="S112" s="1148"/>
      <c r="W112" s="1148"/>
      <c r="X112" s="1148"/>
      <c r="AE112" s="1148"/>
      <c r="AF112" s="1148"/>
      <c r="AV112" s="1148"/>
      <c r="AW112" s="1148"/>
      <c r="AX112" s="1148"/>
      <c r="AY112" s="1148"/>
      <c r="AZ112" s="1148"/>
      <c r="BA112" s="1148"/>
      <c r="BC112" s="1148"/>
      <c r="BE112" s="1148"/>
      <c r="BF112" s="1148"/>
      <c r="BG112" s="1148"/>
    </row>
    <row r="113" spans="18:59" x14ac:dyDescent="0.35">
      <c r="R113" s="1148"/>
      <c r="S113" s="1148"/>
      <c r="W113" s="1148"/>
      <c r="X113" s="1148"/>
      <c r="AE113" s="1148"/>
      <c r="AF113" s="1148"/>
      <c r="AV113" s="1148"/>
      <c r="AW113" s="1148"/>
      <c r="AX113" s="1148"/>
      <c r="AY113" s="1148"/>
      <c r="AZ113" s="1148"/>
      <c r="BA113" s="1148"/>
      <c r="BC113" s="1148"/>
      <c r="BE113" s="1148"/>
      <c r="BF113" s="1148"/>
      <c r="BG113" s="1148"/>
    </row>
    <row r="114" spans="18:59" x14ac:dyDescent="0.35">
      <c r="R114" s="1148"/>
      <c r="S114" s="1148"/>
      <c r="W114" s="1148"/>
      <c r="X114" s="1148"/>
      <c r="AE114" s="1148"/>
      <c r="AF114" s="1148"/>
      <c r="AV114" s="1148"/>
      <c r="AW114" s="1148"/>
      <c r="AX114" s="1148"/>
      <c r="AY114" s="1148"/>
      <c r="AZ114" s="1148"/>
      <c r="BA114" s="1148"/>
      <c r="BC114" s="1148"/>
      <c r="BE114" s="1148"/>
      <c r="BF114" s="1148"/>
      <c r="BG114" s="1148"/>
    </row>
    <row r="115" spans="18:59" x14ac:dyDescent="0.35">
      <c r="R115" s="1148"/>
      <c r="S115" s="1148"/>
      <c r="W115" s="1148"/>
      <c r="X115" s="1148"/>
      <c r="AE115" s="1148"/>
      <c r="AF115" s="1148"/>
      <c r="AV115" s="1148"/>
      <c r="AW115" s="1148"/>
      <c r="AX115" s="1148"/>
      <c r="AY115" s="1148"/>
      <c r="AZ115" s="1148"/>
      <c r="BA115" s="1148"/>
      <c r="BC115" s="1148"/>
      <c r="BE115" s="1148"/>
      <c r="BF115" s="1148"/>
      <c r="BG115" s="1148"/>
    </row>
    <row r="116" spans="18:59" x14ac:dyDescent="0.35">
      <c r="R116" s="1148"/>
      <c r="S116" s="1148"/>
      <c r="W116" s="1148"/>
      <c r="X116" s="1148"/>
      <c r="AE116" s="1148"/>
      <c r="AF116" s="1148"/>
      <c r="AV116" s="1148"/>
      <c r="AW116" s="1148"/>
      <c r="AX116" s="1148"/>
      <c r="AY116" s="1148"/>
      <c r="AZ116" s="1148"/>
      <c r="BA116" s="1148"/>
      <c r="BC116" s="1148"/>
      <c r="BE116" s="1148"/>
      <c r="BF116" s="1148"/>
      <c r="BG116" s="1148"/>
    </row>
    <row r="117" spans="18:59" x14ac:dyDescent="0.35">
      <c r="R117" s="1148"/>
      <c r="S117" s="1148"/>
      <c r="W117" s="1148"/>
      <c r="X117" s="1148"/>
      <c r="AE117" s="1148"/>
      <c r="AF117" s="1148"/>
      <c r="AV117" s="1148"/>
      <c r="AW117" s="1148"/>
      <c r="AX117" s="1148"/>
      <c r="AY117" s="1148"/>
      <c r="AZ117" s="1148"/>
      <c r="BA117" s="1148"/>
      <c r="BC117" s="1148"/>
      <c r="BE117" s="1148"/>
      <c r="BF117" s="1148"/>
      <c r="BG117" s="1148"/>
    </row>
    <row r="118" spans="18:59" x14ac:dyDescent="0.35">
      <c r="R118" s="1148"/>
      <c r="S118" s="1148"/>
      <c r="W118" s="1148"/>
      <c r="X118" s="1148"/>
      <c r="AE118" s="1148"/>
      <c r="AF118" s="1148"/>
      <c r="AV118" s="1148"/>
      <c r="AW118" s="1148"/>
      <c r="AX118" s="1148"/>
      <c r="AY118" s="1148"/>
      <c r="AZ118" s="1148"/>
      <c r="BA118" s="1148"/>
      <c r="BC118" s="1148"/>
      <c r="BE118" s="1148"/>
      <c r="BF118" s="1148"/>
      <c r="BG118" s="1148"/>
    </row>
    <row r="119" spans="18:59" x14ac:dyDescent="0.35">
      <c r="R119" s="1148"/>
      <c r="S119" s="1148"/>
      <c r="W119" s="1148"/>
      <c r="X119" s="1148"/>
      <c r="AE119" s="1148"/>
      <c r="AF119" s="1148"/>
      <c r="AV119" s="1148"/>
      <c r="AW119" s="1148"/>
      <c r="AX119" s="1148"/>
      <c r="AY119" s="1148"/>
      <c r="AZ119" s="1148"/>
      <c r="BA119" s="1148"/>
      <c r="BC119" s="1148"/>
      <c r="BE119" s="1148"/>
      <c r="BF119" s="1148"/>
      <c r="BG119" s="1148"/>
    </row>
    <row r="120" spans="18:59" x14ac:dyDescent="0.35">
      <c r="R120" s="1148"/>
      <c r="S120" s="1148"/>
      <c r="W120" s="1148"/>
      <c r="X120" s="1148"/>
      <c r="AE120" s="1148"/>
      <c r="AF120" s="1148"/>
      <c r="AV120" s="1148"/>
      <c r="AW120" s="1148"/>
      <c r="AX120" s="1148"/>
      <c r="AY120" s="1148"/>
      <c r="AZ120" s="1148"/>
      <c r="BA120" s="1148"/>
      <c r="BC120" s="1148"/>
      <c r="BE120" s="1148"/>
      <c r="BF120" s="1148"/>
      <c r="BG120" s="1148"/>
    </row>
    <row r="121" spans="18:59" x14ac:dyDescent="0.35">
      <c r="R121" s="1148"/>
      <c r="S121" s="1148"/>
      <c r="W121" s="1148"/>
      <c r="X121" s="1148"/>
      <c r="AE121" s="1148"/>
      <c r="AF121" s="1148"/>
      <c r="AV121" s="1148"/>
      <c r="AW121" s="1148"/>
      <c r="AX121" s="1148"/>
      <c r="AY121" s="1148"/>
      <c r="AZ121" s="1148"/>
      <c r="BA121" s="1148"/>
      <c r="BC121" s="1148"/>
      <c r="BE121" s="1148"/>
      <c r="BF121" s="1148"/>
      <c r="BG121" s="1148"/>
    </row>
    <row r="122" spans="18:59" x14ac:dyDescent="0.35">
      <c r="R122" s="1148"/>
      <c r="S122" s="1148"/>
      <c r="W122" s="1148"/>
      <c r="X122" s="1148"/>
      <c r="AE122" s="1148"/>
      <c r="AF122" s="1148"/>
      <c r="AV122" s="1148"/>
      <c r="AW122" s="1148"/>
      <c r="AX122" s="1148"/>
      <c r="AY122" s="1148"/>
      <c r="AZ122" s="1148"/>
      <c r="BA122" s="1148"/>
      <c r="BC122" s="1148"/>
      <c r="BE122" s="1148"/>
      <c r="BF122" s="1148"/>
      <c r="BG122" s="1148"/>
    </row>
    <row r="123" spans="18:59" x14ac:dyDescent="0.35">
      <c r="R123" s="1148"/>
      <c r="S123" s="1148"/>
      <c r="W123" s="1148"/>
      <c r="X123" s="1148"/>
      <c r="AE123" s="1148"/>
      <c r="AF123" s="1148"/>
      <c r="AV123" s="1148"/>
      <c r="AW123" s="1148"/>
      <c r="AX123" s="1148"/>
      <c r="AY123" s="1148"/>
      <c r="AZ123" s="1148"/>
      <c r="BA123" s="1148"/>
      <c r="BC123" s="1148"/>
      <c r="BE123" s="1148"/>
      <c r="BF123" s="1148"/>
      <c r="BG123" s="1148"/>
    </row>
    <row r="124" spans="18:59" x14ac:dyDescent="0.35">
      <c r="R124" s="1148"/>
      <c r="S124" s="1148"/>
      <c r="W124" s="1148"/>
      <c r="X124" s="1148"/>
      <c r="AE124" s="1148"/>
      <c r="AF124" s="1148"/>
      <c r="AV124" s="1148"/>
      <c r="AW124" s="1148"/>
      <c r="AX124" s="1148"/>
      <c r="AY124" s="1148"/>
      <c r="AZ124" s="1148"/>
      <c r="BA124" s="1148"/>
      <c r="BC124" s="1148"/>
      <c r="BE124" s="1148"/>
      <c r="BF124" s="1148"/>
      <c r="BG124" s="1148"/>
    </row>
    <row r="125" spans="18:59" x14ac:dyDescent="0.35">
      <c r="R125" s="1148"/>
      <c r="S125" s="1148"/>
      <c r="W125" s="1148"/>
      <c r="X125" s="1148"/>
      <c r="AE125" s="1148"/>
      <c r="AF125" s="1148"/>
      <c r="AV125" s="1148"/>
      <c r="AW125" s="1148"/>
      <c r="AX125" s="1148"/>
      <c r="AY125" s="1148"/>
      <c r="AZ125" s="1148"/>
      <c r="BA125" s="1148"/>
      <c r="BC125" s="1148"/>
      <c r="BE125" s="1148"/>
      <c r="BF125" s="1148"/>
      <c r="BG125" s="1148"/>
    </row>
    <row r="126" spans="18:59" x14ac:dyDescent="0.35">
      <c r="R126" s="1148"/>
      <c r="S126" s="1148"/>
      <c r="W126" s="1148"/>
      <c r="X126" s="1148"/>
      <c r="AE126" s="1148"/>
      <c r="AF126" s="1148"/>
      <c r="AV126" s="1148"/>
      <c r="AW126" s="1148"/>
      <c r="AX126" s="1148"/>
      <c r="AY126" s="1148"/>
      <c r="AZ126" s="1148"/>
      <c r="BA126" s="1148"/>
      <c r="BC126" s="1148"/>
      <c r="BE126" s="1148"/>
      <c r="BF126" s="1148"/>
      <c r="BG126" s="1148"/>
    </row>
    <row r="127" spans="18:59" x14ac:dyDescent="0.35">
      <c r="R127" s="1148"/>
      <c r="S127" s="1148"/>
      <c r="W127" s="1148"/>
      <c r="X127" s="1148"/>
      <c r="AE127" s="1148"/>
      <c r="AF127" s="1148"/>
      <c r="AV127" s="1148"/>
      <c r="AW127" s="1148"/>
      <c r="AX127" s="1148"/>
      <c r="AY127" s="1148"/>
      <c r="AZ127" s="1148"/>
      <c r="BA127" s="1148"/>
      <c r="BC127" s="1148"/>
      <c r="BE127" s="1148"/>
      <c r="BF127" s="1148"/>
      <c r="BG127" s="1148"/>
    </row>
    <row r="128" spans="18:59" x14ac:dyDescent="0.35">
      <c r="R128" s="1148"/>
      <c r="S128" s="1148"/>
      <c r="W128" s="1148"/>
      <c r="X128" s="1148"/>
      <c r="AE128" s="1148"/>
      <c r="AF128" s="1148"/>
      <c r="AV128" s="1148"/>
      <c r="AW128" s="1148"/>
      <c r="AX128" s="1148"/>
      <c r="AY128" s="1148"/>
      <c r="AZ128" s="1148"/>
      <c r="BA128" s="1148"/>
      <c r="BC128" s="1148"/>
      <c r="BE128" s="1148"/>
      <c r="BF128" s="1148"/>
      <c r="BG128" s="1148"/>
    </row>
    <row r="129" spans="18:59" x14ac:dyDescent="0.35">
      <c r="R129" s="1148"/>
      <c r="S129" s="1148"/>
      <c r="W129" s="1148"/>
      <c r="X129" s="1148"/>
      <c r="AE129" s="1148"/>
      <c r="AF129" s="1148"/>
      <c r="AV129" s="1148"/>
      <c r="AW129" s="1148"/>
      <c r="AX129" s="1148"/>
      <c r="AY129" s="1148"/>
      <c r="AZ129" s="1148"/>
      <c r="BA129" s="1148"/>
      <c r="BC129" s="1148"/>
      <c r="BE129" s="1148"/>
      <c r="BF129" s="1148"/>
      <c r="BG129" s="1148"/>
    </row>
    <row r="130" spans="18:59" x14ac:dyDescent="0.35">
      <c r="R130" s="1148"/>
      <c r="S130" s="1148"/>
      <c r="W130" s="1148"/>
      <c r="X130" s="1148"/>
      <c r="AE130" s="1148"/>
      <c r="AF130" s="1148"/>
      <c r="AV130" s="1148"/>
      <c r="AW130" s="1148"/>
      <c r="AX130" s="1148"/>
      <c r="AY130" s="1148"/>
      <c r="AZ130" s="1148"/>
      <c r="BA130" s="1148"/>
      <c r="BC130" s="1148"/>
      <c r="BE130" s="1148"/>
      <c r="BF130" s="1148"/>
      <c r="BG130" s="1148"/>
    </row>
    <row r="131" spans="18:59" x14ac:dyDescent="0.35">
      <c r="R131" s="1148"/>
      <c r="S131" s="1148"/>
      <c r="W131" s="1148"/>
      <c r="X131" s="1148"/>
      <c r="AE131" s="1148"/>
      <c r="AF131" s="1148"/>
      <c r="AV131" s="1148"/>
      <c r="AW131" s="1148"/>
      <c r="AX131" s="1148"/>
      <c r="AY131" s="1148"/>
      <c r="AZ131" s="1148"/>
      <c r="BA131" s="1148"/>
      <c r="BC131" s="1148"/>
      <c r="BE131" s="1148"/>
      <c r="BF131" s="1148"/>
      <c r="BG131" s="1148"/>
    </row>
    <row r="132" spans="18:59" x14ac:dyDescent="0.35">
      <c r="R132" s="1148"/>
      <c r="S132" s="1148"/>
      <c r="W132" s="1148"/>
      <c r="X132" s="1148"/>
      <c r="AE132" s="1148"/>
      <c r="AF132" s="1148"/>
      <c r="AV132" s="1148"/>
      <c r="AW132" s="1148"/>
      <c r="AX132" s="1148"/>
      <c r="AY132" s="1148"/>
      <c r="AZ132" s="1148"/>
      <c r="BA132" s="1148"/>
      <c r="BC132" s="1148"/>
      <c r="BE132" s="1148"/>
      <c r="BF132" s="1148"/>
      <c r="BG132" s="1148"/>
    </row>
    <row r="133" spans="18:59" x14ac:dyDescent="0.35">
      <c r="R133" s="1148"/>
      <c r="S133" s="1148"/>
      <c r="W133" s="1148"/>
      <c r="X133" s="1148"/>
      <c r="AE133" s="1148"/>
      <c r="AF133" s="1148"/>
      <c r="AV133" s="1148"/>
      <c r="AW133" s="1148"/>
      <c r="AX133" s="1148"/>
      <c r="AY133" s="1148"/>
      <c r="AZ133" s="1148"/>
      <c r="BA133" s="1148"/>
      <c r="BC133" s="1148"/>
      <c r="BE133" s="1148"/>
      <c r="BF133" s="1148"/>
      <c r="BG133" s="1148"/>
    </row>
    <row r="134" spans="18:59" x14ac:dyDescent="0.35">
      <c r="R134" s="1148"/>
      <c r="S134" s="1148"/>
      <c r="W134" s="1148"/>
      <c r="X134" s="1148"/>
      <c r="AE134" s="1148"/>
      <c r="AF134" s="1148"/>
      <c r="AV134" s="1148"/>
      <c r="AW134" s="1148"/>
      <c r="AX134" s="1148"/>
      <c r="AY134" s="1148"/>
      <c r="AZ134" s="1148"/>
      <c r="BA134" s="1148"/>
      <c r="BC134" s="1148"/>
      <c r="BE134" s="1148"/>
      <c r="BF134" s="1148"/>
      <c r="BG134" s="1148"/>
    </row>
    <row r="135" spans="18:59" x14ac:dyDescent="0.35">
      <c r="R135" s="1148"/>
      <c r="S135" s="1148"/>
      <c r="W135" s="1148"/>
      <c r="X135" s="1148"/>
      <c r="AE135" s="1148"/>
      <c r="AF135" s="1148"/>
      <c r="AV135" s="1148"/>
      <c r="AW135" s="1148"/>
      <c r="AX135" s="1148"/>
      <c r="AY135" s="1148"/>
      <c r="AZ135" s="1148"/>
      <c r="BA135" s="1148"/>
      <c r="BC135" s="1148"/>
      <c r="BE135" s="1148"/>
      <c r="BF135" s="1148"/>
      <c r="BG135" s="1148"/>
    </row>
    <row r="136" spans="18:59" x14ac:dyDescent="0.35">
      <c r="R136" s="1148"/>
      <c r="S136" s="1148"/>
      <c r="W136" s="1148"/>
      <c r="X136" s="1148"/>
      <c r="AE136" s="1148"/>
      <c r="AF136" s="1148"/>
      <c r="AV136" s="1148"/>
      <c r="AW136" s="1148"/>
      <c r="AX136" s="1148"/>
      <c r="AY136" s="1148"/>
      <c r="AZ136" s="1148"/>
      <c r="BA136" s="1148"/>
      <c r="BC136" s="1148"/>
      <c r="BE136" s="1148"/>
      <c r="BF136" s="1148"/>
      <c r="BG136" s="1148"/>
    </row>
    <row r="137" spans="18:59" x14ac:dyDescent="0.35">
      <c r="R137" s="1148"/>
      <c r="S137" s="1148"/>
      <c r="W137" s="1148"/>
      <c r="X137" s="1148"/>
      <c r="AE137" s="1148"/>
      <c r="AF137" s="1148"/>
      <c r="AV137" s="1148"/>
      <c r="AW137" s="1148"/>
      <c r="AX137" s="1148"/>
      <c r="AY137" s="1148"/>
      <c r="AZ137" s="1148"/>
      <c r="BA137" s="1148"/>
      <c r="BC137" s="1148"/>
      <c r="BE137" s="1148"/>
      <c r="BF137" s="1148"/>
      <c r="BG137" s="1148"/>
    </row>
    <row r="138" spans="18:59" x14ac:dyDescent="0.35">
      <c r="R138" s="1148"/>
      <c r="S138" s="1148"/>
      <c r="W138" s="1148"/>
      <c r="X138" s="1148"/>
      <c r="AE138" s="1148"/>
      <c r="AF138" s="1148"/>
      <c r="AV138" s="1148"/>
      <c r="AW138" s="1148"/>
      <c r="AX138" s="1148"/>
      <c r="AY138" s="1148"/>
      <c r="AZ138" s="1148"/>
      <c r="BA138" s="1148"/>
      <c r="BC138" s="1148"/>
      <c r="BE138" s="1148"/>
      <c r="BF138" s="1148"/>
      <c r="BG138" s="1148"/>
    </row>
    <row r="139" spans="18:59" x14ac:dyDescent="0.35">
      <c r="R139" s="1148"/>
      <c r="S139" s="1148"/>
      <c r="W139" s="1148"/>
      <c r="X139" s="1148"/>
      <c r="AE139" s="1148"/>
      <c r="AF139" s="1148"/>
      <c r="AV139" s="1148"/>
      <c r="AW139" s="1148"/>
      <c r="AX139" s="1148"/>
      <c r="AY139" s="1148"/>
      <c r="AZ139" s="1148"/>
      <c r="BA139" s="1148"/>
      <c r="BC139" s="1148"/>
      <c r="BE139" s="1148"/>
      <c r="BF139" s="1148"/>
      <c r="BG139" s="1148"/>
    </row>
    <row r="140" spans="18:59" x14ac:dyDescent="0.35">
      <c r="R140" s="1148"/>
      <c r="S140" s="1148"/>
      <c r="W140" s="1148"/>
      <c r="X140" s="1148"/>
      <c r="AE140" s="1148"/>
      <c r="AF140" s="1148"/>
      <c r="AV140" s="1148"/>
      <c r="AW140" s="1148"/>
      <c r="AX140" s="1148"/>
      <c r="AY140" s="1148"/>
      <c r="AZ140" s="1148"/>
      <c r="BA140" s="1148"/>
      <c r="BC140" s="1148"/>
      <c r="BE140" s="1148"/>
      <c r="BF140" s="1148"/>
      <c r="BG140" s="1148"/>
    </row>
    <row r="141" spans="18:59" x14ac:dyDescent="0.35">
      <c r="R141" s="1148"/>
      <c r="S141" s="1148"/>
      <c r="W141" s="1148"/>
      <c r="X141" s="1148"/>
      <c r="AE141" s="1148"/>
      <c r="AF141" s="1148"/>
      <c r="AV141" s="1148"/>
      <c r="AW141" s="1148"/>
      <c r="AX141" s="1148"/>
      <c r="AY141" s="1148"/>
      <c r="AZ141" s="1148"/>
      <c r="BA141" s="1148"/>
      <c r="BC141" s="1148"/>
      <c r="BE141" s="1148"/>
      <c r="BF141" s="1148"/>
      <c r="BG141" s="1148"/>
    </row>
    <row r="142" spans="18:59" x14ac:dyDescent="0.35">
      <c r="R142" s="1148"/>
      <c r="S142" s="1148"/>
      <c r="W142" s="1148"/>
      <c r="X142" s="1148"/>
      <c r="AE142" s="1148"/>
      <c r="AF142" s="1148"/>
      <c r="AV142" s="1148"/>
      <c r="AW142" s="1148"/>
      <c r="AX142" s="1148"/>
      <c r="AY142" s="1148"/>
      <c r="AZ142" s="1148"/>
      <c r="BA142" s="1148"/>
      <c r="BC142" s="1148"/>
      <c r="BE142" s="1148"/>
      <c r="BF142" s="1148"/>
      <c r="BG142" s="1148"/>
    </row>
    <row r="143" spans="18:59" x14ac:dyDescent="0.35">
      <c r="R143" s="1148"/>
      <c r="S143" s="1148"/>
      <c r="W143" s="1148"/>
      <c r="X143" s="1148"/>
      <c r="AE143" s="1148"/>
      <c r="AF143" s="1148"/>
      <c r="AV143" s="1148"/>
      <c r="AW143" s="1148"/>
      <c r="AX143" s="1148"/>
      <c r="AY143" s="1148"/>
      <c r="AZ143" s="1148"/>
      <c r="BA143" s="1148"/>
      <c r="BC143" s="1148"/>
      <c r="BE143" s="1148"/>
      <c r="BF143" s="1148"/>
      <c r="BG143" s="1148"/>
    </row>
    <row r="144" spans="18:59" x14ac:dyDescent="0.35">
      <c r="R144" s="1148"/>
      <c r="S144" s="1148"/>
      <c r="W144" s="1148"/>
      <c r="X144" s="1148"/>
      <c r="AE144" s="1148"/>
      <c r="AF144" s="1148"/>
      <c r="AV144" s="1148"/>
      <c r="AW144" s="1148"/>
      <c r="AX144" s="1148"/>
      <c r="AY144" s="1148"/>
      <c r="AZ144" s="1148"/>
      <c r="BA144" s="1148"/>
      <c r="BC144" s="1148"/>
      <c r="BE144" s="1148"/>
      <c r="BF144" s="1148"/>
      <c r="BG144" s="1148"/>
    </row>
    <row r="145" spans="18:59" x14ac:dyDescent="0.35">
      <c r="R145" s="1148"/>
      <c r="S145" s="1148"/>
      <c r="W145" s="1148"/>
      <c r="X145" s="1148"/>
      <c r="AE145" s="1148"/>
      <c r="AF145" s="1148"/>
      <c r="AV145" s="1148"/>
      <c r="AW145" s="1148"/>
      <c r="AX145" s="1148"/>
      <c r="AY145" s="1148"/>
      <c r="AZ145" s="1148"/>
      <c r="BA145" s="1148"/>
      <c r="BC145" s="1148"/>
      <c r="BE145" s="1148"/>
      <c r="BF145" s="1148"/>
      <c r="BG145" s="1148"/>
    </row>
    <row r="146" spans="18:59" x14ac:dyDescent="0.35">
      <c r="R146" s="1148"/>
      <c r="S146" s="1148"/>
      <c r="W146" s="1148"/>
      <c r="X146" s="1148"/>
      <c r="AE146" s="1148"/>
      <c r="AF146" s="1148"/>
      <c r="AV146" s="1148"/>
      <c r="AW146" s="1148"/>
      <c r="AX146" s="1148"/>
      <c r="AY146" s="1148"/>
      <c r="AZ146" s="1148"/>
      <c r="BA146" s="1148"/>
      <c r="BC146" s="1148"/>
      <c r="BE146" s="1148"/>
      <c r="BF146" s="1148"/>
      <c r="BG146" s="1148"/>
    </row>
    <row r="147" spans="18:59" x14ac:dyDescent="0.35">
      <c r="R147" s="1148"/>
      <c r="S147" s="1148"/>
      <c r="W147" s="1148"/>
      <c r="X147" s="1148"/>
      <c r="AE147" s="1148"/>
      <c r="AF147" s="1148"/>
      <c r="AV147" s="1148"/>
      <c r="AW147" s="1148"/>
      <c r="AX147" s="1148"/>
      <c r="AY147" s="1148"/>
      <c r="AZ147" s="1148"/>
      <c r="BA147" s="1148"/>
      <c r="BC147" s="1148"/>
      <c r="BE147" s="1148"/>
      <c r="BF147" s="1148"/>
      <c r="BG147" s="1148"/>
    </row>
    <row r="148" spans="18:59" x14ac:dyDescent="0.35">
      <c r="R148" s="1148"/>
      <c r="S148" s="1148"/>
      <c r="W148" s="1148"/>
      <c r="X148" s="1148"/>
      <c r="AE148" s="1148"/>
      <c r="AF148" s="1148"/>
      <c r="AV148" s="1148"/>
      <c r="AW148" s="1148"/>
      <c r="AX148" s="1148"/>
      <c r="AY148" s="1148"/>
      <c r="AZ148" s="1148"/>
      <c r="BA148" s="1148"/>
      <c r="BC148" s="1148"/>
      <c r="BE148" s="1148"/>
      <c r="BF148" s="1148"/>
      <c r="BG148" s="1148"/>
    </row>
    <row r="149" spans="18:59" x14ac:dyDescent="0.35">
      <c r="R149" s="1148"/>
      <c r="S149" s="1148"/>
      <c r="W149" s="1148"/>
      <c r="X149" s="1148"/>
      <c r="AE149" s="1148"/>
      <c r="AF149" s="1148"/>
      <c r="AV149" s="1148"/>
      <c r="AW149" s="1148"/>
      <c r="AX149" s="1148"/>
      <c r="AY149" s="1148"/>
      <c r="AZ149" s="1148"/>
      <c r="BA149" s="1148"/>
      <c r="BC149" s="1148"/>
      <c r="BE149" s="1148"/>
      <c r="BF149" s="1148"/>
      <c r="BG149" s="1148"/>
    </row>
    <row r="150" spans="18:59" x14ac:dyDescent="0.35">
      <c r="R150" s="1148"/>
      <c r="S150" s="1148"/>
      <c r="W150" s="1148"/>
      <c r="X150" s="1148"/>
      <c r="AE150" s="1148"/>
      <c r="AF150" s="1148"/>
      <c r="AV150" s="1148"/>
      <c r="AW150" s="1148"/>
      <c r="AX150" s="1148"/>
      <c r="AY150" s="1148"/>
      <c r="AZ150" s="1148"/>
      <c r="BA150" s="1148"/>
      <c r="BC150" s="1148"/>
      <c r="BE150" s="1148"/>
      <c r="BF150" s="1148"/>
      <c r="BG150" s="1148"/>
    </row>
    <row r="151" spans="18:59" x14ac:dyDescent="0.35">
      <c r="R151" s="1148"/>
      <c r="S151" s="1148"/>
      <c r="W151" s="1148"/>
      <c r="X151" s="1148"/>
      <c r="AE151" s="1148"/>
      <c r="AF151" s="1148"/>
      <c r="AV151" s="1148"/>
      <c r="AW151" s="1148"/>
      <c r="AX151" s="1148"/>
      <c r="AY151" s="1148"/>
      <c r="AZ151" s="1148"/>
      <c r="BA151" s="1148"/>
      <c r="BC151" s="1148"/>
      <c r="BE151" s="1148"/>
      <c r="BF151" s="1148"/>
      <c r="BG151" s="1148"/>
    </row>
    <row r="152" spans="18:59" x14ac:dyDescent="0.35">
      <c r="R152" s="1148"/>
      <c r="S152" s="1148"/>
      <c r="W152" s="1148"/>
      <c r="X152" s="1148"/>
      <c r="AE152" s="1148"/>
      <c r="AF152" s="1148"/>
      <c r="AV152" s="1148"/>
      <c r="AW152" s="1148"/>
      <c r="AX152" s="1148"/>
      <c r="AY152" s="1148"/>
      <c r="AZ152" s="1148"/>
      <c r="BA152" s="1148"/>
      <c r="BC152" s="1148"/>
      <c r="BE152" s="1148"/>
      <c r="BF152" s="1148"/>
      <c r="BG152" s="1148"/>
    </row>
    <row r="153" spans="18:59" x14ac:dyDescent="0.35">
      <c r="R153" s="1148"/>
      <c r="S153" s="1148"/>
      <c r="W153" s="1148"/>
      <c r="X153" s="1148"/>
      <c r="AE153" s="1148"/>
      <c r="AF153" s="1148"/>
      <c r="AV153" s="1148"/>
      <c r="AW153" s="1148"/>
      <c r="AX153" s="1148"/>
      <c r="AY153" s="1148"/>
      <c r="AZ153" s="1148"/>
      <c r="BA153" s="1148"/>
      <c r="BC153" s="1148"/>
      <c r="BE153" s="1148"/>
      <c r="BF153" s="1148"/>
      <c r="BG153" s="1148"/>
    </row>
    <row r="154" spans="18:59" x14ac:dyDescent="0.35">
      <c r="R154" s="1148"/>
      <c r="S154" s="1148"/>
      <c r="W154" s="1148"/>
      <c r="X154" s="1148"/>
      <c r="AE154" s="1148"/>
      <c r="AF154" s="1148"/>
      <c r="AV154" s="1148"/>
      <c r="AW154" s="1148"/>
      <c r="AX154" s="1148"/>
      <c r="AY154" s="1148"/>
      <c r="AZ154" s="1148"/>
      <c r="BA154" s="1148"/>
      <c r="BC154" s="1148"/>
      <c r="BE154" s="1148"/>
      <c r="BF154" s="1148"/>
      <c r="BG154" s="1148"/>
    </row>
    <row r="155" spans="18:59" x14ac:dyDescent="0.35">
      <c r="R155" s="1148"/>
      <c r="S155" s="1148"/>
      <c r="W155" s="1148"/>
      <c r="X155" s="1148"/>
      <c r="AE155" s="1148"/>
      <c r="AF155" s="1148"/>
      <c r="AV155" s="1148"/>
      <c r="AW155" s="1148"/>
      <c r="AX155" s="1148"/>
      <c r="AY155" s="1148"/>
      <c r="AZ155" s="1148"/>
      <c r="BA155" s="1148"/>
      <c r="BC155" s="1148"/>
      <c r="BE155" s="1148"/>
      <c r="BF155" s="1148"/>
      <c r="BG155" s="1148"/>
    </row>
    <row r="156" spans="18:59" x14ac:dyDescent="0.35">
      <c r="R156" s="1148"/>
      <c r="S156" s="1148"/>
      <c r="W156" s="1148"/>
      <c r="X156" s="1148"/>
      <c r="AE156" s="1148"/>
      <c r="AF156" s="1148"/>
      <c r="AV156" s="1148"/>
      <c r="AW156" s="1148"/>
      <c r="AX156" s="1148"/>
      <c r="AY156" s="1148"/>
      <c r="AZ156" s="1148"/>
      <c r="BA156" s="1148"/>
      <c r="BC156" s="1148"/>
      <c r="BE156" s="1148"/>
      <c r="BF156" s="1148"/>
      <c r="BG156" s="1148"/>
    </row>
    <row r="157" spans="18:59" x14ac:dyDescent="0.35">
      <c r="R157" s="1148"/>
      <c r="S157" s="1148"/>
      <c r="W157" s="1148"/>
      <c r="X157" s="1148"/>
      <c r="AE157" s="1148"/>
      <c r="AF157" s="1148"/>
      <c r="AV157" s="1148"/>
      <c r="AW157" s="1148"/>
      <c r="AX157" s="1148"/>
      <c r="AY157" s="1148"/>
      <c r="AZ157" s="1148"/>
      <c r="BA157" s="1148"/>
      <c r="BC157" s="1148"/>
      <c r="BE157" s="1148"/>
      <c r="BF157" s="1148"/>
      <c r="BG157" s="1148"/>
    </row>
    <row r="158" spans="18:59" x14ac:dyDescent="0.35">
      <c r="R158" s="1148"/>
      <c r="S158" s="1148"/>
      <c r="W158" s="1148"/>
      <c r="X158" s="1148"/>
      <c r="AE158" s="1148"/>
      <c r="AF158" s="1148"/>
      <c r="AV158" s="1148"/>
      <c r="AW158" s="1148"/>
      <c r="AX158" s="1148"/>
      <c r="AY158" s="1148"/>
      <c r="AZ158" s="1148"/>
      <c r="BA158" s="1148"/>
      <c r="BC158" s="1148"/>
      <c r="BE158" s="1148"/>
      <c r="BF158" s="1148"/>
      <c r="BG158" s="1148"/>
    </row>
    <row r="159" spans="18:59" x14ac:dyDescent="0.35">
      <c r="R159" s="1148"/>
      <c r="S159" s="1148"/>
      <c r="W159" s="1148"/>
      <c r="X159" s="1148"/>
      <c r="AE159" s="1148"/>
      <c r="AF159" s="1148"/>
      <c r="AV159" s="1148"/>
      <c r="AW159" s="1148"/>
      <c r="AX159" s="1148"/>
      <c r="AY159" s="1148"/>
      <c r="AZ159" s="1148"/>
      <c r="BA159" s="1148"/>
      <c r="BC159" s="1148"/>
      <c r="BE159" s="1148"/>
      <c r="BF159" s="1148"/>
      <c r="BG159" s="1148"/>
    </row>
    <row r="160" spans="18:59" x14ac:dyDescent="0.35">
      <c r="R160" s="1148"/>
      <c r="S160" s="1148"/>
      <c r="W160" s="1148"/>
      <c r="X160" s="1148"/>
      <c r="AE160" s="1148"/>
      <c r="AF160" s="1148"/>
      <c r="AV160" s="1148"/>
      <c r="AW160" s="1148"/>
      <c r="AX160" s="1148"/>
      <c r="AY160" s="1148"/>
      <c r="AZ160" s="1148"/>
      <c r="BA160" s="1148"/>
      <c r="BC160" s="1148"/>
      <c r="BE160" s="1148"/>
      <c r="BF160" s="1148"/>
      <c r="BG160" s="1148"/>
    </row>
    <row r="161" spans="18:59" x14ac:dyDescent="0.35">
      <c r="R161" s="1148"/>
      <c r="S161" s="1148"/>
      <c r="W161" s="1148"/>
      <c r="X161" s="1148"/>
      <c r="AE161" s="1148"/>
      <c r="AF161" s="1148"/>
      <c r="AV161" s="1148"/>
      <c r="AW161" s="1148"/>
      <c r="AX161" s="1148"/>
      <c r="AY161" s="1148"/>
      <c r="AZ161" s="1148"/>
      <c r="BA161" s="1148"/>
      <c r="BC161" s="1148"/>
      <c r="BE161" s="1148"/>
      <c r="BF161" s="1148"/>
      <c r="BG161" s="1148"/>
    </row>
    <row r="162" spans="18:59" x14ac:dyDescent="0.35">
      <c r="R162" s="1148"/>
      <c r="S162" s="1148"/>
      <c r="W162" s="1148"/>
      <c r="X162" s="1148"/>
      <c r="AE162" s="1148"/>
      <c r="AF162" s="1148"/>
      <c r="AV162" s="1148"/>
      <c r="AW162" s="1148"/>
      <c r="AX162" s="1148"/>
      <c r="AY162" s="1148"/>
      <c r="AZ162" s="1148"/>
      <c r="BA162" s="1148"/>
      <c r="BC162" s="1148"/>
      <c r="BE162" s="1148"/>
      <c r="BF162" s="1148"/>
      <c r="BG162" s="1148"/>
    </row>
    <row r="163" spans="18:59" x14ac:dyDescent="0.35">
      <c r="R163" s="1148"/>
      <c r="S163" s="1148"/>
      <c r="W163" s="1148"/>
      <c r="X163" s="1148"/>
      <c r="AE163" s="1148"/>
      <c r="AF163" s="1148"/>
      <c r="AV163" s="1148"/>
      <c r="AW163" s="1148"/>
      <c r="AX163" s="1148"/>
      <c r="AY163" s="1148"/>
      <c r="AZ163" s="1148"/>
      <c r="BA163" s="1148"/>
      <c r="BC163" s="1148"/>
      <c r="BE163" s="1148"/>
      <c r="BF163" s="1148"/>
      <c r="BG163" s="1148"/>
    </row>
    <row r="164" spans="18:59" x14ac:dyDescent="0.35">
      <c r="R164" s="1148"/>
      <c r="S164" s="1148"/>
      <c r="W164" s="1148"/>
      <c r="X164" s="1148"/>
      <c r="AE164" s="1148"/>
      <c r="AF164" s="1148"/>
      <c r="AV164" s="1148"/>
      <c r="AW164" s="1148"/>
      <c r="AX164" s="1148"/>
      <c r="AY164" s="1148"/>
      <c r="AZ164" s="1148"/>
      <c r="BA164" s="1148"/>
      <c r="BC164" s="1148"/>
      <c r="BE164" s="1148"/>
      <c r="BF164" s="1148"/>
      <c r="BG164" s="1148"/>
    </row>
    <row r="165" spans="18:59" x14ac:dyDescent="0.35">
      <c r="R165" s="1148"/>
      <c r="S165" s="1148"/>
      <c r="W165" s="1148"/>
      <c r="X165" s="1148"/>
      <c r="AE165" s="1148"/>
      <c r="AF165" s="1148"/>
      <c r="AV165" s="1148"/>
      <c r="AW165" s="1148"/>
      <c r="AX165" s="1148"/>
      <c r="AY165" s="1148"/>
      <c r="AZ165" s="1148"/>
      <c r="BA165" s="1148"/>
      <c r="BC165" s="1148"/>
      <c r="BE165" s="1148"/>
      <c r="BF165" s="1148"/>
      <c r="BG165" s="1148"/>
    </row>
    <row r="166" spans="18:59" x14ac:dyDescent="0.35">
      <c r="R166" s="1148"/>
      <c r="S166" s="1148"/>
      <c r="W166" s="1148"/>
      <c r="X166" s="1148"/>
      <c r="AE166" s="1148"/>
      <c r="AF166" s="1148"/>
      <c r="AV166" s="1148"/>
      <c r="AW166" s="1148"/>
      <c r="AX166" s="1148"/>
      <c r="AY166" s="1148"/>
      <c r="AZ166" s="1148"/>
      <c r="BA166" s="1148"/>
      <c r="BC166" s="1148"/>
      <c r="BE166" s="1148"/>
      <c r="BF166" s="1148"/>
      <c r="BG166" s="1148"/>
    </row>
    <row r="167" spans="18:59" x14ac:dyDescent="0.35">
      <c r="R167" s="1148"/>
      <c r="S167" s="1148"/>
      <c r="W167" s="1148"/>
      <c r="X167" s="1148"/>
      <c r="AE167" s="1148"/>
      <c r="AF167" s="1148"/>
      <c r="AV167" s="1148"/>
      <c r="AW167" s="1148"/>
      <c r="AX167" s="1148"/>
      <c r="AY167" s="1148"/>
      <c r="AZ167" s="1148"/>
      <c r="BA167" s="1148"/>
      <c r="BC167" s="1148"/>
      <c r="BE167" s="1148"/>
      <c r="BF167" s="1148"/>
      <c r="BG167" s="1148"/>
    </row>
    <row r="168" spans="18:59" x14ac:dyDescent="0.35">
      <c r="R168" s="1148"/>
      <c r="S168" s="1148"/>
      <c r="W168" s="1148"/>
      <c r="X168" s="1148"/>
      <c r="AE168" s="1148"/>
      <c r="AF168" s="1148"/>
      <c r="AV168" s="1148"/>
      <c r="AW168" s="1148"/>
      <c r="AX168" s="1148"/>
      <c r="AY168" s="1148"/>
      <c r="AZ168" s="1148"/>
      <c r="BA168" s="1148"/>
      <c r="BC168" s="1148"/>
      <c r="BE168" s="1148"/>
      <c r="BF168" s="1148"/>
      <c r="BG168" s="1148"/>
    </row>
    <row r="169" spans="18:59" x14ac:dyDescent="0.35">
      <c r="R169" s="1148"/>
      <c r="S169" s="1148"/>
      <c r="W169" s="1148"/>
      <c r="X169" s="1148"/>
      <c r="AE169" s="1148"/>
      <c r="AF169" s="1148"/>
      <c r="AV169" s="1148"/>
      <c r="AW169" s="1148"/>
      <c r="AX169" s="1148"/>
      <c r="AY169" s="1148"/>
      <c r="AZ169" s="1148"/>
      <c r="BA169" s="1148"/>
      <c r="BC169" s="1148"/>
      <c r="BE169" s="1148"/>
      <c r="BF169" s="1148"/>
      <c r="BG169" s="1148"/>
    </row>
    <row r="170" spans="18:59" x14ac:dyDescent="0.35">
      <c r="R170" s="1148"/>
      <c r="S170" s="1148"/>
      <c r="W170" s="1148"/>
      <c r="X170" s="1148"/>
      <c r="AE170" s="1148"/>
      <c r="AF170" s="1148"/>
      <c r="AV170" s="1148"/>
      <c r="AW170" s="1148"/>
      <c r="AX170" s="1148"/>
      <c r="AY170" s="1148"/>
      <c r="AZ170" s="1148"/>
      <c r="BA170" s="1148"/>
      <c r="BC170" s="1148"/>
      <c r="BE170" s="1148"/>
      <c r="BF170" s="1148"/>
      <c r="BG170" s="1148"/>
    </row>
    <row r="171" spans="18:59" x14ac:dyDescent="0.35">
      <c r="R171" s="1148"/>
      <c r="S171" s="1148"/>
      <c r="W171" s="1148"/>
      <c r="X171" s="1148"/>
      <c r="AE171" s="1148"/>
      <c r="AF171" s="1148"/>
      <c r="AV171" s="1148"/>
      <c r="AW171" s="1148"/>
      <c r="AX171" s="1148"/>
      <c r="AY171" s="1148"/>
      <c r="AZ171" s="1148"/>
      <c r="BA171" s="1148"/>
      <c r="BC171" s="1148"/>
      <c r="BE171" s="1148"/>
      <c r="BF171" s="1148"/>
      <c r="BG171" s="1148"/>
    </row>
    <row r="172" spans="18:59" x14ac:dyDescent="0.35">
      <c r="R172" s="1148"/>
      <c r="S172" s="1148"/>
      <c r="W172" s="1148"/>
      <c r="X172" s="1148"/>
      <c r="AE172" s="1148"/>
      <c r="AF172" s="1148"/>
      <c r="AV172" s="1148"/>
      <c r="AW172" s="1148"/>
      <c r="AX172" s="1148"/>
      <c r="AY172" s="1148"/>
      <c r="AZ172" s="1148"/>
      <c r="BA172" s="1148"/>
      <c r="BC172" s="1148"/>
      <c r="BE172" s="1148"/>
      <c r="BF172" s="1148"/>
      <c r="BG172" s="1148"/>
    </row>
    <row r="173" spans="18:59" x14ac:dyDescent="0.35">
      <c r="R173" s="1148"/>
      <c r="S173" s="1148"/>
      <c r="W173" s="1148"/>
      <c r="X173" s="1148"/>
      <c r="AE173" s="1148"/>
      <c r="AF173" s="1148"/>
      <c r="AV173" s="1148"/>
      <c r="AW173" s="1148"/>
      <c r="AX173" s="1148"/>
      <c r="AY173" s="1148"/>
      <c r="AZ173" s="1148"/>
      <c r="BA173" s="1148"/>
      <c r="BC173" s="1148"/>
      <c r="BE173" s="1148"/>
      <c r="BF173" s="1148"/>
      <c r="BG173" s="1148"/>
    </row>
    <row r="174" spans="18:59" x14ac:dyDescent="0.35">
      <c r="R174" s="1148"/>
      <c r="S174" s="1148"/>
      <c r="W174" s="1148"/>
      <c r="X174" s="1148"/>
      <c r="AE174" s="1148"/>
      <c r="AF174" s="1148"/>
      <c r="AV174" s="1148"/>
      <c r="AW174" s="1148"/>
      <c r="AX174" s="1148"/>
      <c r="AY174" s="1148"/>
      <c r="AZ174" s="1148"/>
      <c r="BA174" s="1148"/>
      <c r="BC174" s="1148"/>
      <c r="BE174" s="1148"/>
      <c r="BF174" s="1148"/>
      <c r="BG174" s="1148"/>
    </row>
    <row r="175" spans="18:59" x14ac:dyDescent="0.35">
      <c r="R175" s="1148"/>
      <c r="S175" s="1148"/>
      <c r="W175" s="1148"/>
      <c r="X175" s="1148"/>
      <c r="AE175" s="1148"/>
      <c r="AF175" s="1148"/>
      <c r="AV175" s="1148"/>
      <c r="AW175" s="1148"/>
      <c r="AX175" s="1148"/>
      <c r="AY175" s="1148"/>
      <c r="AZ175" s="1148"/>
      <c r="BA175" s="1148"/>
      <c r="BC175" s="1148"/>
      <c r="BE175" s="1148"/>
      <c r="BF175" s="1148"/>
      <c r="BG175" s="1148"/>
    </row>
    <row r="176" spans="18:59" x14ac:dyDescent="0.35">
      <c r="R176" s="1148"/>
      <c r="S176" s="1148"/>
      <c r="W176" s="1148"/>
      <c r="X176" s="1148"/>
      <c r="AE176" s="1148"/>
      <c r="AF176" s="1148"/>
      <c r="AV176" s="1148"/>
      <c r="AW176" s="1148"/>
      <c r="AX176" s="1148"/>
      <c r="AY176" s="1148"/>
      <c r="AZ176" s="1148"/>
      <c r="BA176" s="1148"/>
      <c r="BC176" s="1148"/>
      <c r="BE176" s="1148"/>
      <c r="BF176" s="1148"/>
      <c r="BG176" s="1148"/>
    </row>
    <row r="177" spans="18:59" x14ac:dyDescent="0.35">
      <c r="R177" s="1148"/>
      <c r="S177" s="1148"/>
      <c r="W177" s="1148"/>
      <c r="X177" s="1148"/>
      <c r="AE177" s="1148"/>
      <c r="AF177" s="1148"/>
      <c r="AV177" s="1148"/>
      <c r="AW177" s="1148"/>
      <c r="AX177" s="1148"/>
      <c r="AY177" s="1148"/>
      <c r="AZ177" s="1148"/>
      <c r="BA177" s="1148"/>
      <c r="BC177" s="1148"/>
      <c r="BE177" s="1148"/>
      <c r="BF177" s="1148"/>
      <c r="BG177" s="1148"/>
    </row>
    <row r="178" spans="18:59" x14ac:dyDescent="0.35">
      <c r="R178" s="1148"/>
      <c r="S178" s="1148"/>
      <c r="W178" s="1148"/>
      <c r="X178" s="1148"/>
      <c r="AE178" s="1148"/>
      <c r="AF178" s="1148"/>
      <c r="AV178" s="1148"/>
      <c r="AW178" s="1148"/>
      <c r="AX178" s="1148"/>
      <c r="AY178" s="1148"/>
      <c r="AZ178" s="1148"/>
      <c r="BA178" s="1148"/>
      <c r="BC178" s="1148"/>
      <c r="BE178" s="1148"/>
      <c r="BF178" s="1148"/>
      <c r="BG178" s="1148"/>
    </row>
    <row r="179" spans="18:59" x14ac:dyDescent="0.35">
      <c r="R179" s="1148"/>
      <c r="S179" s="1148"/>
      <c r="W179" s="1148"/>
      <c r="X179" s="1148"/>
      <c r="AE179" s="1148"/>
      <c r="AF179" s="1148"/>
      <c r="AV179" s="1148"/>
      <c r="AW179" s="1148"/>
      <c r="AX179" s="1148"/>
      <c r="AY179" s="1148"/>
      <c r="AZ179" s="1148"/>
      <c r="BA179" s="1148"/>
      <c r="BC179" s="1148"/>
      <c r="BE179" s="1148"/>
      <c r="BF179" s="1148"/>
      <c r="BG179" s="1148"/>
    </row>
    <row r="180" spans="18:59" x14ac:dyDescent="0.35">
      <c r="R180" s="1148"/>
      <c r="S180" s="1148"/>
      <c r="W180" s="1148"/>
      <c r="X180" s="1148"/>
      <c r="AE180" s="1148"/>
      <c r="AF180" s="1148"/>
      <c r="AV180" s="1148"/>
      <c r="AW180" s="1148"/>
      <c r="AX180" s="1148"/>
      <c r="AY180" s="1148"/>
      <c r="AZ180" s="1148"/>
      <c r="BA180" s="1148"/>
      <c r="BC180" s="1148"/>
      <c r="BE180" s="1148"/>
      <c r="BF180" s="1148"/>
      <c r="BG180" s="1148"/>
    </row>
    <row r="181" spans="18:59" x14ac:dyDescent="0.35">
      <c r="R181" s="1148"/>
      <c r="S181" s="1148"/>
      <c r="W181" s="1148"/>
      <c r="X181" s="1148"/>
      <c r="AE181" s="1148"/>
      <c r="AF181" s="1148"/>
      <c r="AV181" s="1148"/>
      <c r="AW181" s="1148"/>
      <c r="AX181" s="1148"/>
      <c r="AY181" s="1148"/>
      <c r="AZ181" s="1148"/>
      <c r="BA181" s="1148"/>
      <c r="BC181" s="1148"/>
      <c r="BE181" s="1148"/>
      <c r="BF181" s="1148"/>
      <c r="BG181" s="1148"/>
    </row>
    <row r="182" spans="18:59" x14ac:dyDescent="0.35">
      <c r="R182" s="1148"/>
      <c r="S182" s="1148"/>
      <c r="W182" s="1148"/>
      <c r="X182" s="1148"/>
      <c r="AE182" s="1148"/>
      <c r="AF182" s="1148"/>
      <c r="AV182" s="1148"/>
      <c r="AW182" s="1148"/>
      <c r="AX182" s="1148"/>
      <c r="AY182" s="1148"/>
      <c r="AZ182" s="1148"/>
      <c r="BA182" s="1148"/>
      <c r="BC182" s="1148"/>
      <c r="BE182" s="1148"/>
      <c r="BF182" s="1148"/>
      <c r="BG182" s="1148"/>
    </row>
    <row r="183" spans="18:59" x14ac:dyDescent="0.35">
      <c r="R183" s="1148"/>
      <c r="S183" s="1148"/>
      <c r="W183" s="1148"/>
      <c r="X183" s="1148"/>
      <c r="AE183" s="1148"/>
      <c r="AF183" s="1148"/>
      <c r="AV183" s="1148"/>
      <c r="AW183" s="1148"/>
      <c r="AX183" s="1148"/>
      <c r="AY183" s="1148"/>
      <c r="AZ183" s="1148"/>
      <c r="BA183" s="1148"/>
      <c r="BC183" s="1148"/>
      <c r="BE183" s="1148"/>
      <c r="BF183" s="1148"/>
      <c r="BG183" s="1148"/>
    </row>
    <row r="184" spans="18:59" x14ac:dyDescent="0.35">
      <c r="R184" s="1148"/>
      <c r="S184" s="1148"/>
      <c r="W184" s="1148"/>
      <c r="X184" s="1148"/>
      <c r="AE184" s="1148"/>
      <c r="AF184" s="1148"/>
      <c r="AV184" s="1148"/>
      <c r="AW184" s="1148"/>
      <c r="AX184" s="1148"/>
      <c r="AY184" s="1148"/>
      <c r="AZ184" s="1148"/>
      <c r="BA184" s="1148"/>
      <c r="BC184" s="1148"/>
      <c r="BE184" s="1148"/>
      <c r="BF184" s="1148"/>
      <c r="BG184" s="1148"/>
    </row>
    <row r="185" spans="18:59" x14ac:dyDescent="0.35">
      <c r="R185" s="1148"/>
      <c r="S185" s="1148"/>
      <c r="W185" s="1148"/>
      <c r="X185" s="1148"/>
      <c r="AE185" s="1148"/>
      <c r="AF185" s="1148"/>
      <c r="AV185" s="1148"/>
      <c r="AW185" s="1148"/>
      <c r="AX185" s="1148"/>
      <c r="AY185" s="1148"/>
      <c r="AZ185" s="1148"/>
      <c r="BA185" s="1148"/>
      <c r="BC185" s="1148"/>
      <c r="BE185" s="1148"/>
      <c r="BF185" s="1148"/>
      <c r="BG185" s="1148"/>
    </row>
    <row r="186" spans="18:59" x14ac:dyDescent="0.35">
      <c r="R186" s="1148"/>
      <c r="S186" s="1148"/>
      <c r="W186" s="1148"/>
      <c r="X186" s="1148"/>
      <c r="AE186" s="1148"/>
      <c r="AF186" s="1148"/>
      <c r="AV186" s="1148"/>
      <c r="AW186" s="1148"/>
      <c r="AX186" s="1148"/>
      <c r="AY186" s="1148"/>
      <c r="AZ186" s="1148"/>
      <c r="BA186" s="1148"/>
      <c r="BC186" s="1148"/>
      <c r="BE186" s="1148"/>
      <c r="BF186" s="1148"/>
      <c r="BG186" s="1148"/>
    </row>
    <row r="187" spans="18:59" x14ac:dyDescent="0.35">
      <c r="R187" s="1148"/>
      <c r="S187" s="1148"/>
      <c r="W187" s="1148"/>
      <c r="X187" s="1148"/>
      <c r="AE187" s="1148"/>
      <c r="AF187" s="1148"/>
      <c r="AV187" s="1148"/>
      <c r="AW187" s="1148"/>
      <c r="AX187" s="1148"/>
      <c r="AY187" s="1148"/>
      <c r="AZ187" s="1148"/>
      <c r="BA187" s="1148"/>
      <c r="BC187" s="1148"/>
      <c r="BE187" s="1148"/>
      <c r="BF187" s="1148"/>
      <c r="BG187" s="1148"/>
    </row>
    <row r="188" spans="18:59" x14ac:dyDescent="0.35">
      <c r="R188" s="1148"/>
      <c r="S188" s="1148"/>
      <c r="W188" s="1148"/>
      <c r="X188" s="1148"/>
      <c r="AE188" s="1148"/>
      <c r="AF188" s="1148"/>
      <c r="AV188" s="1148"/>
      <c r="AW188" s="1148"/>
      <c r="AX188" s="1148"/>
      <c r="AY188" s="1148"/>
      <c r="AZ188" s="1148"/>
      <c r="BA188" s="1148"/>
      <c r="BC188" s="1148"/>
      <c r="BE188" s="1148"/>
      <c r="BF188" s="1148"/>
      <c r="BG188" s="1148"/>
    </row>
    <row r="189" spans="18:59" x14ac:dyDescent="0.35">
      <c r="R189" s="1148"/>
      <c r="S189" s="1148"/>
      <c r="W189" s="1148"/>
      <c r="X189" s="1148"/>
      <c r="AE189" s="1148"/>
      <c r="AF189" s="1148"/>
      <c r="AV189" s="1148"/>
      <c r="AW189" s="1148"/>
      <c r="AX189" s="1148"/>
      <c r="AY189" s="1148"/>
      <c r="AZ189" s="1148"/>
      <c r="BA189" s="1148"/>
      <c r="BC189" s="1148"/>
      <c r="BE189" s="1148"/>
      <c r="BF189" s="1148"/>
      <c r="BG189" s="1148"/>
    </row>
    <row r="190" spans="18:59" x14ac:dyDescent="0.35">
      <c r="R190" s="1148"/>
      <c r="S190" s="1148"/>
      <c r="W190" s="1148"/>
      <c r="X190" s="1148"/>
      <c r="AE190" s="1148"/>
      <c r="AF190" s="1148"/>
      <c r="AV190" s="1148"/>
      <c r="AW190" s="1148"/>
      <c r="AX190" s="1148"/>
      <c r="AY190" s="1148"/>
      <c r="AZ190" s="1148"/>
      <c r="BA190" s="1148"/>
      <c r="BC190" s="1148"/>
      <c r="BE190" s="1148"/>
      <c r="BF190" s="1148"/>
      <c r="BG190" s="1148"/>
    </row>
    <row r="191" spans="18:59" x14ac:dyDescent="0.35">
      <c r="R191" s="1148"/>
      <c r="S191" s="1148"/>
      <c r="W191" s="1148"/>
      <c r="X191" s="1148"/>
      <c r="AE191" s="1148"/>
      <c r="AF191" s="1148"/>
      <c r="AV191" s="1148"/>
      <c r="AW191" s="1148"/>
      <c r="AX191" s="1148"/>
      <c r="AY191" s="1148"/>
      <c r="AZ191" s="1148"/>
      <c r="BA191" s="1148"/>
      <c r="BC191" s="1148"/>
      <c r="BE191" s="1148"/>
      <c r="BF191" s="1148"/>
      <c r="BG191" s="1148"/>
    </row>
    <row r="192" spans="18:59" x14ac:dyDescent="0.35">
      <c r="R192" s="1148"/>
      <c r="S192" s="1148"/>
      <c r="W192" s="1148"/>
      <c r="X192" s="1148"/>
      <c r="AE192" s="1148"/>
      <c r="AF192" s="1148"/>
      <c r="AV192" s="1148"/>
      <c r="AW192" s="1148"/>
      <c r="AX192" s="1148"/>
      <c r="AY192" s="1148"/>
      <c r="AZ192" s="1148"/>
      <c r="BA192" s="1148"/>
      <c r="BC192" s="1148"/>
      <c r="BE192" s="1148"/>
      <c r="BF192" s="1148"/>
      <c r="BG192" s="1148"/>
    </row>
    <row r="193" spans="18:59" x14ac:dyDescent="0.35">
      <c r="R193" s="1148"/>
      <c r="S193" s="1148"/>
      <c r="W193" s="1148"/>
      <c r="X193" s="1148"/>
      <c r="AE193" s="1148"/>
      <c r="AF193" s="1148"/>
      <c r="AV193" s="1148"/>
      <c r="AW193" s="1148"/>
      <c r="AX193" s="1148"/>
      <c r="AY193" s="1148"/>
      <c r="AZ193" s="1148"/>
      <c r="BA193" s="1148"/>
      <c r="BC193" s="1148"/>
      <c r="BE193" s="1148"/>
      <c r="BF193" s="1148"/>
      <c r="BG193" s="1148"/>
    </row>
    <row r="194" spans="18:59" x14ac:dyDescent="0.35">
      <c r="R194" s="1148"/>
      <c r="S194" s="1148"/>
      <c r="W194" s="1148"/>
      <c r="X194" s="1148"/>
      <c r="AE194" s="1148"/>
      <c r="AF194" s="1148"/>
      <c r="AV194" s="1148"/>
      <c r="AW194" s="1148"/>
      <c r="AX194" s="1148"/>
      <c r="AY194" s="1148"/>
      <c r="AZ194" s="1148"/>
      <c r="BA194" s="1148"/>
      <c r="BC194" s="1148"/>
      <c r="BE194" s="1148"/>
      <c r="BF194" s="1148"/>
      <c r="BG194" s="1148"/>
    </row>
    <row r="195" spans="18:59" x14ac:dyDescent="0.35">
      <c r="R195" s="1148"/>
      <c r="S195" s="1148"/>
      <c r="W195" s="1148"/>
      <c r="X195" s="1148"/>
      <c r="AE195" s="1148"/>
      <c r="AF195" s="1148"/>
      <c r="AV195" s="1148"/>
      <c r="AW195" s="1148"/>
      <c r="AX195" s="1148"/>
      <c r="AY195" s="1148"/>
      <c r="AZ195" s="1148"/>
      <c r="BA195" s="1148"/>
      <c r="BC195" s="1148"/>
      <c r="BE195" s="1148"/>
      <c r="BF195" s="1148"/>
      <c r="BG195" s="1148"/>
    </row>
    <row r="196" spans="18:59" x14ac:dyDescent="0.35">
      <c r="R196" s="1148"/>
      <c r="S196" s="1148"/>
      <c r="W196" s="1148"/>
      <c r="X196" s="1148"/>
      <c r="AE196" s="1148"/>
      <c r="AF196" s="1148"/>
      <c r="AV196" s="1148"/>
      <c r="AW196" s="1148"/>
      <c r="AX196" s="1148"/>
      <c r="AY196" s="1148"/>
      <c r="AZ196" s="1148"/>
      <c r="BA196" s="1148"/>
      <c r="BC196" s="1148"/>
      <c r="BE196" s="1148"/>
      <c r="BF196" s="1148"/>
      <c r="BG196" s="1148"/>
    </row>
    <row r="197" spans="18:59" x14ac:dyDescent="0.35">
      <c r="R197" s="1148"/>
      <c r="S197" s="1148"/>
      <c r="W197" s="1148"/>
      <c r="X197" s="1148"/>
      <c r="AE197" s="1148"/>
      <c r="AF197" s="1148"/>
      <c r="AV197" s="1148"/>
      <c r="AW197" s="1148"/>
      <c r="AX197" s="1148"/>
      <c r="AY197" s="1148"/>
      <c r="AZ197" s="1148"/>
      <c r="BA197" s="1148"/>
      <c r="BC197" s="1148"/>
      <c r="BE197" s="1148"/>
      <c r="BF197" s="1148"/>
      <c r="BG197" s="1148"/>
    </row>
    <row r="198" spans="18:59" x14ac:dyDescent="0.35">
      <c r="R198" s="1148"/>
      <c r="S198" s="1148"/>
      <c r="W198" s="1148"/>
      <c r="X198" s="1148"/>
      <c r="AE198" s="1148"/>
      <c r="AF198" s="1148"/>
      <c r="AV198" s="1148"/>
      <c r="AW198" s="1148"/>
      <c r="AX198" s="1148"/>
      <c r="AY198" s="1148"/>
      <c r="AZ198" s="1148"/>
      <c r="BA198" s="1148"/>
      <c r="BC198" s="1148"/>
      <c r="BE198" s="1148"/>
      <c r="BF198" s="1148"/>
      <c r="BG198" s="1148"/>
    </row>
    <row r="199" spans="18:59" x14ac:dyDescent="0.35">
      <c r="R199" s="1148"/>
      <c r="S199" s="1148"/>
      <c r="W199" s="1148"/>
      <c r="X199" s="1148"/>
      <c r="AE199" s="1148"/>
      <c r="AF199" s="1148"/>
      <c r="AV199" s="1148"/>
      <c r="AW199" s="1148"/>
      <c r="AX199" s="1148"/>
      <c r="AY199" s="1148"/>
      <c r="AZ199" s="1148"/>
      <c r="BA199" s="1148"/>
      <c r="BC199" s="1148"/>
      <c r="BE199" s="1148"/>
      <c r="BF199" s="1148"/>
      <c r="BG199" s="1148"/>
    </row>
    <row r="200" spans="18:59" x14ac:dyDescent="0.35">
      <c r="R200" s="1148"/>
      <c r="S200" s="1148"/>
      <c r="W200" s="1148"/>
      <c r="X200" s="1148"/>
      <c r="AE200" s="1148"/>
      <c r="AF200" s="1148"/>
      <c r="AV200" s="1148"/>
      <c r="AW200" s="1148"/>
      <c r="AX200" s="1148"/>
      <c r="AY200" s="1148"/>
      <c r="AZ200" s="1148"/>
      <c r="BA200" s="1148"/>
      <c r="BC200" s="1148"/>
      <c r="BE200" s="1148"/>
      <c r="BF200" s="1148"/>
      <c r="BG200" s="1148"/>
    </row>
    <row r="201" spans="18:59" x14ac:dyDescent="0.35">
      <c r="R201" s="1148"/>
      <c r="S201" s="1148"/>
      <c r="W201" s="1148"/>
      <c r="X201" s="1148"/>
      <c r="AE201" s="1148"/>
      <c r="AF201" s="1148"/>
      <c r="AV201" s="1148"/>
      <c r="AW201" s="1148"/>
      <c r="AX201" s="1148"/>
      <c r="AY201" s="1148"/>
      <c r="AZ201" s="1148"/>
      <c r="BA201" s="1148"/>
      <c r="BC201" s="1148"/>
      <c r="BE201" s="1148"/>
      <c r="BF201" s="1148"/>
      <c r="BG201" s="1148"/>
    </row>
    <row r="202" spans="18:59" x14ac:dyDescent="0.35">
      <c r="R202" s="1148"/>
      <c r="S202" s="1148"/>
      <c r="W202" s="1148"/>
      <c r="X202" s="1148"/>
      <c r="AE202" s="1148"/>
      <c r="AF202" s="1148"/>
      <c r="AV202" s="1148"/>
      <c r="AW202" s="1148"/>
      <c r="AX202" s="1148"/>
      <c r="AY202" s="1148"/>
      <c r="AZ202" s="1148"/>
      <c r="BA202" s="1148"/>
      <c r="BC202" s="1148"/>
      <c r="BE202" s="1148"/>
      <c r="BF202" s="1148"/>
      <c r="BG202" s="1148"/>
    </row>
    <row r="203" spans="18:59" x14ac:dyDescent="0.35">
      <c r="R203" s="1148"/>
      <c r="S203" s="1148"/>
      <c r="W203" s="1148"/>
      <c r="X203" s="1148"/>
      <c r="AE203" s="1148"/>
      <c r="AF203" s="1148"/>
      <c r="AV203" s="1148"/>
      <c r="AW203" s="1148"/>
      <c r="AX203" s="1148"/>
      <c r="AY203" s="1148"/>
      <c r="AZ203" s="1148"/>
      <c r="BA203" s="1148"/>
      <c r="BC203" s="1148"/>
      <c r="BE203" s="1148"/>
      <c r="BF203" s="1148"/>
      <c r="BG203" s="1148"/>
    </row>
    <row r="204" spans="18:59" x14ac:dyDescent="0.35">
      <c r="R204" s="1148"/>
      <c r="S204" s="1148"/>
      <c r="W204" s="1148"/>
      <c r="X204" s="1148"/>
      <c r="AE204" s="1148"/>
      <c r="AF204" s="1148"/>
      <c r="AV204" s="1148"/>
      <c r="AW204" s="1148"/>
      <c r="AX204" s="1148"/>
      <c r="AY204" s="1148"/>
      <c r="AZ204" s="1148"/>
      <c r="BA204" s="1148"/>
      <c r="BC204" s="1148"/>
      <c r="BE204" s="1148"/>
      <c r="BF204" s="1148"/>
      <c r="BG204" s="1148"/>
    </row>
    <row r="205" spans="18:59" x14ac:dyDescent="0.35">
      <c r="R205" s="1148"/>
      <c r="S205" s="1148"/>
      <c r="W205" s="1148"/>
      <c r="X205" s="1148"/>
      <c r="AE205" s="1148"/>
      <c r="AF205" s="1148"/>
      <c r="AV205" s="1148"/>
      <c r="AW205" s="1148"/>
      <c r="AX205" s="1148"/>
      <c r="AY205" s="1148"/>
      <c r="AZ205" s="1148"/>
      <c r="BA205" s="1148"/>
      <c r="BC205" s="1148"/>
      <c r="BE205" s="1148"/>
      <c r="BF205" s="1148"/>
      <c r="BG205" s="1148"/>
    </row>
    <row r="206" spans="18:59" x14ac:dyDescent="0.35">
      <c r="R206" s="1148"/>
      <c r="S206" s="1148"/>
      <c r="W206" s="1148"/>
      <c r="X206" s="1148"/>
      <c r="AE206" s="1148"/>
      <c r="AF206" s="1148"/>
      <c r="AV206" s="1148"/>
      <c r="AW206" s="1148"/>
      <c r="AX206" s="1148"/>
      <c r="AY206" s="1148"/>
      <c r="AZ206" s="1148"/>
      <c r="BA206" s="1148"/>
      <c r="BC206" s="1148"/>
      <c r="BE206" s="1148"/>
      <c r="BF206" s="1148"/>
      <c r="BG206" s="1148"/>
    </row>
    <row r="207" spans="18:59" x14ac:dyDescent="0.35">
      <c r="R207" s="1148"/>
      <c r="S207" s="1148"/>
      <c r="W207" s="1148"/>
      <c r="X207" s="1148"/>
      <c r="AE207" s="1148"/>
      <c r="AF207" s="1148"/>
      <c r="AV207" s="1148"/>
      <c r="AW207" s="1148"/>
      <c r="AX207" s="1148"/>
      <c r="AY207" s="1148"/>
      <c r="AZ207" s="1148"/>
      <c r="BA207" s="1148"/>
      <c r="BC207" s="1148"/>
      <c r="BE207" s="1148"/>
      <c r="BF207" s="1148"/>
      <c r="BG207" s="1148"/>
    </row>
    <row r="208" spans="18:59" x14ac:dyDescent="0.35">
      <c r="R208" s="1148"/>
      <c r="S208" s="1148"/>
      <c r="W208" s="1148"/>
      <c r="X208" s="1148"/>
      <c r="AE208" s="1148"/>
      <c r="AF208" s="1148"/>
      <c r="AV208" s="1148"/>
      <c r="AW208" s="1148"/>
      <c r="AX208" s="1148"/>
      <c r="AY208" s="1148"/>
      <c r="AZ208" s="1148"/>
      <c r="BA208" s="1148"/>
      <c r="BC208" s="1148"/>
      <c r="BE208" s="1148"/>
      <c r="BF208" s="1148"/>
      <c r="BG208" s="1148"/>
    </row>
    <row r="209" spans="18:59" x14ac:dyDescent="0.35">
      <c r="R209" s="1148"/>
      <c r="S209" s="1148"/>
      <c r="W209" s="1148"/>
      <c r="X209" s="1148"/>
      <c r="AE209" s="1148"/>
      <c r="AF209" s="1148"/>
      <c r="AV209" s="1148"/>
      <c r="AW209" s="1148"/>
      <c r="AX209" s="1148"/>
      <c r="AY209" s="1148"/>
      <c r="AZ209" s="1148"/>
      <c r="BA209" s="1148"/>
      <c r="BC209" s="1148"/>
      <c r="BE209" s="1148"/>
      <c r="BF209" s="1148"/>
      <c r="BG209" s="1148"/>
    </row>
    <row r="210" spans="18:59" x14ac:dyDescent="0.35">
      <c r="R210" s="1148"/>
      <c r="S210" s="1148"/>
      <c r="W210" s="1148"/>
      <c r="X210" s="1148"/>
      <c r="AE210" s="1148"/>
      <c r="AF210" s="1148"/>
      <c r="AV210" s="1148"/>
      <c r="AW210" s="1148"/>
      <c r="AX210" s="1148"/>
      <c r="AY210" s="1148"/>
      <c r="AZ210" s="1148"/>
      <c r="BA210" s="1148"/>
      <c r="BC210" s="1148"/>
      <c r="BE210" s="1148"/>
      <c r="BF210" s="1148"/>
      <c r="BG210" s="1148"/>
    </row>
    <row r="211" spans="18:59" x14ac:dyDescent="0.35">
      <c r="R211" s="1148"/>
      <c r="S211" s="1148"/>
      <c r="W211" s="1148"/>
      <c r="X211" s="1148"/>
      <c r="AE211" s="1148"/>
      <c r="AF211" s="1148"/>
      <c r="AV211" s="1148"/>
      <c r="AW211" s="1148"/>
      <c r="AX211" s="1148"/>
      <c r="AY211" s="1148"/>
      <c r="AZ211" s="1148"/>
      <c r="BA211" s="1148"/>
      <c r="BC211" s="1148"/>
      <c r="BE211" s="1148"/>
      <c r="BF211" s="1148"/>
      <c r="BG211" s="1148"/>
    </row>
    <row r="212" spans="18:59" x14ac:dyDescent="0.35">
      <c r="R212" s="1148"/>
      <c r="S212" s="1148"/>
      <c r="W212" s="1148"/>
      <c r="X212" s="1148"/>
      <c r="AE212" s="1148"/>
      <c r="AF212" s="1148"/>
      <c r="AV212" s="1148"/>
      <c r="AW212" s="1148"/>
      <c r="AX212" s="1148"/>
      <c r="AY212" s="1148"/>
      <c r="AZ212" s="1148"/>
      <c r="BA212" s="1148"/>
      <c r="BC212" s="1148"/>
      <c r="BE212" s="1148"/>
      <c r="BF212" s="1148"/>
      <c r="BG212" s="1148"/>
    </row>
    <row r="213" spans="18:59" x14ac:dyDescent="0.35">
      <c r="R213" s="1148"/>
      <c r="S213" s="1148"/>
      <c r="W213" s="1148"/>
      <c r="X213" s="1148"/>
      <c r="AE213" s="1148"/>
      <c r="AF213" s="1148"/>
      <c r="AV213" s="1148"/>
      <c r="AW213" s="1148"/>
      <c r="AX213" s="1148"/>
      <c r="AY213" s="1148"/>
      <c r="AZ213" s="1148"/>
      <c r="BA213" s="1148"/>
      <c r="BC213" s="1148"/>
      <c r="BE213" s="1148"/>
      <c r="BF213" s="1148"/>
      <c r="BG213" s="1148"/>
    </row>
    <row r="214" spans="18:59" x14ac:dyDescent="0.35">
      <c r="R214" s="1148"/>
      <c r="S214" s="1148"/>
      <c r="W214" s="1148"/>
      <c r="X214" s="1148"/>
      <c r="AE214" s="1148"/>
      <c r="AF214" s="1148"/>
      <c r="AV214" s="1148"/>
      <c r="AW214" s="1148"/>
      <c r="AX214" s="1148"/>
      <c r="AY214" s="1148"/>
      <c r="AZ214" s="1148"/>
      <c r="BA214" s="1148"/>
      <c r="BC214" s="1148"/>
      <c r="BE214" s="1148"/>
      <c r="BF214" s="1148"/>
      <c r="BG214" s="1148"/>
    </row>
    <row r="215" spans="18:59" x14ac:dyDescent="0.35">
      <c r="R215" s="1148"/>
      <c r="S215" s="1148"/>
      <c r="W215" s="1148"/>
      <c r="X215" s="1148"/>
      <c r="AE215" s="1148"/>
      <c r="AF215" s="1148"/>
      <c r="AV215" s="1148"/>
      <c r="AW215" s="1148"/>
      <c r="AX215" s="1148"/>
      <c r="AY215" s="1148"/>
      <c r="AZ215" s="1148"/>
      <c r="BA215" s="1148"/>
      <c r="BC215" s="1148"/>
      <c r="BE215" s="1148"/>
      <c r="BF215" s="1148"/>
      <c r="BG215" s="1148"/>
    </row>
    <row r="216" spans="18:59" x14ac:dyDescent="0.35">
      <c r="R216" s="1148"/>
      <c r="S216" s="1148"/>
      <c r="W216" s="1148"/>
      <c r="X216" s="1148"/>
      <c r="AE216" s="1148"/>
      <c r="AF216" s="1148"/>
      <c r="AV216" s="1148"/>
      <c r="AW216" s="1148"/>
      <c r="AX216" s="1148"/>
      <c r="AY216" s="1148"/>
      <c r="AZ216" s="1148"/>
      <c r="BA216" s="1148"/>
      <c r="BC216" s="1148"/>
      <c r="BE216" s="1148"/>
      <c r="BF216" s="1148"/>
      <c r="BG216" s="1148"/>
    </row>
    <row r="217" spans="18:59" x14ac:dyDescent="0.35">
      <c r="R217" s="1148"/>
      <c r="S217" s="1148"/>
      <c r="W217" s="1148"/>
      <c r="X217" s="1148"/>
      <c r="AE217" s="1148"/>
      <c r="AF217" s="1148"/>
      <c r="AV217" s="1148"/>
      <c r="AW217" s="1148"/>
      <c r="AX217" s="1148"/>
      <c r="AY217" s="1148"/>
      <c r="AZ217" s="1148"/>
      <c r="BA217" s="1148"/>
      <c r="BC217" s="1148"/>
      <c r="BE217" s="1148"/>
      <c r="BF217" s="1148"/>
      <c r="BG217" s="1148"/>
    </row>
    <row r="218" spans="18:59" x14ac:dyDescent="0.35">
      <c r="R218" s="1148"/>
      <c r="S218" s="1148"/>
      <c r="W218" s="1148"/>
      <c r="X218" s="1148"/>
      <c r="AE218" s="1148"/>
      <c r="AF218" s="1148"/>
      <c r="AV218" s="1148"/>
      <c r="AW218" s="1148"/>
      <c r="AX218" s="1148"/>
      <c r="AY218" s="1148"/>
      <c r="AZ218" s="1148"/>
      <c r="BA218" s="1148"/>
      <c r="BC218" s="1148"/>
      <c r="BE218" s="1148"/>
      <c r="BF218" s="1148"/>
      <c r="BG218" s="1148"/>
    </row>
    <row r="219" spans="18:59" x14ac:dyDescent="0.35">
      <c r="R219" s="1148"/>
      <c r="S219" s="1148"/>
      <c r="W219" s="1148"/>
      <c r="X219" s="1148"/>
      <c r="AE219" s="1148"/>
      <c r="AF219" s="1148"/>
      <c r="AV219" s="1148"/>
      <c r="AW219" s="1148"/>
      <c r="AX219" s="1148"/>
      <c r="AY219" s="1148"/>
      <c r="AZ219" s="1148"/>
      <c r="BA219" s="1148"/>
      <c r="BC219" s="1148"/>
      <c r="BE219" s="1148"/>
      <c r="BF219" s="1148"/>
      <c r="BG219" s="1148"/>
    </row>
    <row r="220" spans="18:59" x14ac:dyDescent="0.35">
      <c r="R220" s="1148"/>
      <c r="S220" s="1148"/>
      <c r="W220" s="1148"/>
      <c r="X220" s="1148"/>
      <c r="AE220" s="1148"/>
      <c r="AF220" s="1148"/>
      <c r="AV220" s="1148"/>
      <c r="AW220" s="1148"/>
      <c r="AX220" s="1148"/>
      <c r="AY220" s="1148"/>
      <c r="AZ220" s="1148"/>
      <c r="BA220" s="1148"/>
      <c r="BC220" s="1148"/>
      <c r="BE220" s="1148"/>
      <c r="BF220" s="1148"/>
      <c r="BG220" s="1148"/>
    </row>
    <row r="221" spans="18:59" x14ac:dyDescent="0.35">
      <c r="R221" s="1148"/>
      <c r="S221" s="1148"/>
      <c r="W221" s="1148"/>
      <c r="X221" s="1148"/>
      <c r="AE221" s="1148"/>
      <c r="AF221" s="1148"/>
      <c r="AV221" s="1148"/>
      <c r="AW221" s="1148"/>
      <c r="AX221" s="1148"/>
      <c r="AY221" s="1148"/>
      <c r="AZ221" s="1148"/>
      <c r="BA221" s="1148"/>
      <c r="BC221" s="1148"/>
      <c r="BE221" s="1148"/>
      <c r="BF221" s="1148"/>
      <c r="BG221" s="1148"/>
    </row>
    <row r="222" spans="18:59" x14ac:dyDescent="0.35">
      <c r="R222" s="1148"/>
      <c r="S222" s="1148"/>
      <c r="W222" s="1148"/>
      <c r="X222" s="1148"/>
      <c r="AE222" s="1148"/>
      <c r="AF222" s="1148"/>
      <c r="AV222" s="1148"/>
      <c r="AW222" s="1148"/>
      <c r="AX222" s="1148"/>
      <c r="AY222" s="1148"/>
      <c r="AZ222" s="1148"/>
      <c r="BA222" s="1148"/>
      <c r="BC222" s="1148"/>
      <c r="BE222" s="1148"/>
      <c r="BF222" s="1148"/>
      <c r="BG222" s="1148"/>
    </row>
    <row r="223" spans="18:59" x14ac:dyDescent="0.35">
      <c r="R223" s="1148"/>
      <c r="S223" s="1148"/>
      <c r="W223" s="1148"/>
      <c r="X223" s="1148"/>
      <c r="AE223" s="1148"/>
      <c r="AF223" s="1148"/>
      <c r="AV223" s="1148"/>
      <c r="AW223" s="1148"/>
      <c r="AX223" s="1148"/>
      <c r="AY223" s="1148"/>
      <c r="AZ223" s="1148"/>
      <c r="BA223" s="1148"/>
      <c r="BC223" s="1148"/>
      <c r="BE223" s="1148"/>
      <c r="BF223" s="1148"/>
      <c r="BG223" s="1148"/>
    </row>
    <row r="224" spans="18:59" x14ac:dyDescent="0.35">
      <c r="R224" s="1148"/>
      <c r="S224" s="1148"/>
      <c r="W224" s="1148"/>
      <c r="X224" s="1148"/>
      <c r="AE224" s="1148"/>
      <c r="AF224" s="1148"/>
      <c r="AV224" s="1148"/>
      <c r="AW224" s="1148"/>
      <c r="AX224" s="1148"/>
      <c r="AY224" s="1148"/>
      <c r="AZ224" s="1148"/>
      <c r="BA224" s="1148"/>
      <c r="BC224" s="1148"/>
      <c r="BE224" s="1148"/>
      <c r="BF224" s="1148"/>
      <c r="BG224" s="1148"/>
    </row>
    <row r="225" spans="18:59" x14ac:dyDescent="0.35">
      <c r="R225" s="1148"/>
      <c r="S225" s="1148"/>
      <c r="W225" s="1148"/>
      <c r="X225" s="1148"/>
      <c r="AE225" s="1148"/>
      <c r="AF225" s="1148"/>
      <c r="AV225" s="1148"/>
      <c r="AW225" s="1148"/>
      <c r="AX225" s="1148"/>
      <c r="AY225" s="1148"/>
      <c r="AZ225" s="1148"/>
      <c r="BA225" s="1148"/>
      <c r="BC225" s="1148"/>
      <c r="BE225" s="1148"/>
      <c r="BF225" s="1148"/>
      <c r="BG225" s="1148"/>
    </row>
    <row r="226" spans="18:59" x14ac:dyDescent="0.35">
      <c r="R226" s="1148"/>
      <c r="S226" s="1148"/>
      <c r="W226" s="1148"/>
      <c r="X226" s="1148"/>
      <c r="AE226" s="1148"/>
      <c r="AF226" s="1148"/>
      <c r="AV226" s="1148"/>
      <c r="AW226" s="1148"/>
      <c r="AX226" s="1148"/>
      <c r="AY226" s="1148"/>
      <c r="AZ226" s="1148"/>
      <c r="BA226" s="1148"/>
      <c r="BC226" s="1148"/>
      <c r="BE226" s="1148"/>
      <c r="BF226" s="1148"/>
      <c r="BG226" s="1148"/>
    </row>
    <row r="227" spans="18:59" x14ac:dyDescent="0.35">
      <c r="R227" s="1148"/>
      <c r="S227" s="1148"/>
      <c r="W227" s="1148"/>
      <c r="X227" s="1148"/>
      <c r="AE227" s="1148"/>
      <c r="AF227" s="1148"/>
      <c r="AV227" s="1148"/>
      <c r="AW227" s="1148"/>
      <c r="AX227" s="1148"/>
      <c r="AY227" s="1148"/>
      <c r="AZ227" s="1148"/>
      <c r="BA227" s="1148"/>
      <c r="BC227" s="1148"/>
      <c r="BE227" s="1148"/>
      <c r="BF227" s="1148"/>
      <c r="BG227" s="1148"/>
    </row>
    <row r="228" spans="18:59" x14ac:dyDescent="0.35">
      <c r="R228" s="1148"/>
      <c r="S228" s="1148"/>
      <c r="W228" s="1148"/>
      <c r="X228" s="1148"/>
      <c r="AE228" s="1148"/>
      <c r="AF228" s="1148"/>
      <c r="AV228" s="1148"/>
      <c r="AW228" s="1148"/>
      <c r="AX228" s="1148"/>
      <c r="AY228" s="1148"/>
      <c r="AZ228" s="1148"/>
      <c r="BA228" s="1148"/>
      <c r="BC228" s="1148"/>
      <c r="BE228" s="1148"/>
      <c r="BF228" s="1148"/>
      <c r="BG228" s="1148"/>
    </row>
    <row r="229" spans="18:59" x14ac:dyDescent="0.35">
      <c r="R229" s="1148"/>
      <c r="S229" s="1148"/>
      <c r="W229" s="1148"/>
      <c r="X229" s="1148"/>
      <c r="AE229" s="1148"/>
      <c r="AF229" s="1148"/>
      <c r="AV229" s="1148"/>
      <c r="AW229" s="1148"/>
      <c r="AX229" s="1148"/>
      <c r="AY229" s="1148"/>
      <c r="AZ229" s="1148"/>
      <c r="BA229" s="1148"/>
      <c r="BC229" s="1148"/>
      <c r="BE229" s="1148"/>
      <c r="BF229" s="1148"/>
      <c r="BG229" s="1148"/>
    </row>
    <row r="230" spans="18:59" x14ac:dyDescent="0.35">
      <c r="R230" s="1148"/>
      <c r="S230" s="1148"/>
      <c r="W230" s="1148"/>
      <c r="X230" s="1148"/>
      <c r="AE230" s="1148"/>
      <c r="AF230" s="1148"/>
      <c r="AV230" s="1148"/>
      <c r="AW230" s="1148"/>
      <c r="AX230" s="1148"/>
      <c r="AY230" s="1148"/>
      <c r="AZ230" s="1148"/>
      <c r="BA230" s="1148"/>
      <c r="BC230" s="1148"/>
      <c r="BE230" s="1148"/>
      <c r="BF230" s="1148"/>
      <c r="BG230" s="1148"/>
    </row>
    <row r="231" spans="18:59" x14ac:dyDescent="0.35">
      <c r="R231" s="1148"/>
      <c r="S231" s="1148"/>
      <c r="W231" s="1148"/>
      <c r="X231" s="1148"/>
      <c r="AE231" s="1148"/>
      <c r="AF231" s="1148"/>
      <c r="AV231" s="1148"/>
      <c r="AW231" s="1148"/>
      <c r="AX231" s="1148"/>
      <c r="AY231" s="1148"/>
      <c r="AZ231" s="1148"/>
      <c r="BA231" s="1148"/>
      <c r="BC231" s="1148"/>
      <c r="BE231" s="1148"/>
      <c r="BF231" s="1148"/>
      <c r="BG231" s="1148"/>
    </row>
    <row r="232" spans="18:59" x14ac:dyDescent="0.35">
      <c r="R232" s="1148"/>
      <c r="S232" s="1148"/>
      <c r="W232" s="1148"/>
      <c r="X232" s="1148"/>
      <c r="AE232" s="1148"/>
      <c r="AF232" s="1148"/>
      <c r="AV232" s="1148"/>
      <c r="AW232" s="1148"/>
      <c r="AX232" s="1148"/>
      <c r="AY232" s="1148"/>
      <c r="AZ232" s="1148"/>
      <c r="BA232" s="1148"/>
      <c r="BC232" s="1148"/>
      <c r="BE232" s="1148"/>
      <c r="BF232" s="1148"/>
      <c r="BG232" s="1148"/>
    </row>
    <row r="233" spans="18:59" x14ac:dyDescent="0.35">
      <c r="R233" s="1148"/>
      <c r="S233" s="1148"/>
      <c r="W233" s="1148"/>
      <c r="X233" s="1148"/>
      <c r="AE233" s="1148"/>
      <c r="AF233" s="1148"/>
      <c r="AV233" s="1148"/>
      <c r="AW233" s="1148"/>
      <c r="AX233" s="1148"/>
      <c r="AY233" s="1148"/>
      <c r="AZ233" s="1148"/>
      <c r="BA233" s="1148"/>
      <c r="BC233" s="1148"/>
      <c r="BE233" s="1148"/>
      <c r="BF233" s="1148"/>
      <c r="BG233" s="1148"/>
    </row>
    <row r="234" spans="18:59" x14ac:dyDescent="0.35">
      <c r="R234" s="1148"/>
      <c r="S234" s="1148"/>
      <c r="W234" s="1148"/>
      <c r="X234" s="1148"/>
      <c r="AE234" s="1148"/>
      <c r="AF234" s="1148"/>
      <c r="AV234" s="1148"/>
      <c r="AW234" s="1148"/>
      <c r="AX234" s="1148"/>
      <c r="AY234" s="1148"/>
      <c r="AZ234" s="1148"/>
      <c r="BA234" s="1148"/>
      <c r="BC234" s="1148"/>
      <c r="BE234" s="1148"/>
      <c r="BF234" s="1148"/>
      <c r="BG234" s="1148"/>
    </row>
    <row r="235" spans="18:59" x14ac:dyDescent="0.35">
      <c r="R235" s="1148"/>
      <c r="S235" s="1148"/>
      <c r="W235" s="1148"/>
      <c r="X235" s="1148"/>
      <c r="AE235" s="1148"/>
      <c r="AF235" s="1148"/>
      <c r="AV235" s="1148"/>
      <c r="AW235" s="1148"/>
      <c r="AX235" s="1148"/>
      <c r="AY235" s="1148"/>
      <c r="AZ235" s="1148"/>
      <c r="BA235" s="1148"/>
      <c r="BC235" s="1148"/>
      <c r="BE235" s="1148"/>
      <c r="BF235" s="1148"/>
      <c r="BG235" s="1148"/>
    </row>
    <row r="236" spans="18:59" x14ac:dyDescent="0.35">
      <c r="R236" s="1148"/>
      <c r="S236" s="1148"/>
      <c r="W236" s="1148"/>
      <c r="X236" s="1148"/>
      <c r="AE236" s="1148"/>
      <c r="AF236" s="1148"/>
      <c r="AV236" s="1148"/>
      <c r="AW236" s="1148"/>
      <c r="AX236" s="1148"/>
      <c r="AY236" s="1148"/>
      <c r="AZ236" s="1148"/>
      <c r="BA236" s="1148"/>
      <c r="BC236" s="1148"/>
      <c r="BE236" s="1148"/>
      <c r="BF236" s="1148"/>
      <c r="BG236" s="1148"/>
    </row>
    <row r="237" spans="18:59" x14ac:dyDescent="0.35">
      <c r="R237" s="1148"/>
      <c r="S237" s="1148"/>
      <c r="W237" s="1148"/>
      <c r="X237" s="1148"/>
      <c r="AE237" s="1148"/>
      <c r="AF237" s="1148"/>
      <c r="AV237" s="1148"/>
      <c r="AW237" s="1148"/>
      <c r="AX237" s="1148"/>
      <c r="AY237" s="1148"/>
      <c r="AZ237" s="1148"/>
      <c r="BA237" s="1148"/>
      <c r="BC237" s="1148"/>
      <c r="BE237" s="1148"/>
      <c r="BF237" s="1148"/>
      <c r="BG237" s="1148"/>
    </row>
    <row r="238" spans="18:59" x14ac:dyDescent="0.35">
      <c r="R238" s="1148"/>
      <c r="S238" s="1148"/>
      <c r="W238" s="1148"/>
      <c r="X238" s="1148"/>
      <c r="AE238" s="1148"/>
      <c r="AF238" s="1148"/>
      <c r="AV238" s="1148"/>
      <c r="AW238" s="1148"/>
      <c r="AX238" s="1148"/>
      <c r="AY238" s="1148"/>
      <c r="AZ238" s="1148"/>
      <c r="BA238" s="1148"/>
      <c r="BC238" s="1148"/>
      <c r="BE238" s="1148"/>
      <c r="BF238" s="1148"/>
      <c r="BG238" s="1148"/>
    </row>
    <row r="239" spans="18:59" x14ac:dyDescent="0.35">
      <c r="R239" s="1148"/>
      <c r="S239" s="1148"/>
      <c r="W239" s="1148"/>
      <c r="X239" s="1148"/>
      <c r="AE239" s="1148"/>
      <c r="AF239" s="1148"/>
      <c r="AV239" s="1148"/>
      <c r="AW239" s="1148"/>
      <c r="AX239" s="1148"/>
      <c r="AY239" s="1148"/>
      <c r="AZ239" s="1148"/>
      <c r="BA239" s="1148"/>
      <c r="BC239" s="1148"/>
      <c r="BE239" s="1148"/>
      <c r="BF239" s="1148"/>
      <c r="BG239" s="1148"/>
    </row>
    <row r="240" spans="18:59" x14ac:dyDescent="0.35">
      <c r="R240" s="1148"/>
      <c r="S240" s="1148"/>
      <c r="W240" s="1148"/>
      <c r="X240" s="1148"/>
      <c r="AE240" s="1148"/>
      <c r="AF240" s="1148"/>
      <c r="AV240" s="1148"/>
      <c r="AW240" s="1148"/>
      <c r="AX240" s="1148"/>
      <c r="AY240" s="1148"/>
      <c r="AZ240" s="1148"/>
      <c r="BA240" s="1148"/>
      <c r="BC240" s="1148"/>
      <c r="BE240" s="1148"/>
      <c r="BF240" s="1148"/>
      <c r="BG240" s="1148"/>
    </row>
    <row r="241" spans="18:59" x14ac:dyDescent="0.35">
      <c r="R241" s="1148"/>
      <c r="S241" s="1148"/>
      <c r="W241" s="1148"/>
      <c r="X241" s="1148"/>
      <c r="AE241" s="1148"/>
      <c r="AF241" s="1148"/>
      <c r="AV241" s="1148"/>
      <c r="AW241" s="1148"/>
      <c r="AX241" s="1148"/>
      <c r="AY241" s="1148"/>
      <c r="AZ241" s="1148"/>
      <c r="BA241" s="1148"/>
      <c r="BC241" s="1148"/>
      <c r="BE241" s="1148"/>
      <c r="BF241" s="1148"/>
      <c r="BG241" s="1148"/>
    </row>
    <row r="242" spans="18:59" x14ac:dyDescent="0.35">
      <c r="R242" s="1148"/>
      <c r="S242" s="1148"/>
      <c r="W242" s="1148"/>
      <c r="X242" s="1148"/>
      <c r="AE242" s="1148"/>
      <c r="AF242" s="1148"/>
      <c r="AV242" s="1148"/>
      <c r="AW242" s="1148"/>
      <c r="AX242" s="1148"/>
      <c r="AY242" s="1148"/>
      <c r="AZ242" s="1148"/>
      <c r="BA242" s="1148"/>
      <c r="BC242" s="1148"/>
      <c r="BE242" s="1148"/>
      <c r="BF242" s="1148"/>
      <c r="BG242" s="1148"/>
    </row>
    <row r="243" spans="18:59" x14ac:dyDescent="0.35">
      <c r="R243" s="1148"/>
      <c r="S243" s="1148"/>
      <c r="W243" s="1148"/>
      <c r="X243" s="1148"/>
      <c r="AE243" s="1148"/>
      <c r="AF243" s="1148"/>
      <c r="AV243" s="1148"/>
      <c r="AW243" s="1148"/>
      <c r="AX243" s="1148"/>
      <c r="AY243" s="1148"/>
      <c r="AZ243" s="1148"/>
      <c r="BA243" s="1148"/>
      <c r="BC243" s="1148"/>
      <c r="BE243" s="1148"/>
      <c r="BF243" s="1148"/>
      <c r="BG243" s="1148"/>
    </row>
    <row r="244" spans="18:59" x14ac:dyDescent="0.35">
      <c r="R244" s="1148"/>
      <c r="S244" s="1148"/>
      <c r="W244" s="1148"/>
      <c r="X244" s="1148"/>
      <c r="AE244" s="1148"/>
      <c r="AF244" s="1148"/>
      <c r="AV244" s="1148"/>
      <c r="AW244" s="1148"/>
      <c r="AX244" s="1148"/>
      <c r="AY244" s="1148"/>
      <c r="AZ244" s="1148"/>
      <c r="BA244" s="1148"/>
      <c r="BC244" s="1148"/>
      <c r="BE244" s="1148"/>
      <c r="BF244" s="1148"/>
      <c r="BG244" s="1148"/>
    </row>
    <row r="245" spans="18:59" x14ac:dyDescent="0.35">
      <c r="R245" s="1148"/>
      <c r="S245" s="1148"/>
      <c r="W245" s="1148"/>
      <c r="X245" s="1148"/>
      <c r="AE245" s="1148"/>
      <c r="AF245" s="1148"/>
      <c r="AV245" s="1148"/>
      <c r="AW245" s="1148"/>
      <c r="AX245" s="1148"/>
      <c r="AY245" s="1148"/>
      <c r="AZ245" s="1148"/>
      <c r="BA245" s="1148"/>
      <c r="BC245" s="1148"/>
      <c r="BE245" s="1148"/>
      <c r="BF245" s="1148"/>
      <c r="BG245" s="1148"/>
    </row>
    <row r="246" spans="18:59" x14ac:dyDescent="0.35">
      <c r="R246" s="1148"/>
      <c r="S246" s="1148"/>
      <c r="W246" s="1148"/>
      <c r="X246" s="1148"/>
      <c r="AE246" s="1148"/>
      <c r="AF246" s="1148"/>
      <c r="AV246" s="1148"/>
      <c r="AW246" s="1148"/>
      <c r="AX246" s="1148"/>
      <c r="AY246" s="1148"/>
      <c r="AZ246" s="1148"/>
      <c r="BA246" s="1148"/>
      <c r="BC246" s="1148"/>
      <c r="BE246" s="1148"/>
      <c r="BF246" s="1148"/>
      <c r="BG246" s="1148"/>
    </row>
    <row r="247" spans="18:59" x14ac:dyDescent="0.35">
      <c r="R247" s="1148"/>
      <c r="S247" s="1148"/>
      <c r="W247" s="1148"/>
      <c r="X247" s="1148"/>
      <c r="AE247" s="1148"/>
      <c r="AF247" s="1148"/>
      <c r="AV247" s="1148"/>
      <c r="AW247" s="1148"/>
      <c r="AX247" s="1148"/>
      <c r="AY247" s="1148"/>
      <c r="AZ247" s="1148"/>
      <c r="BA247" s="1148"/>
      <c r="BC247" s="1148"/>
      <c r="BE247" s="1148"/>
      <c r="BF247" s="1148"/>
      <c r="BG247" s="1148"/>
    </row>
    <row r="248" spans="18:59" x14ac:dyDescent="0.35">
      <c r="R248" s="1148"/>
      <c r="S248" s="1148"/>
      <c r="W248" s="1148"/>
      <c r="X248" s="1148"/>
      <c r="AE248" s="1148"/>
      <c r="AF248" s="1148"/>
      <c r="AV248" s="1148"/>
      <c r="AW248" s="1148"/>
      <c r="AX248" s="1148"/>
      <c r="AY248" s="1148"/>
      <c r="AZ248" s="1148"/>
      <c r="BA248" s="1148"/>
      <c r="BC248" s="1148"/>
      <c r="BE248" s="1148"/>
      <c r="BF248" s="1148"/>
      <c r="BG248" s="1148"/>
    </row>
    <row r="249" spans="18:59" x14ac:dyDescent="0.35">
      <c r="R249" s="1148"/>
      <c r="S249" s="1148"/>
      <c r="W249" s="1148"/>
      <c r="X249" s="1148"/>
      <c r="AE249" s="1148"/>
      <c r="AF249" s="1148"/>
      <c r="AV249" s="1148"/>
      <c r="AW249" s="1148"/>
      <c r="AX249" s="1148"/>
      <c r="AY249" s="1148"/>
      <c r="AZ249" s="1148"/>
      <c r="BA249" s="1148"/>
      <c r="BC249" s="1148"/>
      <c r="BE249" s="1148"/>
      <c r="BF249" s="1148"/>
      <c r="BG249" s="1148"/>
    </row>
    <row r="250" spans="18:59" x14ac:dyDescent="0.35">
      <c r="R250" s="1148"/>
      <c r="S250" s="1148"/>
      <c r="W250" s="1148"/>
      <c r="X250" s="1148"/>
      <c r="AE250" s="1148"/>
      <c r="AF250" s="1148"/>
      <c r="AV250" s="1148"/>
      <c r="AW250" s="1148"/>
      <c r="AX250" s="1148"/>
      <c r="AY250" s="1148"/>
      <c r="AZ250" s="1148"/>
      <c r="BA250" s="1148"/>
      <c r="BC250" s="1148"/>
      <c r="BE250" s="1148"/>
      <c r="BF250" s="1148"/>
      <c r="BG250" s="1148"/>
    </row>
    <row r="251" spans="18:59" x14ac:dyDescent="0.35">
      <c r="R251" s="1148"/>
      <c r="S251" s="1148"/>
      <c r="W251" s="1148"/>
      <c r="X251" s="1148"/>
      <c r="AE251" s="1148"/>
      <c r="AF251" s="1148"/>
      <c r="AV251" s="1148"/>
      <c r="AW251" s="1148"/>
      <c r="AX251" s="1148"/>
      <c r="AY251" s="1148"/>
      <c r="AZ251" s="1148"/>
      <c r="BA251" s="1148"/>
      <c r="BC251" s="1148"/>
      <c r="BE251" s="1148"/>
      <c r="BF251" s="1148"/>
      <c r="BG251" s="1148"/>
    </row>
    <row r="252" spans="18:59" x14ac:dyDescent="0.35">
      <c r="R252" s="1148"/>
      <c r="S252" s="1148"/>
      <c r="W252" s="1148"/>
      <c r="X252" s="1148"/>
      <c r="AE252" s="1148"/>
      <c r="AF252" s="1148"/>
      <c r="AV252" s="1148"/>
      <c r="AW252" s="1148"/>
      <c r="AX252" s="1148"/>
      <c r="AY252" s="1148"/>
      <c r="AZ252" s="1148"/>
      <c r="BA252" s="1148"/>
      <c r="BC252" s="1148"/>
      <c r="BE252" s="1148"/>
      <c r="BF252" s="1148"/>
      <c r="BG252" s="1148"/>
    </row>
    <row r="253" spans="18:59" x14ac:dyDescent="0.35">
      <c r="R253" s="1148"/>
      <c r="S253" s="1148"/>
      <c r="W253" s="1148"/>
      <c r="X253" s="1148"/>
      <c r="AE253" s="1148"/>
      <c r="AF253" s="1148"/>
      <c r="AV253" s="1148"/>
      <c r="AW253" s="1148"/>
      <c r="AX253" s="1148"/>
      <c r="AY253" s="1148"/>
      <c r="AZ253" s="1148"/>
      <c r="BA253" s="1148"/>
      <c r="BC253" s="1148"/>
      <c r="BE253" s="1148"/>
      <c r="BF253" s="1148"/>
      <c r="BG253" s="1148"/>
    </row>
    <row r="254" spans="18:59" x14ac:dyDescent="0.35">
      <c r="R254" s="1148"/>
      <c r="S254" s="1148"/>
      <c r="W254" s="1148"/>
      <c r="X254" s="1148"/>
      <c r="AE254" s="1148"/>
      <c r="AF254" s="1148"/>
      <c r="AV254" s="1148"/>
      <c r="AW254" s="1148"/>
      <c r="AX254" s="1148"/>
      <c r="AY254" s="1148"/>
      <c r="AZ254" s="1148"/>
      <c r="BA254" s="1148"/>
      <c r="BC254" s="1148"/>
      <c r="BE254" s="1148"/>
      <c r="BF254" s="1148"/>
      <c r="BG254" s="1148"/>
    </row>
    <row r="255" spans="18:59" x14ac:dyDescent="0.35">
      <c r="R255" s="1148"/>
      <c r="S255" s="1148"/>
      <c r="W255" s="1148"/>
      <c r="X255" s="1148"/>
      <c r="AE255" s="1148"/>
      <c r="AF255" s="1148"/>
      <c r="AV255" s="1148"/>
      <c r="AW255" s="1148"/>
      <c r="AX255" s="1148"/>
      <c r="AY255" s="1148"/>
      <c r="AZ255" s="1148"/>
      <c r="BA255" s="1148"/>
      <c r="BC255" s="1148"/>
      <c r="BE255" s="1148"/>
      <c r="BF255" s="1148"/>
      <c r="BG255" s="1148"/>
    </row>
    <row r="256" spans="18:59" x14ac:dyDescent="0.35">
      <c r="R256" s="1148"/>
      <c r="S256" s="1148"/>
      <c r="W256" s="1148"/>
      <c r="X256" s="1148"/>
      <c r="AE256" s="1148"/>
      <c r="AF256" s="1148"/>
      <c r="AV256" s="1148"/>
      <c r="AW256" s="1148"/>
      <c r="AX256" s="1148"/>
      <c r="AY256" s="1148"/>
      <c r="AZ256" s="1148"/>
      <c r="BA256" s="1148"/>
      <c r="BC256" s="1148"/>
      <c r="BE256" s="1148"/>
      <c r="BF256" s="1148"/>
      <c r="BG256" s="1148"/>
    </row>
    <row r="257" spans="18:59" x14ac:dyDescent="0.35">
      <c r="R257" s="1148"/>
      <c r="S257" s="1148"/>
      <c r="W257" s="1148"/>
      <c r="X257" s="1148"/>
      <c r="AE257" s="1148"/>
      <c r="AF257" s="1148"/>
      <c r="AV257" s="1148"/>
      <c r="AW257" s="1148"/>
      <c r="AX257" s="1148"/>
      <c r="AY257" s="1148"/>
      <c r="AZ257" s="1148"/>
      <c r="BA257" s="1148"/>
      <c r="BC257" s="1148"/>
      <c r="BE257" s="1148"/>
      <c r="BF257" s="1148"/>
      <c r="BG257" s="1148"/>
    </row>
    <row r="258" spans="18:59" x14ac:dyDescent="0.35">
      <c r="R258" s="1148"/>
      <c r="S258" s="1148"/>
      <c r="W258" s="1148"/>
      <c r="X258" s="1148"/>
      <c r="AE258" s="1148"/>
      <c r="AF258" s="1148"/>
      <c r="AV258" s="1148"/>
      <c r="AW258" s="1148"/>
      <c r="AX258" s="1148"/>
      <c r="AY258" s="1148"/>
      <c r="AZ258" s="1148"/>
      <c r="BA258" s="1148"/>
      <c r="BC258" s="1148"/>
      <c r="BE258" s="1148"/>
      <c r="BF258" s="1148"/>
      <c r="BG258" s="1148"/>
    </row>
    <row r="259" spans="18:59" x14ac:dyDescent="0.35">
      <c r="R259" s="1148"/>
      <c r="S259" s="1148"/>
      <c r="W259" s="1148"/>
      <c r="X259" s="1148"/>
      <c r="AE259" s="1148"/>
      <c r="AF259" s="1148"/>
      <c r="AV259" s="1148"/>
      <c r="AW259" s="1148"/>
      <c r="AX259" s="1148"/>
      <c r="AY259" s="1148"/>
      <c r="AZ259" s="1148"/>
      <c r="BA259" s="1148"/>
      <c r="BC259" s="1148"/>
      <c r="BE259" s="1148"/>
      <c r="BF259" s="1148"/>
      <c r="BG259" s="1148"/>
    </row>
    <row r="260" spans="18:59" x14ac:dyDescent="0.35">
      <c r="R260" s="1148"/>
      <c r="S260" s="1148"/>
      <c r="W260" s="1148"/>
      <c r="X260" s="1148"/>
      <c r="AE260" s="1148"/>
      <c r="AF260" s="1148"/>
      <c r="AV260" s="1148"/>
      <c r="AW260" s="1148"/>
      <c r="AX260" s="1148"/>
      <c r="AY260" s="1148"/>
      <c r="AZ260" s="1148"/>
      <c r="BA260" s="1148"/>
      <c r="BC260" s="1148"/>
      <c r="BE260" s="1148"/>
      <c r="BF260" s="1148"/>
      <c r="BG260" s="1148"/>
    </row>
    <row r="261" spans="18:59" x14ac:dyDescent="0.35">
      <c r="R261" s="1148"/>
      <c r="S261" s="1148"/>
      <c r="W261" s="1148"/>
      <c r="X261" s="1148"/>
      <c r="AE261" s="1148"/>
      <c r="AF261" s="1148"/>
      <c r="AV261" s="1148"/>
      <c r="AW261" s="1148"/>
      <c r="AX261" s="1148"/>
      <c r="AY261" s="1148"/>
      <c r="AZ261" s="1148"/>
      <c r="BA261" s="1148"/>
      <c r="BC261" s="1148"/>
      <c r="BE261" s="1148"/>
      <c r="BF261" s="1148"/>
      <c r="BG261" s="1148"/>
    </row>
    <row r="262" spans="18:59" x14ac:dyDescent="0.35">
      <c r="R262" s="1148"/>
      <c r="S262" s="1148"/>
      <c r="W262" s="1148"/>
      <c r="X262" s="1148"/>
      <c r="AE262" s="1148"/>
      <c r="AF262" s="1148"/>
      <c r="AV262" s="1148"/>
      <c r="AW262" s="1148"/>
      <c r="AX262" s="1148"/>
      <c r="AY262" s="1148"/>
      <c r="AZ262" s="1148"/>
      <c r="BA262" s="1148"/>
      <c r="BC262" s="1148"/>
      <c r="BE262" s="1148"/>
      <c r="BF262" s="1148"/>
      <c r="BG262" s="1148"/>
    </row>
    <row r="263" spans="18:59" x14ac:dyDescent="0.35">
      <c r="R263" s="1148"/>
      <c r="S263" s="1148"/>
      <c r="W263" s="1148"/>
      <c r="X263" s="1148"/>
      <c r="AE263" s="1148"/>
      <c r="AF263" s="1148"/>
      <c r="AV263" s="1148"/>
      <c r="AW263" s="1148"/>
      <c r="AX263" s="1148"/>
      <c r="AY263" s="1148"/>
      <c r="AZ263" s="1148"/>
      <c r="BA263" s="1148"/>
      <c r="BC263" s="1148"/>
      <c r="BE263" s="1148"/>
      <c r="BF263" s="1148"/>
      <c r="BG263" s="1148"/>
    </row>
    <row r="264" spans="18:59" x14ac:dyDescent="0.35">
      <c r="R264" s="1148"/>
      <c r="S264" s="1148"/>
      <c r="W264" s="1148"/>
      <c r="X264" s="1148"/>
      <c r="AE264" s="1148"/>
      <c r="AF264" s="1148"/>
      <c r="AV264" s="1148"/>
      <c r="AW264" s="1148"/>
      <c r="AX264" s="1148"/>
      <c r="AY264" s="1148"/>
      <c r="AZ264" s="1148"/>
      <c r="BA264" s="1148"/>
      <c r="BC264" s="1148"/>
      <c r="BE264" s="1148"/>
      <c r="BF264" s="1148"/>
      <c r="BG264" s="1148"/>
    </row>
    <row r="265" spans="18:59" x14ac:dyDescent="0.35">
      <c r="R265" s="1148"/>
      <c r="S265" s="1148"/>
      <c r="W265" s="1148"/>
      <c r="X265" s="1148"/>
      <c r="AE265" s="1148"/>
      <c r="AF265" s="1148"/>
      <c r="AV265" s="1148"/>
      <c r="AW265" s="1148"/>
      <c r="AX265" s="1148"/>
      <c r="AY265" s="1148"/>
      <c r="AZ265" s="1148"/>
      <c r="BA265" s="1148"/>
      <c r="BC265" s="1148"/>
      <c r="BE265" s="1148"/>
      <c r="BF265" s="1148"/>
      <c r="BG265" s="1148"/>
    </row>
    <row r="266" spans="18:59" x14ac:dyDescent="0.35">
      <c r="R266" s="1148"/>
      <c r="S266" s="1148"/>
      <c r="W266" s="1148"/>
      <c r="X266" s="1148"/>
      <c r="AE266" s="1148"/>
      <c r="AF266" s="1148"/>
      <c r="AV266" s="1148"/>
      <c r="AW266" s="1148"/>
      <c r="AX266" s="1148"/>
      <c r="AY266" s="1148"/>
      <c r="AZ266" s="1148"/>
      <c r="BA266" s="1148"/>
      <c r="BC266" s="1148"/>
      <c r="BE266" s="1148"/>
      <c r="BF266" s="1148"/>
      <c r="BG266" s="1148"/>
    </row>
    <row r="267" spans="18:59" x14ac:dyDescent="0.35">
      <c r="R267" s="1148"/>
      <c r="S267" s="1148"/>
      <c r="W267" s="1148"/>
      <c r="X267" s="1148"/>
      <c r="AE267" s="1148"/>
      <c r="AF267" s="1148"/>
      <c r="AV267" s="1148"/>
      <c r="AW267" s="1148"/>
      <c r="AX267" s="1148"/>
      <c r="AY267" s="1148"/>
      <c r="AZ267" s="1148"/>
      <c r="BA267" s="1148"/>
      <c r="BC267" s="1148"/>
      <c r="BE267" s="1148"/>
      <c r="BF267" s="1148"/>
      <c r="BG267" s="1148"/>
    </row>
    <row r="268" spans="18:59" x14ac:dyDescent="0.35">
      <c r="R268" s="1148"/>
      <c r="S268" s="1148"/>
      <c r="W268" s="1148"/>
      <c r="X268" s="1148"/>
      <c r="AE268" s="1148"/>
      <c r="AF268" s="1148"/>
      <c r="AV268" s="1148"/>
      <c r="AW268" s="1148"/>
      <c r="AX268" s="1148"/>
      <c r="AY268" s="1148"/>
      <c r="AZ268" s="1148"/>
      <c r="BA268" s="1148"/>
      <c r="BC268" s="1148"/>
      <c r="BE268" s="1148"/>
      <c r="BF268" s="1148"/>
      <c r="BG268" s="1148"/>
    </row>
    <row r="269" spans="18:59" x14ac:dyDescent="0.35">
      <c r="R269" s="1148"/>
      <c r="S269" s="1148"/>
      <c r="W269" s="1148"/>
      <c r="X269" s="1148"/>
      <c r="AE269" s="1148"/>
      <c r="AF269" s="1148"/>
      <c r="AV269" s="1148"/>
      <c r="AW269" s="1148"/>
      <c r="AX269" s="1148"/>
      <c r="AY269" s="1148"/>
      <c r="AZ269" s="1148"/>
      <c r="BA269" s="1148"/>
      <c r="BC269" s="1148"/>
      <c r="BE269" s="1148"/>
      <c r="BF269" s="1148"/>
      <c r="BG269" s="1148"/>
    </row>
    <row r="270" spans="18:59" x14ac:dyDescent="0.35">
      <c r="R270" s="1148"/>
      <c r="S270" s="1148"/>
      <c r="W270" s="1148"/>
      <c r="X270" s="1148"/>
      <c r="AE270" s="1148"/>
      <c r="AF270" s="1148"/>
      <c r="AV270" s="1148"/>
      <c r="AW270" s="1148"/>
      <c r="AX270" s="1148"/>
      <c r="AY270" s="1148"/>
      <c r="AZ270" s="1148"/>
      <c r="BA270" s="1148"/>
      <c r="BC270" s="1148"/>
      <c r="BE270" s="1148"/>
      <c r="BF270" s="1148"/>
      <c r="BG270" s="1148"/>
    </row>
    <row r="271" spans="18:59" x14ac:dyDescent="0.35">
      <c r="R271" s="1148"/>
      <c r="S271" s="1148"/>
      <c r="W271" s="1148"/>
      <c r="X271" s="1148"/>
      <c r="AE271" s="1148"/>
      <c r="AF271" s="1148"/>
      <c r="AV271" s="1148"/>
      <c r="AW271" s="1148"/>
      <c r="AX271" s="1148"/>
      <c r="AY271" s="1148"/>
      <c r="AZ271" s="1148"/>
      <c r="BA271" s="1148"/>
      <c r="BC271" s="1148"/>
      <c r="BE271" s="1148"/>
      <c r="BF271" s="1148"/>
      <c r="BG271" s="1148"/>
    </row>
    <row r="272" spans="18:59" x14ac:dyDescent="0.35">
      <c r="R272" s="1148"/>
      <c r="S272" s="1148"/>
      <c r="W272" s="1148"/>
      <c r="X272" s="1148"/>
      <c r="AE272" s="1148"/>
      <c r="AF272" s="1148"/>
      <c r="AV272" s="1148"/>
      <c r="AW272" s="1148"/>
      <c r="AX272" s="1148"/>
      <c r="AY272" s="1148"/>
      <c r="AZ272" s="1148"/>
      <c r="BA272" s="1148"/>
      <c r="BC272" s="1148"/>
      <c r="BE272" s="1148"/>
      <c r="BF272" s="1148"/>
      <c r="BG272" s="1148"/>
    </row>
    <row r="273" spans="18:59" x14ac:dyDescent="0.35">
      <c r="R273" s="1148"/>
      <c r="S273" s="1148"/>
      <c r="W273" s="1148"/>
      <c r="X273" s="1148"/>
      <c r="AE273" s="1148"/>
      <c r="AF273" s="1148"/>
      <c r="AV273" s="1148"/>
      <c r="AW273" s="1148"/>
      <c r="AX273" s="1148"/>
      <c r="AY273" s="1148"/>
      <c r="AZ273" s="1148"/>
      <c r="BA273" s="1148"/>
      <c r="BC273" s="1148"/>
      <c r="BE273" s="1148"/>
      <c r="BF273" s="1148"/>
      <c r="BG273" s="1148"/>
    </row>
    <row r="274" spans="18:59" x14ac:dyDescent="0.35">
      <c r="R274" s="1148"/>
      <c r="S274" s="1148"/>
      <c r="W274" s="1148"/>
      <c r="X274" s="1148"/>
      <c r="AE274" s="1148"/>
      <c r="AF274" s="1148"/>
      <c r="AV274" s="1148"/>
      <c r="AW274" s="1148"/>
      <c r="AX274" s="1148"/>
      <c r="AY274" s="1148"/>
      <c r="AZ274" s="1148"/>
      <c r="BA274" s="1148"/>
      <c r="BC274" s="1148"/>
      <c r="BE274" s="1148"/>
      <c r="BF274" s="1148"/>
      <c r="BG274" s="1148"/>
    </row>
    <row r="275" spans="18:59" x14ac:dyDescent="0.35">
      <c r="R275" s="1148"/>
      <c r="S275" s="1148"/>
      <c r="W275" s="1148"/>
      <c r="X275" s="1148"/>
      <c r="AE275" s="1148"/>
      <c r="AF275" s="1148"/>
      <c r="AV275" s="1148"/>
      <c r="AW275" s="1148"/>
      <c r="AX275" s="1148"/>
      <c r="AY275" s="1148"/>
      <c r="AZ275" s="1148"/>
      <c r="BA275" s="1148"/>
      <c r="BC275" s="1148"/>
      <c r="BE275" s="1148"/>
      <c r="BF275" s="1148"/>
      <c r="BG275" s="1148"/>
    </row>
    <row r="276" spans="18:59" x14ac:dyDescent="0.35">
      <c r="R276" s="1148"/>
      <c r="S276" s="1148"/>
      <c r="W276" s="1148"/>
      <c r="X276" s="1148"/>
      <c r="AE276" s="1148"/>
      <c r="AF276" s="1148"/>
      <c r="AV276" s="1148"/>
      <c r="AW276" s="1148"/>
      <c r="AX276" s="1148"/>
      <c r="AY276" s="1148"/>
      <c r="AZ276" s="1148"/>
      <c r="BA276" s="1148"/>
      <c r="BC276" s="1148"/>
      <c r="BE276" s="1148"/>
      <c r="BF276" s="1148"/>
      <c r="BG276" s="1148"/>
    </row>
    <row r="277" spans="18:59" x14ac:dyDescent="0.35">
      <c r="R277" s="1148"/>
      <c r="S277" s="1148"/>
      <c r="W277" s="1148"/>
      <c r="X277" s="1148"/>
      <c r="AE277" s="1148"/>
      <c r="AF277" s="1148"/>
      <c r="AV277" s="1148"/>
      <c r="AW277" s="1148"/>
      <c r="AX277" s="1148"/>
      <c r="AY277" s="1148"/>
      <c r="AZ277" s="1148"/>
      <c r="BA277" s="1148"/>
      <c r="BC277" s="1148"/>
      <c r="BE277" s="1148"/>
      <c r="BF277" s="1148"/>
      <c r="BG277" s="1148"/>
    </row>
    <row r="278" spans="18:59" x14ac:dyDescent="0.35">
      <c r="R278" s="1148"/>
      <c r="S278" s="1148"/>
      <c r="W278" s="1148"/>
      <c r="X278" s="1148"/>
      <c r="AE278" s="1148"/>
      <c r="AF278" s="1148"/>
      <c r="AV278" s="1148"/>
      <c r="AW278" s="1148"/>
      <c r="AX278" s="1148"/>
      <c r="AY278" s="1148"/>
      <c r="AZ278" s="1148"/>
      <c r="BA278" s="1148"/>
      <c r="BC278" s="1148"/>
      <c r="BE278" s="1148"/>
      <c r="BF278" s="1148"/>
      <c r="BG278" s="1148"/>
    </row>
    <row r="279" spans="18:59" x14ac:dyDescent="0.35">
      <c r="R279" s="1148"/>
      <c r="S279" s="1148"/>
      <c r="W279" s="1148"/>
      <c r="X279" s="1148"/>
      <c r="AE279" s="1148"/>
      <c r="AF279" s="1148"/>
      <c r="AV279" s="1148"/>
      <c r="AW279" s="1148"/>
      <c r="AX279" s="1148"/>
      <c r="AY279" s="1148"/>
      <c r="AZ279" s="1148"/>
      <c r="BA279" s="1148"/>
      <c r="BC279" s="1148"/>
      <c r="BE279" s="1148"/>
      <c r="BF279" s="1148"/>
      <c r="BG279" s="1148"/>
    </row>
    <row r="280" spans="18:59" x14ac:dyDescent="0.35">
      <c r="R280" s="1148"/>
      <c r="S280" s="1148"/>
      <c r="W280" s="1148"/>
      <c r="X280" s="1148"/>
      <c r="AE280" s="1148"/>
      <c r="AF280" s="1148"/>
      <c r="AV280" s="1148"/>
      <c r="AW280" s="1148"/>
      <c r="AX280" s="1148"/>
      <c r="AY280" s="1148"/>
      <c r="AZ280" s="1148"/>
      <c r="BA280" s="1148"/>
      <c r="BC280" s="1148"/>
      <c r="BE280" s="1148"/>
      <c r="BF280" s="1148"/>
      <c r="BG280" s="1148"/>
    </row>
    <row r="281" spans="18:59" x14ac:dyDescent="0.35">
      <c r="R281" s="1148"/>
      <c r="S281" s="1148"/>
      <c r="W281" s="1148"/>
      <c r="X281" s="1148"/>
      <c r="AE281" s="1148"/>
      <c r="AF281" s="1148"/>
      <c r="AV281" s="1148"/>
      <c r="AW281" s="1148"/>
      <c r="AX281" s="1148"/>
      <c r="AY281" s="1148"/>
      <c r="AZ281" s="1148"/>
      <c r="BA281" s="1148"/>
      <c r="BC281" s="1148"/>
      <c r="BE281" s="1148"/>
      <c r="BF281" s="1148"/>
      <c r="BG281" s="1148"/>
    </row>
    <row r="282" spans="18:59" x14ac:dyDescent="0.35">
      <c r="R282" s="1148"/>
      <c r="S282" s="1148"/>
      <c r="W282" s="1148"/>
      <c r="X282" s="1148"/>
      <c r="AE282" s="1148"/>
      <c r="AF282" s="1148"/>
      <c r="AV282" s="1148"/>
      <c r="AW282" s="1148"/>
      <c r="AX282" s="1148"/>
      <c r="AY282" s="1148"/>
      <c r="AZ282" s="1148"/>
      <c r="BA282" s="1148"/>
      <c r="BC282" s="1148"/>
      <c r="BE282" s="1148"/>
      <c r="BF282" s="1148"/>
      <c r="BG282" s="1148"/>
    </row>
    <row r="283" spans="18:59" x14ac:dyDescent="0.35">
      <c r="R283" s="1148"/>
      <c r="S283" s="1148"/>
      <c r="W283" s="1148"/>
      <c r="X283" s="1148"/>
      <c r="AE283" s="1148"/>
      <c r="AF283" s="1148"/>
      <c r="AV283" s="1148"/>
      <c r="AW283" s="1148"/>
      <c r="AX283" s="1148"/>
      <c r="AY283" s="1148"/>
      <c r="AZ283" s="1148"/>
      <c r="BA283" s="1148"/>
      <c r="BC283" s="1148"/>
      <c r="BE283" s="1148"/>
      <c r="BF283" s="1148"/>
      <c r="BG283" s="1148"/>
    </row>
    <row r="284" spans="18:59" x14ac:dyDescent="0.35">
      <c r="R284" s="1148"/>
      <c r="S284" s="1148"/>
      <c r="W284" s="1148"/>
      <c r="X284" s="1148"/>
      <c r="AE284" s="1148"/>
      <c r="AF284" s="1148"/>
      <c r="AV284" s="1148"/>
      <c r="AW284" s="1148"/>
      <c r="AX284" s="1148"/>
      <c r="AY284" s="1148"/>
      <c r="AZ284" s="1148"/>
      <c r="BA284" s="1148"/>
      <c r="BC284" s="1148"/>
      <c r="BE284" s="1148"/>
      <c r="BF284" s="1148"/>
      <c r="BG284" s="1148"/>
    </row>
    <row r="285" spans="18:59" x14ac:dyDescent="0.35">
      <c r="R285" s="1148"/>
      <c r="S285" s="1148"/>
      <c r="W285" s="1148"/>
      <c r="X285" s="1148"/>
      <c r="AE285" s="1148"/>
      <c r="AF285" s="1148"/>
      <c r="AV285" s="1148"/>
      <c r="AW285" s="1148"/>
      <c r="AX285" s="1148"/>
      <c r="AY285" s="1148"/>
      <c r="AZ285" s="1148"/>
      <c r="BA285" s="1148"/>
      <c r="BC285" s="1148"/>
      <c r="BE285" s="1148"/>
      <c r="BF285" s="1148"/>
      <c r="BG285" s="1148"/>
    </row>
    <row r="286" spans="18:59" x14ac:dyDescent="0.35">
      <c r="R286" s="1148"/>
      <c r="S286" s="1148"/>
      <c r="W286" s="1148"/>
      <c r="X286" s="1148"/>
      <c r="AE286" s="1148"/>
      <c r="AF286" s="1148"/>
      <c r="AV286" s="1148"/>
      <c r="AW286" s="1148"/>
      <c r="AX286" s="1148"/>
      <c r="AY286" s="1148"/>
      <c r="AZ286" s="1148"/>
      <c r="BA286" s="1148"/>
      <c r="BC286" s="1148"/>
      <c r="BE286" s="1148"/>
      <c r="BF286" s="1148"/>
      <c r="BG286" s="1148"/>
    </row>
    <row r="287" spans="18:59" x14ac:dyDescent="0.35">
      <c r="R287" s="1148"/>
      <c r="S287" s="1148"/>
      <c r="W287" s="1148"/>
      <c r="X287" s="1148"/>
      <c r="AE287" s="1148"/>
      <c r="AF287" s="1148"/>
      <c r="AV287" s="1148"/>
      <c r="AW287" s="1148"/>
      <c r="AX287" s="1148"/>
      <c r="AY287" s="1148"/>
      <c r="AZ287" s="1148"/>
      <c r="BA287" s="1148"/>
      <c r="BC287" s="1148"/>
      <c r="BE287" s="1148"/>
      <c r="BF287" s="1148"/>
      <c r="BG287" s="1148"/>
    </row>
    <row r="288" spans="18:59" x14ac:dyDescent="0.35">
      <c r="R288" s="1148"/>
      <c r="S288" s="1148"/>
      <c r="W288" s="1148"/>
      <c r="X288" s="1148"/>
      <c r="AE288" s="1148"/>
      <c r="AF288" s="1148"/>
      <c r="AV288" s="1148"/>
      <c r="AW288" s="1148"/>
      <c r="AX288" s="1148"/>
      <c r="AY288" s="1148"/>
      <c r="AZ288" s="1148"/>
      <c r="BA288" s="1148"/>
      <c r="BC288" s="1148"/>
      <c r="BE288" s="1148"/>
      <c r="BF288" s="1148"/>
      <c r="BG288" s="1148"/>
    </row>
    <row r="289" spans="18:59" x14ac:dyDescent="0.35">
      <c r="R289" s="1148"/>
      <c r="S289" s="1148"/>
      <c r="W289" s="1148"/>
      <c r="X289" s="1148"/>
      <c r="AE289" s="1148"/>
      <c r="AF289" s="1148"/>
      <c r="AV289" s="1148"/>
      <c r="AW289" s="1148"/>
      <c r="AX289" s="1148"/>
      <c r="AY289" s="1148"/>
      <c r="AZ289" s="1148"/>
      <c r="BA289" s="1148"/>
      <c r="BC289" s="1148"/>
      <c r="BE289" s="1148"/>
      <c r="BF289" s="1148"/>
      <c r="BG289" s="1148"/>
    </row>
    <row r="290" spans="18:59" x14ac:dyDescent="0.35">
      <c r="R290" s="1148"/>
      <c r="S290" s="1148"/>
      <c r="W290" s="1148"/>
      <c r="X290" s="1148"/>
      <c r="AE290" s="1148"/>
      <c r="AF290" s="1148"/>
      <c r="AV290" s="1148"/>
      <c r="AW290" s="1148"/>
      <c r="AX290" s="1148"/>
      <c r="AY290" s="1148"/>
      <c r="AZ290" s="1148"/>
      <c r="BA290" s="1148"/>
      <c r="BC290" s="1148"/>
      <c r="BE290" s="1148"/>
      <c r="BF290" s="1148"/>
      <c r="BG290" s="1148"/>
    </row>
    <row r="291" spans="18:59" x14ac:dyDescent="0.35">
      <c r="R291" s="1148"/>
      <c r="S291" s="1148"/>
      <c r="W291" s="1148"/>
      <c r="X291" s="1148"/>
      <c r="AE291" s="1148"/>
      <c r="AF291" s="1148"/>
      <c r="AV291" s="1148"/>
      <c r="AW291" s="1148"/>
      <c r="AX291" s="1148"/>
      <c r="AY291" s="1148"/>
      <c r="AZ291" s="1148"/>
      <c r="BA291" s="1148"/>
      <c r="BC291" s="1148"/>
      <c r="BE291" s="1148"/>
      <c r="BF291" s="1148"/>
      <c r="BG291" s="1148"/>
    </row>
    <row r="292" spans="18:59" x14ac:dyDescent="0.35">
      <c r="R292" s="1148"/>
      <c r="S292" s="1148"/>
      <c r="W292" s="1148"/>
      <c r="X292" s="1148"/>
      <c r="AE292" s="1148"/>
      <c r="AF292" s="1148"/>
      <c r="AV292" s="1148"/>
      <c r="AW292" s="1148"/>
      <c r="AX292" s="1148"/>
      <c r="AY292" s="1148"/>
      <c r="AZ292" s="1148"/>
      <c r="BA292" s="1148"/>
      <c r="BC292" s="1148"/>
      <c r="BE292" s="1148"/>
      <c r="BF292" s="1148"/>
      <c r="BG292" s="1148"/>
    </row>
    <row r="293" spans="18:59" x14ac:dyDescent="0.35">
      <c r="R293" s="1148"/>
      <c r="S293" s="1148"/>
      <c r="W293" s="1148"/>
      <c r="X293" s="1148"/>
      <c r="AE293" s="1148"/>
      <c r="AF293" s="1148"/>
      <c r="AV293" s="1148"/>
      <c r="AW293" s="1148"/>
      <c r="AX293" s="1148"/>
      <c r="AY293" s="1148"/>
      <c r="AZ293" s="1148"/>
      <c r="BA293" s="1148"/>
      <c r="BC293" s="1148"/>
      <c r="BE293" s="1148"/>
      <c r="BF293" s="1148"/>
      <c r="BG293" s="1148"/>
    </row>
    <row r="294" spans="18:59" x14ac:dyDescent="0.35">
      <c r="R294" s="1148"/>
      <c r="S294" s="1148"/>
      <c r="W294" s="1148"/>
      <c r="X294" s="1148"/>
      <c r="AE294" s="1148"/>
      <c r="AF294" s="1148"/>
      <c r="AV294" s="1148"/>
      <c r="AW294" s="1148"/>
      <c r="AX294" s="1148"/>
      <c r="AY294" s="1148"/>
      <c r="AZ294" s="1148"/>
      <c r="BA294" s="1148"/>
      <c r="BC294" s="1148"/>
      <c r="BE294" s="1148"/>
      <c r="BF294" s="1148"/>
      <c r="BG294" s="1148"/>
    </row>
    <row r="295" spans="18:59" x14ac:dyDescent="0.35">
      <c r="R295" s="1148"/>
      <c r="S295" s="1148"/>
      <c r="W295" s="1148"/>
      <c r="X295" s="1148"/>
      <c r="AE295" s="1148"/>
      <c r="AF295" s="1148"/>
      <c r="AV295" s="1148"/>
      <c r="AW295" s="1148"/>
      <c r="AX295" s="1148"/>
      <c r="AY295" s="1148"/>
      <c r="AZ295" s="1148"/>
      <c r="BA295" s="1148"/>
      <c r="BC295" s="1148"/>
      <c r="BE295" s="1148"/>
      <c r="BF295" s="1148"/>
      <c r="BG295" s="1148"/>
    </row>
    <row r="296" spans="18:59" x14ac:dyDescent="0.35">
      <c r="R296" s="1148"/>
      <c r="S296" s="1148"/>
      <c r="W296" s="1148"/>
      <c r="X296" s="1148"/>
      <c r="AE296" s="1148"/>
      <c r="AF296" s="1148"/>
      <c r="AV296" s="1148"/>
      <c r="AW296" s="1148"/>
      <c r="AX296" s="1148"/>
      <c r="AY296" s="1148"/>
      <c r="AZ296" s="1148"/>
      <c r="BA296" s="1148"/>
      <c r="BC296" s="1148"/>
      <c r="BE296" s="1148"/>
      <c r="BF296" s="1148"/>
      <c r="BG296" s="1148"/>
    </row>
    <row r="297" spans="18:59" x14ac:dyDescent="0.35">
      <c r="R297" s="1148"/>
      <c r="S297" s="1148"/>
      <c r="W297" s="1148"/>
      <c r="X297" s="1148"/>
      <c r="AE297" s="1148"/>
      <c r="AF297" s="1148"/>
      <c r="AV297" s="1148"/>
      <c r="AW297" s="1148"/>
      <c r="AX297" s="1148"/>
      <c r="AY297" s="1148"/>
      <c r="AZ297" s="1148"/>
      <c r="BA297" s="1148"/>
      <c r="BC297" s="1148"/>
      <c r="BE297" s="1148"/>
      <c r="BF297" s="1148"/>
      <c r="BG297" s="1148"/>
    </row>
    <row r="298" spans="18:59" x14ac:dyDescent="0.35">
      <c r="R298" s="1148"/>
      <c r="S298" s="1148"/>
      <c r="W298" s="1148"/>
      <c r="X298" s="1148"/>
      <c r="AE298" s="1148"/>
      <c r="AF298" s="1148"/>
      <c r="AV298" s="1148"/>
      <c r="AW298" s="1148"/>
      <c r="AX298" s="1148"/>
      <c r="AY298" s="1148"/>
      <c r="AZ298" s="1148"/>
      <c r="BA298" s="1148"/>
      <c r="BC298" s="1148"/>
      <c r="BE298" s="1148"/>
      <c r="BF298" s="1148"/>
      <c r="BG298" s="1148"/>
    </row>
    <row r="299" spans="18:59" x14ac:dyDescent="0.35">
      <c r="R299" s="1148"/>
      <c r="S299" s="1148"/>
      <c r="W299" s="1148"/>
      <c r="X299" s="1148"/>
      <c r="AE299" s="1148"/>
      <c r="AF299" s="1148"/>
      <c r="AV299" s="1148"/>
      <c r="AW299" s="1148"/>
      <c r="AX299" s="1148"/>
      <c r="AY299" s="1148"/>
      <c r="AZ299" s="1148"/>
      <c r="BA299" s="1148"/>
      <c r="BC299" s="1148"/>
      <c r="BE299" s="1148"/>
      <c r="BF299" s="1148"/>
      <c r="BG299" s="1148"/>
    </row>
    <row r="300" spans="18:59" x14ac:dyDescent="0.35">
      <c r="R300" s="1148"/>
      <c r="S300" s="1148"/>
      <c r="W300" s="1148"/>
      <c r="X300" s="1148"/>
      <c r="AE300" s="1148"/>
      <c r="AF300" s="1148"/>
      <c r="AV300" s="1148"/>
      <c r="AW300" s="1148"/>
      <c r="AX300" s="1148"/>
      <c r="AY300" s="1148"/>
      <c r="AZ300" s="1148"/>
      <c r="BA300" s="1148"/>
      <c r="BC300" s="1148"/>
      <c r="BE300" s="1148"/>
      <c r="BF300" s="1148"/>
      <c r="BG300" s="1148"/>
    </row>
    <row r="301" spans="18:59" x14ac:dyDescent="0.35">
      <c r="R301" s="1148"/>
      <c r="S301" s="1148"/>
      <c r="W301" s="1148"/>
      <c r="X301" s="1148"/>
      <c r="AE301" s="1148"/>
      <c r="AF301" s="1148"/>
      <c r="AV301" s="1148"/>
      <c r="AW301" s="1148"/>
      <c r="AX301" s="1148"/>
      <c r="AY301" s="1148"/>
      <c r="AZ301" s="1148"/>
      <c r="BA301" s="1148"/>
      <c r="BC301" s="1148"/>
      <c r="BE301" s="1148"/>
      <c r="BF301" s="1148"/>
      <c r="BG301" s="1148"/>
    </row>
    <row r="302" spans="18:59" x14ac:dyDescent="0.35">
      <c r="R302" s="1148"/>
      <c r="S302" s="1148"/>
      <c r="W302" s="1148"/>
      <c r="X302" s="1148"/>
      <c r="AE302" s="1148"/>
      <c r="AF302" s="1148"/>
      <c r="AV302" s="1148"/>
      <c r="AW302" s="1148"/>
      <c r="AX302" s="1148"/>
      <c r="AY302" s="1148"/>
      <c r="AZ302" s="1148"/>
      <c r="BA302" s="1148"/>
      <c r="BC302" s="1148"/>
      <c r="BE302" s="1148"/>
      <c r="BF302" s="1148"/>
      <c r="BG302" s="1148"/>
    </row>
    <row r="303" spans="18:59" x14ac:dyDescent="0.35">
      <c r="R303" s="1148"/>
      <c r="S303" s="1148"/>
      <c r="W303" s="1148"/>
      <c r="X303" s="1148"/>
      <c r="AE303" s="1148"/>
      <c r="AF303" s="1148"/>
      <c r="AV303" s="1148"/>
      <c r="AW303" s="1148"/>
      <c r="AX303" s="1148"/>
      <c r="AY303" s="1148"/>
      <c r="AZ303" s="1148"/>
      <c r="BA303" s="1148"/>
      <c r="BC303" s="1148"/>
      <c r="BE303" s="1148"/>
      <c r="BF303" s="1148"/>
      <c r="BG303" s="1148"/>
    </row>
    <row r="304" spans="18:59" x14ac:dyDescent="0.35">
      <c r="R304" s="1148"/>
      <c r="S304" s="1148"/>
      <c r="W304" s="1148"/>
      <c r="X304" s="1148"/>
      <c r="AE304" s="1148"/>
      <c r="AF304" s="1148"/>
      <c r="AV304" s="1148"/>
      <c r="AW304" s="1148"/>
      <c r="AX304" s="1148"/>
      <c r="AY304" s="1148"/>
      <c r="AZ304" s="1148"/>
      <c r="BA304" s="1148"/>
      <c r="BC304" s="1148"/>
      <c r="BE304" s="1148"/>
      <c r="BF304" s="1148"/>
      <c r="BG304" s="1148"/>
    </row>
    <row r="305" spans="18:59" x14ac:dyDescent="0.35">
      <c r="R305" s="1148"/>
      <c r="S305" s="1148"/>
      <c r="W305" s="1148"/>
      <c r="X305" s="1148"/>
      <c r="AE305" s="1148"/>
      <c r="AF305" s="1148"/>
      <c r="AV305" s="1148"/>
      <c r="AW305" s="1148"/>
      <c r="AX305" s="1148"/>
      <c r="AY305" s="1148"/>
      <c r="AZ305" s="1148"/>
      <c r="BA305" s="1148"/>
      <c r="BC305" s="1148"/>
      <c r="BE305" s="1148"/>
      <c r="BF305" s="1148"/>
      <c r="BG305" s="1148"/>
    </row>
    <row r="306" spans="18:59" x14ac:dyDescent="0.35">
      <c r="R306" s="1148"/>
      <c r="S306" s="1148"/>
      <c r="W306" s="1148"/>
      <c r="X306" s="1148"/>
      <c r="AE306" s="1148"/>
      <c r="AF306" s="1148"/>
      <c r="AV306" s="1148"/>
      <c r="AW306" s="1148"/>
      <c r="AX306" s="1148"/>
      <c r="AY306" s="1148"/>
      <c r="AZ306" s="1148"/>
      <c r="BA306" s="1148"/>
      <c r="BC306" s="1148"/>
      <c r="BE306" s="1148"/>
      <c r="BF306" s="1148"/>
      <c r="BG306" s="1148"/>
    </row>
    <row r="307" spans="18:59" x14ac:dyDescent="0.35">
      <c r="R307" s="1148"/>
      <c r="S307" s="1148"/>
      <c r="W307" s="1148"/>
      <c r="X307" s="1148"/>
      <c r="AE307" s="1148"/>
      <c r="AF307" s="1148"/>
      <c r="AV307" s="1148"/>
      <c r="AW307" s="1148"/>
      <c r="AX307" s="1148"/>
      <c r="AY307" s="1148"/>
      <c r="AZ307" s="1148"/>
      <c r="BA307" s="1148"/>
      <c r="BC307" s="1148"/>
      <c r="BE307" s="1148"/>
      <c r="BF307" s="1148"/>
      <c r="BG307" s="1148"/>
    </row>
    <row r="308" spans="18:59" x14ac:dyDescent="0.35">
      <c r="R308" s="1148"/>
      <c r="S308" s="1148"/>
      <c r="W308" s="1148"/>
      <c r="X308" s="1148"/>
      <c r="AE308" s="1148"/>
      <c r="AF308" s="1148"/>
      <c r="AV308" s="1148"/>
      <c r="AW308" s="1148"/>
      <c r="AX308" s="1148"/>
      <c r="AY308" s="1148"/>
      <c r="AZ308" s="1148"/>
      <c r="BA308" s="1148"/>
      <c r="BC308" s="1148"/>
      <c r="BE308" s="1148"/>
      <c r="BF308" s="1148"/>
      <c r="BG308" s="1148"/>
    </row>
    <row r="309" spans="18:59" x14ac:dyDescent="0.35">
      <c r="R309" s="1148"/>
      <c r="S309" s="1148"/>
      <c r="W309" s="1148"/>
      <c r="X309" s="1148"/>
      <c r="AE309" s="1148"/>
      <c r="AF309" s="1148"/>
      <c r="AV309" s="1148"/>
      <c r="AW309" s="1148"/>
      <c r="AX309" s="1148"/>
      <c r="AY309" s="1148"/>
      <c r="AZ309" s="1148"/>
      <c r="BA309" s="1148"/>
      <c r="BC309" s="1148"/>
      <c r="BE309" s="1148"/>
      <c r="BF309" s="1148"/>
      <c r="BG309" s="1148"/>
    </row>
    <row r="310" spans="18:59" x14ac:dyDescent="0.35">
      <c r="R310" s="1148"/>
      <c r="S310" s="1148"/>
      <c r="W310" s="1148"/>
      <c r="X310" s="1148"/>
      <c r="AE310" s="1148"/>
      <c r="AF310" s="1148"/>
      <c r="AV310" s="1148"/>
      <c r="AW310" s="1148"/>
      <c r="AX310" s="1148"/>
      <c r="AY310" s="1148"/>
      <c r="AZ310" s="1148"/>
      <c r="BA310" s="1148"/>
      <c r="BC310" s="1148"/>
      <c r="BE310" s="1148"/>
      <c r="BF310" s="1148"/>
      <c r="BG310" s="1148"/>
    </row>
    <row r="311" spans="18:59" x14ac:dyDescent="0.35">
      <c r="R311" s="1148"/>
      <c r="S311" s="1148"/>
      <c r="W311" s="1148"/>
      <c r="X311" s="1148"/>
      <c r="AE311" s="1148"/>
      <c r="AF311" s="1148"/>
      <c r="AV311" s="1148"/>
      <c r="AW311" s="1148"/>
      <c r="AX311" s="1148"/>
      <c r="AY311" s="1148"/>
      <c r="AZ311" s="1148"/>
      <c r="BA311" s="1148"/>
      <c r="BC311" s="1148"/>
      <c r="BE311" s="1148"/>
      <c r="BF311" s="1148"/>
      <c r="BG311" s="1148"/>
    </row>
    <row r="312" spans="18:59" x14ac:dyDescent="0.35">
      <c r="R312" s="1148"/>
      <c r="S312" s="1148"/>
      <c r="W312" s="1148"/>
      <c r="X312" s="1148"/>
      <c r="AE312" s="1148"/>
      <c r="AF312" s="1148"/>
      <c r="AV312" s="1148"/>
      <c r="AW312" s="1148"/>
      <c r="AX312" s="1148"/>
      <c r="AY312" s="1148"/>
      <c r="AZ312" s="1148"/>
      <c r="BA312" s="1148"/>
      <c r="BC312" s="1148"/>
      <c r="BE312" s="1148"/>
      <c r="BF312" s="1148"/>
      <c r="BG312" s="1148"/>
    </row>
    <row r="313" spans="18:59" x14ac:dyDescent="0.35">
      <c r="R313" s="1148"/>
      <c r="S313" s="1148"/>
      <c r="W313" s="1148"/>
      <c r="X313" s="1148"/>
      <c r="AE313" s="1148"/>
      <c r="AF313" s="1148"/>
      <c r="AV313" s="1148"/>
      <c r="AW313" s="1148"/>
      <c r="AX313" s="1148"/>
      <c r="AY313" s="1148"/>
      <c r="AZ313" s="1148"/>
      <c r="BA313" s="1148"/>
      <c r="BC313" s="1148"/>
      <c r="BE313" s="1148"/>
      <c r="BF313" s="1148"/>
      <c r="BG313" s="1148"/>
    </row>
    <row r="314" spans="18:59" x14ac:dyDescent="0.35">
      <c r="R314" s="1148"/>
      <c r="S314" s="1148"/>
      <c r="W314" s="1148"/>
      <c r="X314" s="1148"/>
      <c r="AE314" s="1148"/>
      <c r="AF314" s="1148"/>
      <c r="AV314" s="1148"/>
      <c r="AW314" s="1148"/>
      <c r="AX314" s="1148"/>
      <c r="AY314" s="1148"/>
      <c r="AZ314" s="1148"/>
      <c r="BA314" s="1148"/>
      <c r="BC314" s="1148"/>
      <c r="BE314" s="1148"/>
      <c r="BF314" s="1148"/>
      <c r="BG314" s="1148"/>
    </row>
    <row r="315" spans="18:59" x14ac:dyDescent="0.35">
      <c r="R315" s="1148"/>
      <c r="S315" s="1148"/>
      <c r="W315" s="1148"/>
      <c r="X315" s="1148"/>
      <c r="AE315" s="1148"/>
      <c r="AF315" s="1148"/>
      <c r="AV315" s="1148"/>
      <c r="AW315" s="1148"/>
      <c r="AX315" s="1148"/>
      <c r="AY315" s="1148"/>
      <c r="AZ315" s="1148"/>
      <c r="BA315" s="1148"/>
      <c r="BC315" s="1148"/>
      <c r="BE315" s="1148"/>
      <c r="BF315" s="1148"/>
      <c r="BG315" s="1148"/>
    </row>
    <row r="316" spans="18:59" x14ac:dyDescent="0.35">
      <c r="R316" s="1148"/>
      <c r="S316" s="1148"/>
      <c r="W316" s="1148"/>
      <c r="X316" s="1148"/>
      <c r="AE316" s="1148"/>
      <c r="AF316" s="1148"/>
      <c r="AV316" s="1148"/>
      <c r="AW316" s="1148"/>
      <c r="AX316" s="1148"/>
      <c r="AY316" s="1148"/>
      <c r="AZ316" s="1148"/>
      <c r="BA316" s="1148"/>
      <c r="BC316" s="1148"/>
      <c r="BE316" s="1148"/>
      <c r="BF316" s="1148"/>
      <c r="BG316" s="1148"/>
    </row>
    <row r="317" spans="18:59" x14ac:dyDescent="0.35">
      <c r="R317" s="1148"/>
      <c r="S317" s="1148"/>
      <c r="W317" s="1148"/>
      <c r="X317" s="1148"/>
      <c r="AE317" s="1148"/>
      <c r="AF317" s="1148"/>
      <c r="AV317" s="1148"/>
      <c r="AW317" s="1148"/>
      <c r="AX317" s="1148"/>
      <c r="AY317" s="1148"/>
      <c r="AZ317" s="1148"/>
      <c r="BA317" s="1148"/>
      <c r="BC317" s="1148"/>
      <c r="BE317" s="1148"/>
      <c r="BF317" s="1148"/>
      <c r="BG317" s="1148"/>
    </row>
    <row r="318" spans="18:59" x14ac:dyDescent="0.35">
      <c r="R318" s="1148"/>
      <c r="S318" s="1148"/>
      <c r="W318" s="1148"/>
      <c r="X318" s="1148"/>
      <c r="AE318" s="1148"/>
      <c r="AF318" s="1148"/>
      <c r="AV318" s="1148"/>
      <c r="AW318" s="1148"/>
      <c r="AX318" s="1148"/>
      <c r="AY318" s="1148"/>
      <c r="AZ318" s="1148"/>
      <c r="BA318" s="1148"/>
      <c r="BC318" s="1148"/>
      <c r="BE318" s="1148"/>
      <c r="BF318" s="1148"/>
      <c r="BG318" s="1148"/>
    </row>
    <row r="319" spans="18:59" x14ac:dyDescent="0.35">
      <c r="R319" s="1148"/>
      <c r="S319" s="1148"/>
      <c r="W319" s="1148"/>
      <c r="X319" s="1148"/>
      <c r="AE319" s="1148"/>
      <c r="AF319" s="1148"/>
      <c r="AV319" s="1148"/>
      <c r="AW319" s="1148"/>
      <c r="AX319" s="1148"/>
      <c r="AY319" s="1148"/>
      <c r="AZ319" s="1148"/>
      <c r="BA319" s="1148"/>
      <c r="BC319" s="1148"/>
      <c r="BE319" s="1148"/>
      <c r="BF319" s="1148"/>
      <c r="BG319" s="1148"/>
    </row>
    <row r="320" spans="18:59" x14ac:dyDescent="0.35">
      <c r="R320" s="1148"/>
      <c r="S320" s="1148"/>
      <c r="W320" s="1148"/>
      <c r="X320" s="1148"/>
      <c r="AE320" s="1148"/>
      <c r="AF320" s="1148"/>
      <c r="AV320" s="1148"/>
      <c r="AW320" s="1148"/>
      <c r="AX320" s="1148"/>
      <c r="AY320" s="1148"/>
      <c r="AZ320" s="1148"/>
      <c r="BA320" s="1148"/>
      <c r="BC320" s="1148"/>
      <c r="BE320" s="1148"/>
      <c r="BF320" s="1148"/>
      <c r="BG320" s="1148"/>
    </row>
    <row r="321" spans="18:59" x14ac:dyDescent="0.35">
      <c r="R321" s="1148"/>
      <c r="S321" s="1148"/>
      <c r="W321" s="1148"/>
      <c r="X321" s="1148"/>
      <c r="AE321" s="1148"/>
      <c r="AF321" s="1148"/>
      <c r="AV321" s="1148"/>
      <c r="AW321" s="1148"/>
      <c r="AX321" s="1148"/>
      <c r="AY321" s="1148"/>
      <c r="AZ321" s="1148"/>
      <c r="BA321" s="1148"/>
      <c r="BC321" s="1148"/>
      <c r="BE321" s="1148"/>
      <c r="BF321" s="1148"/>
      <c r="BG321" s="1148"/>
    </row>
    <row r="322" spans="18:59" x14ac:dyDescent="0.35">
      <c r="R322" s="1148"/>
      <c r="S322" s="1148"/>
      <c r="W322" s="1148"/>
      <c r="X322" s="1148"/>
      <c r="AE322" s="1148"/>
      <c r="AF322" s="1148"/>
      <c r="AV322" s="1148"/>
      <c r="AW322" s="1148"/>
      <c r="AX322" s="1148"/>
      <c r="AY322" s="1148"/>
      <c r="AZ322" s="1148"/>
      <c r="BA322" s="1148"/>
      <c r="BC322" s="1148"/>
      <c r="BE322" s="1148"/>
      <c r="BF322" s="1148"/>
      <c r="BG322" s="1148"/>
    </row>
    <row r="323" spans="18:59" x14ac:dyDescent="0.35">
      <c r="R323" s="1148"/>
      <c r="S323" s="1148"/>
      <c r="W323" s="1148"/>
      <c r="X323" s="1148"/>
      <c r="AE323" s="1148"/>
      <c r="AF323" s="1148"/>
      <c r="AV323" s="1148"/>
      <c r="AW323" s="1148"/>
      <c r="AX323" s="1148"/>
      <c r="AY323" s="1148"/>
      <c r="AZ323" s="1148"/>
      <c r="BA323" s="1148"/>
      <c r="BC323" s="1148"/>
      <c r="BE323" s="1148"/>
      <c r="BF323" s="1148"/>
      <c r="BG323" s="1148"/>
    </row>
    <row r="324" spans="18:59" x14ac:dyDescent="0.35">
      <c r="R324" s="1148"/>
      <c r="S324" s="1148"/>
      <c r="W324" s="1148"/>
      <c r="X324" s="1148"/>
      <c r="AE324" s="1148"/>
      <c r="AF324" s="1148"/>
      <c r="AV324" s="1148"/>
      <c r="AW324" s="1148"/>
      <c r="AX324" s="1148"/>
      <c r="AY324" s="1148"/>
      <c r="AZ324" s="1148"/>
      <c r="BA324" s="1148"/>
      <c r="BC324" s="1148"/>
      <c r="BE324" s="1148"/>
      <c r="BF324" s="1148"/>
      <c r="BG324" s="1148"/>
    </row>
    <row r="325" spans="18:59" x14ac:dyDescent="0.35">
      <c r="R325" s="1148"/>
      <c r="S325" s="1148"/>
      <c r="W325" s="1148"/>
      <c r="X325" s="1148"/>
      <c r="AE325" s="1148"/>
      <c r="AF325" s="1148"/>
      <c r="AV325" s="1148"/>
      <c r="AW325" s="1148"/>
      <c r="AX325" s="1148"/>
      <c r="AY325" s="1148"/>
      <c r="AZ325" s="1148"/>
      <c r="BA325" s="1148"/>
      <c r="BC325" s="1148"/>
      <c r="BE325" s="1148"/>
      <c r="BF325" s="1148"/>
      <c r="BG325" s="1148"/>
    </row>
    <row r="326" spans="18:59" x14ac:dyDescent="0.35">
      <c r="R326" s="1148"/>
      <c r="S326" s="1148"/>
      <c r="W326" s="1148"/>
      <c r="X326" s="1148"/>
      <c r="AE326" s="1148"/>
      <c r="AF326" s="1148"/>
      <c r="AV326" s="1148"/>
      <c r="AW326" s="1148"/>
      <c r="AX326" s="1148"/>
      <c r="AY326" s="1148"/>
      <c r="AZ326" s="1148"/>
      <c r="BA326" s="1148"/>
      <c r="BC326" s="1148"/>
      <c r="BE326" s="1148"/>
      <c r="BF326" s="1148"/>
      <c r="BG326" s="1148"/>
    </row>
    <row r="327" spans="18:59" x14ac:dyDescent="0.35">
      <c r="R327" s="1148"/>
      <c r="S327" s="1148"/>
      <c r="W327" s="1148"/>
      <c r="X327" s="1148"/>
      <c r="AE327" s="1148"/>
      <c r="AF327" s="1148"/>
      <c r="AV327" s="1148"/>
      <c r="AW327" s="1148"/>
      <c r="AX327" s="1148"/>
      <c r="AY327" s="1148"/>
      <c r="AZ327" s="1148"/>
      <c r="BA327" s="1148"/>
      <c r="BC327" s="1148"/>
      <c r="BE327" s="1148"/>
      <c r="BF327" s="1148"/>
      <c r="BG327" s="1148"/>
    </row>
    <row r="328" spans="18:59" x14ac:dyDescent="0.35">
      <c r="R328" s="1148"/>
      <c r="S328" s="1148"/>
      <c r="W328" s="1148"/>
      <c r="X328" s="1148"/>
      <c r="AE328" s="1148"/>
      <c r="AF328" s="1148"/>
      <c r="AV328" s="1148"/>
      <c r="AW328" s="1148"/>
      <c r="AX328" s="1148"/>
      <c r="AY328" s="1148"/>
      <c r="AZ328" s="1148"/>
      <c r="BA328" s="1148"/>
      <c r="BC328" s="1148"/>
      <c r="BE328" s="1148"/>
      <c r="BF328" s="1148"/>
      <c r="BG328" s="1148"/>
    </row>
    <row r="329" spans="18:59" x14ac:dyDescent="0.35">
      <c r="R329" s="1148"/>
      <c r="S329" s="1148"/>
      <c r="W329" s="1148"/>
      <c r="X329" s="1148"/>
      <c r="AE329" s="1148"/>
      <c r="AF329" s="1148"/>
      <c r="AV329" s="1148"/>
      <c r="AW329" s="1148"/>
      <c r="AX329" s="1148"/>
      <c r="AY329" s="1148"/>
      <c r="AZ329" s="1148"/>
      <c r="BA329" s="1148"/>
      <c r="BC329" s="1148"/>
      <c r="BE329" s="1148"/>
      <c r="BF329" s="1148"/>
      <c r="BG329" s="1148"/>
    </row>
    <row r="330" spans="18:59" x14ac:dyDescent="0.35">
      <c r="R330" s="1148"/>
      <c r="S330" s="1148"/>
      <c r="W330" s="1148"/>
      <c r="X330" s="1148"/>
      <c r="AE330" s="1148"/>
      <c r="AF330" s="1148"/>
      <c r="AV330" s="1148"/>
      <c r="AW330" s="1148"/>
      <c r="AX330" s="1148"/>
      <c r="AY330" s="1148"/>
      <c r="AZ330" s="1148"/>
      <c r="BA330" s="1148"/>
      <c r="BC330" s="1148"/>
      <c r="BE330" s="1148"/>
      <c r="BF330" s="1148"/>
      <c r="BG330" s="1148"/>
    </row>
    <row r="331" spans="18:59" x14ac:dyDescent="0.35">
      <c r="R331" s="1148"/>
      <c r="S331" s="1148"/>
      <c r="W331" s="1148"/>
      <c r="X331" s="1148"/>
      <c r="AE331" s="1148"/>
      <c r="AF331" s="1148"/>
      <c r="AV331" s="1148"/>
      <c r="AW331" s="1148"/>
      <c r="AX331" s="1148"/>
      <c r="AY331" s="1148"/>
      <c r="AZ331" s="1148"/>
      <c r="BA331" s="1148"/>
      <c r="BC331" s="1148"/>
      <c r="BE331" s="1148"/>
      <c r="BF331" s="1148"/>
      <c r="BG331" s="1148"/>
    </row>
    <row r="332" spans="18:59" x14ac:dyDescent="0.35">
      <c r="R332" s="1148"/>
      <c r="S332" s="1148"/>
      <c r="W332" s="1148"/>
      <c r="X332" s="1148"/>
      <c r="AE332" s="1148"/>
      <c r="AF332" s="1148"/>
      <c r="AV332" s="1148"/>
      <c r="AW332" s="1148"/>
      <c r="AX332" s="1148"/>
      <c r="AY332" s="1148"/>
      <c r="AZ332" s="1148"/>
      <c r="BA332" s="1148"/>
      <c r="BC332" s="1148"/>
      <c r="BE332" s="1148"/>
      <c r="BF332" s="1148"/>
      <c r="BG332" s="1148"/>
    </row>
    <row r="333" spans="18:59" x14ac:dyDescent="0.35">
      <c r="R333" s="1148"/>
      <c r="S333" s="1148"/>
      <c r="W333" s="1148"/>
      <c r="X333" s="1148"/>
      <c r="AE333" s="1148"/>
      <c r="AF333" s="1148"/>
      <c r="AV333" s="1148"/>
      <c r="AW333" s="1148"/>
      <c r="AX333" s="1148"/>
      <c r="AY333" s="1148"/>
      <c r="AZ333" s="1148"/>
      <c r="BA333" s="1148"/>
      <c r="BC333" s="1148"/>
      <c r="BE333" s="1148"/>
      <c r="BF333" s="1148"/>
      <c r="BG333" s="1148"/>
    </row>
    <row r="334" spans="18:59" x14ac:dyDescent="0.35">
      <c r="R334" s="1148"/>
      <c r="S334" s="1148"/>
      <c r="W334" s="1148"/>
      <c r="X334" s="1148"/>
      <c r="AE334" s="1148"/>
      <c r="AF334" s="1148"/>
      <c r="AV334" s="1148"/>
      <c r="AW334" s="1148"/>
      <c r="AX334" s="1148"/>
      <c r="AY334" s="1148"/>
      <c r="AZ334" s="1148"/>
      <c r="BA334" s="1148"/>
      <c r="BC334" s="1148"/>
      <c r="BE334" s="1148"/>
      <c r="BF334" s="1148"/>
      <c r="BG334" s="1148"/>
    </row>
    <row r="335" spans="18:59" x14ac:dyDescent="0.35">
      <c r="R335" s="1148"/>
      <c r="S335" s="1148"/>
      <c r="W335" s="1148"/>
      <c r="X335" s="1148"/>
      <c r="AE335" s="1148"/>
      <c r="AF335" s="1148"/>
      <c r="AV335" s="1148"/>
      <c r="AW335" s="1148"/>
      <c r="AX335" s="1148"/>
      <c r="AY335" s="1148"/>
      <c r="AZ335" s="1148"/>
      <c r="BA335" s="1148"/>
      <c r="BC335" s="1148"/>
      <c r="BE335" s="1148"/>
      <c r="BF335" s="1148"/>
      <c r="BG335" s="1148"/>
    </row>
    <row r="336" spans="18:59" x14ac:dyDescent="0.35">
      <c r="R336" s="1148"/>
      <c r="S336" s="1148"/>
      <c r="W336" s="1148"/>
      <c r="X336" s="1148"/>
      <c r="AE336" s="1148"/>
      <c r="AF336" s="1148"/>
      <c r="AV336" s="1148"/>
      <c r="AW336" s="1148"/>
      <c r="AX336" s="1148"/>
      <c r="AY336" s="1148"/>
      <c r="AZ336" s="1148"/>
      <c r="BA336" s="1148"/>
      <c r="BC336" s="1148"/>
      <c r="BE336" s="1148"/>
      <c r="BF336" s="1148"/>
      <c r="BG336" s="1148"/>
    </row>
    <row r="337" spans="18:59" x14ac:dyDescent="0.35">
      <c r="R337" s="1148"/>
      <c r="S337" s="1148"/>
      <c r="W337" s="1148"/>
      <c r="X337" s="1148"/>
      <c r="AE337" s="1148"/>
      <c r="AF337" s="1148"/>
      <c r="AV337" s="1148"/>
      <c r="AW337" s="1148"/>
      <c r="AX337" s="1148"/>
      <c r="AY337" s="1148"/>
      <c r="AZ337" s="1148"/>
      <c r="BA337" s="1148"/>
      <c r="BC337" s="1148"/>
      <c r="BE337" s="1148"/>
      <c r="BF337" s="1148"/>
      <c r="BG337" s="1148"/>
    </row>
    <row r="338" spans="18:59" x14ac:dyDescent="0.35">
      <c r="R338" s="1148"/>
      <c r="S338" s="1148"/>
      <c r="W338" s="1148"/>
      <c r="X338" s="1148"/>
      <c r="AE338" s="1148"/>
      <c r="AF338" s="1148"/>
      <c r="AV338" s="1148"/>
      <c r="AW338" s="1148"/>
      <c r="AX338" s="1148"/>
      <c r="AY338" s="1148"/>
      <c r="AZ338" s="1148"/>
      <c r="BA338" s="1148"/>
      <c r="BC338" s="1148"/>
      <c r="BE338" s="1148"/>
      <c r="BF338" s="1148"/>
      <c r="BG338" s="1148"/>
    </row>
    <row r="339" spans="18:59" x14ac:dyDescent="0.35">
      <c r="R339" s="1148"/>
      <c r="S339" s="1148"/>
      <c r="W339" s="1148"/>
      <c r="X339" s="1148"/>
      <c r="AE339" s="1148"/>
      <c r="AF339" s="1148"/>
      <c r="AV339" s="1148"/>
      <c r="AW339" s="1148"/>
      <c r="AX339" s="1148"/>
      <c r="AY339" s="1148"/>
      <c r="AZ339" s="1148"/>
      <c r="BA339" s="1148"/>
      <c r="BC339" s="1148"/>
      <c r="BE339" s="1148"/>
      <c r="BF339" s="1148"/>
      <c r="BG339" s="1148"/>
    </row>
    <row r="340" spans="18:59" x14ac:dyDescent="0.35">
      <c r="R340" s="1148"/>
      <c r="S340" s="1148"/>
      <c r="W340" s="1148"/>
      <c r="X340" s="1148"/>
      <c r="AE340" s="1148"/>
      <c r="AF340" s="1148"/>
      <c r="AV340" s="1148"/>
      <c r="AW340" s="1148"/>
      <c r="AX340" s="1148"/>
      <c r="AY340" s="1148"/>
      <c r="AZ340" s="1148"/>
      <c r="BA340" s="1148"/>
      <c r="BC340" s="1148"/>
      <c r="BE340" s="1148"/>
      <c r="BF340" s="1148"/>
      <c r="BG340" s="1148"/>
    </row>
    <row r="341" spans="18:59" x14ac:dyDescent="0.35">
      <c r="R341" s="1148"/>
      <c r="S341" s="1148"/>
      <c r="W341" s="1148"/>
      <c r="X341" s="1148"/>
      <c r="AE341" s="1148"/>
      <c r="AF341" s="1148"/>
      <c r="AV341" s="1148"/>
      <c r="AW341" s="1148"/>
      <c r="AX341" s="1148"/>
      <c r="AY341" s="1148"/>
      <c r="AZ341" s="1148"/>
      <c r="BA341" s="1148"/>
      <c r="BC341" s="1148"/>
      <c r="BE341" s="1148"/>
      <c r="BF341" s="1148"/>
      <c r="BG341" s="1148"/>
    </row>
    <row r="342" spans="18:59" x14ac:dyDescent="0.35">
      <c r="R342" s="1148"/>
      <c r="S342" s="1148"/>
      <c r="W342" s="1148"/>
      <c r="X342" s="1148"/>
      <c r="AE342" s="1148"/>
      <c r="AF342" s="1148"/>
      <c r="AV342" s="1148"/>
      <c r="AW342" s="1148"/>
      <c r="AX342" s="1148"/>
      <c r="AY342" s="1148"/>
      <c r="AZ342" s="1148"/>
      <c r="BA342" s="1148"/>
      <c r="BC342" s="1148"/>
      <c r="BE342" s="1148"/>
      <c r="BF342" s="1148"/>
      <c r="BG342" s="1148"/>
    </row>
    <row r="343" spans="18:59" x14ac:dyDescent="0.35">
      <c r="R343" s="1148"/>
      <c r="S343" s="1148"/>
      <c r="W343" s="1148"/>
      <c r="X343" s="1148"/>
      <c r="AE343" s="1148"/>
      <c r="AF343" s="1148"/>
      <c r="AV343" s="1148"/>
      <c r="AW343" s="1148"/>
      <c r="AX343" s="1148"/>
      <c r="AY343" s="1148"/>
      <c r="AZ343" s="1148"/>
      <c r="BA343" s="1148"/>
      <c r="BC343" s="1148"/>
      <c r="BE343" s="1148"/>
      <c r="BF343" s="1148"/>
      <c r="BG343" s="1148"/>
    </row>
    <row r="344" spans="18:59" x14ac:dyDescent="0.35">
      <c r="R344" s="1148"/>
      <c r="S344" s="1148"/>
      <c r="W344" s="1148"/>
      <c r="X344" s="1148"/>
      <c r="AE344" s="1148"/>
      <c r="AF344" s="1148"/>
      <c r="AV344" s="1148"/>
      <c r="AW344" s="1148"/>
      <c r="AX344" s="1148"/>
      <c r="AY344" s="1148"/>
      <c r="AZ344" s="1148"/>
      <c r="BA344" s="1148"/>
      <c r="BC344" s="1148"/>
      <c r="BE344" s="1148"/>
      <c r="BF344" s="1148"/>
      <c r="BG344" s="1148"/>
    </row>
    <row r="345" spans="18:59" x14ac:dyDescent="0.35">
      <c r="R345" s="1148"/>
      <c r="S345" s="1148"/>
      <c r="W345" s="1148"/>
      <c r="X345" s="1148"/>
      <c r="AE345" s="1148"/>
      <c r="AF345" s="1148"/>
      <c r="AV345" s="1148"/>
      <c r="AW345" s="1148"/>
      <c r="AX345" s="1148"/>
      <c r="AY345" s="1148"/>
      <c r="AZ345" s="1148"/>
      <c r="BA345" s="1148"/>
      <c r="BC345" s="1148"/>
      <c r="BE345" s="1148"/>
      <c r="BF345" s="1148"/>
      <c r="BG345" s="1148"/>
    </row>
    <row r="346" spans="18:59" x14ac:dyDescent="0.35">
      <c r="R346" s="1148"/>
      <c r="S346" s="1148"/>
      <c r="W346" s="1148"/>
      <c r="X346" s="1148"/>
      <c r="AE346" s="1148"/>
      <c r="AF346" s="1148"/>
      <c r="AV346" s="1148"/>
      <c r="AW346" s="1148"/>
      <c r="AX346" s="1148"/>
      <c r="AY346" s="1148"/>
      <c r="AZ346" s="1148"/>
      <c r="BA346" s="1148"/>
      <c r="BC346" s="1148"/>
      <c r="BE346" s="1148"/>
      <c r="BF346" s="1148"/>
      <c r="BG346" s="1148"/>
    </row>
    <row r="347" spans="18:59" x14ac:dyDescent="0.35">
      <c r="R347" s="1148"/>
      <c r="S347" s="1148"/>
      <c r="W347" s="1148"/>
      <c r="X347" s="1148"/>
      <c r="AE347" s="1148"/>
      <c r="AF347" s="1148"/>
      <c r="AV347" s="1148"/>
      <c r="AW347" s="1148"/>
      <c r="AX347" s="1148"/>
      <c r="AY347" s="1148"/>
      <c r="AZ347" s="1148"/>
      <c r="BA347" s="1148"/>
      <c r="BC347" s="1148"/>
      <c r="BE347" s="1148"/>
      <c r="BF347" s="1148"/>
      <c r="BG347" s="1148"/>
    </row>
    <row r="348" spans="18:59" x14ac:dyDescent="0.35">
      <c r="R348" s="1148"/>
      <c r="S348" s="1148"/>
      <c r="W348" s="1148"/>
      <c r="X348" s="1148"/>
      <c r="AE348" s="1148"/>
      <c r="AF348" s="1148"/>
      <c r="AV348" s="1148"/>
      <c r="AW348" s="1148"/>
      <c r="AX348" s="1148"/>
      <c r="AY348" s="1148"/>
      <c r="AZ348" s="1148"/>
      <c r="BA348" s="1148"/>
      <c r="BC348" s="1148"/>
      <c r="BE348" s="1148"/>
      <c r="BF348" s="1148"/>
      <c r="BG348" s="1148"/>
    </row>
    <row r="349" spans="18:59" x14ac:dyDescent="0.35">
      <c r="R349" s="1148"/>
      <c r="S349" s="1148"/>
      <c r="W349" s="1148"/>
      <c r="X349" s="1148"/>
      <c r="AE349" s="1148"/>
      <c r="AF349" s="1148"/>
      <c r="AV349" s="1148"/>
      <c r="AW349" s="1148"/>
      <c r="AX349" s="1148"/>
      <c r="AY349" s="1148"/>
      <c r="AZ349" s="1148"/>
      <c r="BA349" s="1148"/>
      <c r="BC349" s="1148"/>
      <c r="BE349" s="1148"/>
      <c r="BF349" s="1148"/>
      <c r="BG349" s="1148"/>
    </row>
    <row r="350" spans="18:59" x14ac:dyDescent="0.35">
      <c r="R350" s="1148"/>
      <c r="S350" s="1148"/>
      <c r="W350" s="1148"/>
      <c r="X350" s="1148"/>
      <c r="AE350" s="1148"/>
      <c r="AF350" s="1148"/>
      <c r="AV350" s="1148"/>
      <c r="AW350" s="1148"/>
      <c r="AX350" s="1148"/>
      <c r="AY350" s="1148"/>
      <c r="AZ350" s="1148"/>
      <c r="BA350" s="1148"/>
      <c r="BC350" s="1148"/>
      <c r="BE350" s="1148"/>
      <c r="BF350" s="1148"/>
      <c r="BG350" s="1148"/>
    </row>
    <row r="351" spans="18:59" x14ac:dyDescent="0.35">
      <c r="R351" s="1148"/>
      <c r="S351" s="1148"/>
      <c r="W351" s="1148"/>
      <c r="X351" s="1148"/>
      <c r="AE351" s="1148"/>
      <c r="AF351" s="1148"/>
      <c r="AV351" s="1148"/>
      <c r="AW351" s="1148"/>
      <c r="AX351" s="1148"/>
      <c r="AY351" s="1148"/>
      <c r="AZ351" s="1148"/>
      <c r="BA351" s="1148"/>
      <c r="BC351" s="1148"/>
      <c r="BE351" s="1148"/>
      <c r="BF351" s="1148"/>
      <c r="BG351" s="1148"/>
    </row>
    <row r="352" spans="18:59" x14ac:dyDescent="0.35">
      <c r="R352" s="1148"/>
      <c r="S352" s="1148"/>
      <c r="W352" s="1148"/>
      <c r="X352" s="1148"/>
      <c r="AE352" s="1148"/>
      <c r="AF352" s="1148"/>
      <c r="AV352" s="1148"/>
      <c r="AW352" s="1148"/>
      <c r="AX352" s="1148"/>
      <c r="AY352" s="1148"/>
      <c r="AZ352" s="1148"/>
      <c r="BA352" s="1148"/>
      <c r="BC352" s="1148"/>
      <c r="BE352" s="1148"/>
      <c r="BF352" s="1148"/>
      <c r="BG352" s="1148"/>
    </row>
    <row r="353" spans="18:59" x14ac:dyDescent="0.35">
      <c r="R353" s="1148"/>
      <c r="S353" s="1148"/>
      <c r="W353" s="1148"/>
      <c r="X353" s="1148"/>
      <c r="AE353" s="1148"/>
      <c r="AF353" s="1148"/>
      <c r="AV353" s="1148"/>
      <c r="AW353" s="1148"/>
      <c r="AX353" s="1148"/>
      <c r="AY353" s="1148"/>
      <c r="AZ353" s="1148"/>
      <c r="BA353" s="1148"/>
      <c r="BC353" s="1148"/>
      <c r="BE353" s="1148"/>
      <c r="BF353" s="1148"/>
      <c r="BG353" s="1148"/>
    </row>
    <row r="354" spans="18:59" x14ac:dyDescent="0.35">
      <c r="R354" s="1148"/>
      <c r="S354" s="1148"/>
      <c r="W354" s="1148"/>
      <c r="X354" s="1148"/>
      <c r="AE354" s="1148"/>
      <c r="AF354" s="1148"/>
      <c r="AV354" s="1148"/>
      <c r="AW354" s="1148"/>
      <c r="AX354" s="1148"/>
      <c r="AY354" s="1148"/>
      <c r="AZ354" s="1148"/>
      <c r="BA354" s="1148"/>
      <c r="BC354" s="1148"/>
      <c r="BE354" s="1148"/>
      <c r="BF354" s="1148"/>
      <c r="BG354" s="1148"/>
    </row>
    <row r="355" spans="18:59" x14ac:dyDescent="0.35">
      <c r="R355" s="1148"/>
      <c r="S355" s="1148"/>
      <c r="W355" s="1148"/>
      <c r="X355" s="1148"/>
      <c r="AE355" s="1148"/>
      <c r="AF355" s="1148"/>
      <c r="AV355" s="1148"/>
      <c r="AW355" s="1148"/>
      <c r="AX355" s="1148"/>
      <c r="AY355" s="1148"/>
      <c r="AZ355" s="1148"/>
      <c r="BA355" s="1148"/>
      <c r="BC355" s="1148"/>
      <c r="BE355" s="1148"/>
      <c r="BF355" s="1148"/>
      <c r="BG355" s="1148"/>
    </row>
    <row r="356" spans="18:59" x14ac:dyDescent="0.35">
      <c r="R356" s="1148"/>
      <c r="S356" s="1148"/>
      <c r="W356" s="1148"/>
      <c r="X356" s="1148"/>
      <c r="AE356" s="1148"/>
      <c r="AF356" s="1148"/>
      <c r="AV356" s="1148"/>
      <c r="AW356" s="1148"/>
      <c r="AX356" s="1148"/>
      <c r="AY356" s="1148"/>
      <c r="AZ356" s="1148"/>
      <c r="BA356" s="1148"/>
      <c r="BC356" s="1148"/>
      <c r="BE356" s="1148"/>
      <c r="BF356" s="1148"/>
      <c r="BG356" s="1148"/>
    </row>
    <row r="357" spans="18:59" x14ac:dyDescent="0.35">
      <c r="R357" s="1148"/>
      <c r="S357" s="1148"/>
      <c r="W357" s="1148"/>
      <c r="X357" s="1148"/>
      <c r="AE357" s="1148"/>
      <c r="AF357" s="1148"/>
      <c r="AV357" s="1148"/>
      <c r="AW357" s="1148"/>
      <c r="AX357" s="1148"/>
      <c r="AY357" s="1148"/>
      <c r="AZ357" s="1148"/>
      <c r="BA357" s="1148"/>
      <c r="BC357" s="1148"/>
      <c r="BE357" s="1148"/>
      <c r="BF357" s="1148"/>
      <c r="BG357" s="1148"/>
    </row>
    <row r="358" spans="18:59" x14ac:dyDescent="0.35">
      <c r="R358" s="1148"/>
      <c r="S358" s="1148"/>
      <c r="W358" s="1148"/>
      <c r="X358" s="1148"/>
      <c r="AE358" s="1148"/>
      <c r="AF358" s="1148"/>
      <c r="AV358" s="1148"/>
      <c r="AW358" s="1148"/>
      <c r="AX358" s="1148"/>
      <c r="AY358" s="1148"/>
      <c r="AZ358" s="1148"/>
      <c r="BA358" s="1148"/>
      <c r="BC358" s="1148"/>
      <c r="BE358" s="1148"/>
      <c r="BF358" s="1148"/>
      <c r="BG358" s="1148"/>
    </row>
    <row r="359" spans="18:59" x14ac:dyDescent="0.35">
      <c r="R359" s="1148"/>
      <c r="S359" s="1148"/>
      <c r="W359" s="1148"/>
      <c r="X359" s="1148"/>
      <c r="AE359" s="1148"/>
      <c r="AF359" s="1148"/>
      <c r="AV359" s="1148"/>
      <c r="AW359" s="1148"/>
      <c r="AX359" s="1148"/>
      <c r="AY359" s="1148"/>
      <c r="AZ359" s="1148"/>
      <c r="BA359" s="1148"/>
      <c r="BC359" s="1148"/>
      <c r="BE359" s="1148"/>
      <c r="BF359" s="1148"/>
      <c r="BG359" s="1148"/>
    </row>
    <row r="360" spans="18:59" x14ac:dyDescent="0.35">
      <c r="R360" s="1148"/>
      <c r="S360" s="1148"/>
      <c r="W360" s="1148"/>
      <c r="X360" s="1148"/>
      <c r="AE360" s="1148"/>
      <c r="AF360" s="1148"/>
      <c r="AV360" s="1148"/>
      <c r="AW360" s="1148"/>
      <c r="AX360" s="1148"/>
      <c r="AY360" s="1148"/>
      <c r="AZ360" s="1148"/>
      <c r="BA360" s="1148"/>
      <c r="BC360" s="1148"/>
      <c r="BE360" s="1148"/>
      <c r="BF360" s="1148"/>
      <c r="BG360" s="1148"/>
    </row>
    <row r="361" spans="18:59" x14ac:dyDescent="0.35">
      <c r="R361" s="1148"/>
      <c r="S361" s="1148"/>
      <c r="W361" s="1148"/>
      <c r="X361" s="1148"/>
      <c r="AE361" s="1148"/>
      <c r="AF361" s="1148"/>
      <c r="AV361" s="1148"/>
      <c r="AW361" s="1148"/>
      <c r="AX361" s="1148"/>
      <c r="AY361" s="1148"/>
      <c r="AZ361" s="1148"/>
      <c r="BA361" s="1148"/>
      <c r="BC361" s="1148"/>
      <c r="BE361" s="1148"/>
      <c r="BF361" s="1148"/>
      <c r="BG361" s="1148"/>
    </row>
    <row r="362" spans="18:59" x14ac:dyDescent="0.35">
      <c r="R362" s="1148"/>
      <c r="S362" s="1148"/>
      <c r="W362" s="1148"/>
      <c r="X362" s="1148"/>
      <c r="AE362" s="1148"/>
      <c r="AF362" s="1148"/>
      <c r="AV362" s="1148"/>
      <c r="AW362" s="1148"/>
      <c r="AX362" s="1148"/>
      <c r="AY362" s="1148"/>
      <c r="AZ362" s="1148"/>
      <c r="BA362" s="1148"/>
      <c r="BC362" s="1148"/>
      <c r="BE362" s="1148"/>
      <c r="BF362" s="1148"/>
      <c r="BG362" s="1148"/>
    </row>
    <row r="363" spans="18:59" x14ac:dyDescent="0.35">
      <c r="R363" s="1148"/>
      <c r="S363" s="1148"/>
      <c r="W363" s="1148"/>
      <c r="X363" s="1148"/>
      <c r="AE363" s="1148"/>
      <c r="AF363" s="1148"/>
      <c r="AV363" s="1148"/>
      <c r="AW363" s="1148"/>
      <c r="AX363" s="1148"/>
      <c r="AY363" s="1148"/>
      <c r="AZ363" s="1148"/>
      <c r="BA363" s="1148"/>
      <c r="BC363" s="1148"/>
      <c r="BE363" s="1148"/>
      <c r="BF363" s="1148"/>
      <c r="BG363" s="1148"/>
    </row>
    <row r="364" spans="18:59" x14ac:dyDescent="0.35">
      <c r="R364" s="1148"/>
      <c r="S364" s="1148"/>
      <c r="W364" s="1148"/>
      <c r="X364" s="1148"/>
      <c r="AE364" s="1148"/>
      <c r="AF364" s="1148"/>
      <c r="AV364" s="1148"/>
      <c r="AW364" s="1148"/>
      <c r="AX364" s="1148"/>
      <c r="AY364" s="1148"/>
      <c r="AZ364" s="1148"/>
      <c r="BA364" s="1148"/>
      <c r="BC364" s="1148"/>
      <c r="BE364" s="1148"/>
      <c r="BF364" s="1148"/>
      <c r="BG364" s="1148"/>
    </row>
    <row r="365" spans="18:59" x14ac:dyDescent="0.35">
      <c r="R365" s="1148"/>
      <c r="S365" s="1148"/>
      <c r="W365" s="1148"/>
      <c r="X365" s="1148"/>
      <c r="AE365" s="1148"/>
      <c r="AF365" s="1148"/>
      <c r="AV365" s="1148"/>
      <c r="AW365" s="1148"/>
      <c r="AX365" s="1148"/>
      <c r="AY365" s="1148"/>
      <c r="AZ365" s="1148"/>
      <c r="BA365" s="1148"/>
      <c r="BC365" s="1148"/>
      <c r="BE365" s="1148"/>
      <c r="BF365" s="1148"/>
      <c r="BG365" s="1148"/>
    </row>
    <row r="366" spans="18:59" x14ac:dyDescent="0.35">
      <c r="R366" s="1148"/>
      <c r="S366" s="1148"/>
      <c r="W366" s="1148"/>
      <c r="X366" s="1148"/>
      <c r="AE366" s="1148"/>
      <c r="AF366" s="1148"/>
      <c r="AV366" s="1148"/>
      <c r="AW366" s="1148"/>
      <c r="AX366" s="1148"/>
      <c r="AY366" s="1148"/>
      <c r="AZ366" s="1148"/>
      <c r="BA366" s="1148"/>
      <c r="BC366" s="1148"/>
      <c r="BE366" s="1148"/>
      <c r="BF366" s="1148"/>
      <c r="BG366" s="1148"/>
    </row>
    <row r="367" spans="18:59" x14ac:dyDescent="0.35">
      <c r="R367" s="1148"/>
      <c r="S367" s="1148"/>
      <c r="W367" s="1148"/>
      <c r="X367" s="1148"/>
      <c r="AE367" s="1148"/>
      <c r="AF367" s="1148"/>
      <c r="AV367" s="1148"/>
      <c r="AW367" s="1148"/>
      <c r="AX367" s="1148"/>
      <c r="AY367" s="1148"/>
      <c r="AZ367" s="1148"/>
      <c r="BA367" s="1148"/>
      <c r="BC367" s="1148"/>
      <c r="BE367" s="1148"/>
      <c r="BF367" s="1148"/>
      <c r="BG367" s="1148"/>
    </row>
    <row r="368" spans="18:59" x14ac:dyDescent="0.35">
      <c r="R368" s="1148"/>
      <c r="S368" s="1148"/>
      <c r="W368" s="1148"/>
      <c r="X368" s="1148"/>
      <c r="AE368" s="1148"/>
      <c r="AF368" s="1148"/>
      <c r="AV368" s="1148"/>
      <c r="AW368" s="1148"/>
      <c r="AX368" s="1148"/>
      <c r="AY368" s="1148"/>
      <c r="AZ368" s="1148"/>
      <c r="BA368" s="1148"/>
      <c r="BC368" s="1148"/>
      <c r="BE368" s="1148"/>
      <c r="BF368" s="1148"/>
      <c r="BG368" s="1148"/>
    </row>
    <row r="369" spans="18:59" x14ac:dyDescent="0.35">
      <c r="R369" s="1148"/>
      <c r="S369" s="1148"/>
      <c r="W369" s="1148"/>
      <c r="X369" s="1148"/>
      <c r="AE369" s="1148"/>
      <c r="AF369" s="1148"/>
      <c r="AV369" s="1148"/>
      <c r="AW369" s="1148"/>
      <c r="AX369" s="1148"/>
      <c r="AY369" s="1148"/>
      <c r="AZ369" s="1148"/>
      <c r="BA369" s="1148"/>
      <c r="BC369" s="1148"/>
      <c r="BE369" s="1148"/>
      <c r="BF369" s="1148"/>
      <c r="BG369" s="1148"/>
    </row>
    <row r="370" spans="18:59" x14ac:dyDescent="0.35">
      <c r="R370" s="1148"/>
      <c r="S370" s="1148"/>
      <c r="W370" s="1148"/>
      <c r="X370" s="1148"/>
      <c r="AE370" s="1148"/>
      <c r="AF370" s="1148"/>
      <c r="AV370" s="1148"/>
      <c r="AW370" s="1148"/>
      <c r="AX370" s="1148"/>
      <c r="AY370" s="1148"/>
      <c r="AZ370" s="1148"/>
      <c r="BA370" s="1148"/>
      <c r="BC370" s="1148"/>
      <c r="BE370" s="1148"/>
      <c r="BF370" s="1148"/>
      <c r="BG370" s="1148"/>
    </row>
    <row r="371" spans="18:59" x14ac:dyDescent="0.35">
      <c r="R371" s="1148"/>
      <c r="S371" s="1148"/>
      <c r="W371" s="1148"/>
      <c r="X371" s="1148"/>
      <c r="AE371" s="1148"/>
      <c r="AF371" s="1148"/>
      <c r="AV371" s="1148"/>
      <c r="AW371" s="1148"/>
      <c r="AX371" s="1148"/>
      <c r="AY371" s="1148"/>
      <c r="AZ371" s="1148"/>
      <c r="BA371" s="1148"/>
      <c r="BC371" s="1148"/>
      <c r="BE371" s="1148"/>
      <c r="BF371" s="1148"/>
      <c r="BG371" s="1148"/>
    </row>
    <row r="372" spans="18:59" x14ac:dyDescent="0.35">
      <c r="R372" s="1148"/>
      <c r="S372" s="1148"/>
      <c r="W372" s="1148"/>
      <c r="X372" s="1148"/>
      <c r="AE372" s="1148"/>
      <c r="AF372" s="1148"/>
      <c r="AV372" s="1148"/>
      <c r="AW372" s="1148"/>
      <c r="AX372" s="1148"/>
      <c r="AY372" s="1148"/>
      <c r="AZ372" s="1148"/>
      <c r="BA372" s="1148"/>
      <c r="BC372" s="1148"/>
      <c r="BE372" s="1148"/>
      <c r="BF372" s="1148"/>
      <c r="BG372" s="1148"/>
    </row>
    <row r="373" spans="18:59" x14ac:dyDescent="0.35">
      <c r="R373" s="1148"/>
      <c r="S373" s="1148"/>
      <c r="W373" s="1148"/>
      <c r="X373" s="1148"/>
      <c r="AE373" s="1148"/>
      <c r="AF373" s="1148"/>
      <c r="AV373" s="1148"/>
      <c r="AW373" s="1148"/>
      <c r="AX373" s="1148"/>
      <c r="AY373" s="1148"/>
      <c r="AZ373" s="1148"/>
      <c r="BA373" s="1148"/>
      <c r="BC373" s="1148"/>
      <c r="BE373" s="1148"/>
      <c r="BF373" s="1148"/>
      <c r="BG373" s="1148"/>
    </row>
    <row r="374" spans="18:59" x14ac:dyDescent="0.35">
      <c r="R374" s="1148"/>
      <c r="S374" s="1148"/>
      <c r="W374" s="1148"/>
      <c r="X374" s="1148"/>
      <c r="AE374" s="1148"/>
      <c r="AF374" s="1148"/>
      <c r="AV374" s="1148"/>
      <c r="AW374" s="1148"/>
      <c r="AX374" s="1148"/>
      <c r="AY374" s="1148"/>
      <c r="AZ374" s="1148"/>
      <c r="BA374" s="1148"/>
      <c r="BC374" s="1148"/>
      <c r="BE374" s="1148"/>
      <c r="BF374" s="1148"/>
      <c r="BG374" s="1148"/>
    </row>
    <row r="375" spans="18:59" x14ac:dyDescent="0.35">
      <c r="R375" s="1148"/>
      <c r="S375" s="1148"/>
      <c r="W375" s="1148"/>
      <c r="X375" s="1148"/>
      <c r="AE375" s="1148"/>
      <c r="AF375" s="1148"/>
      <c r="AV375" s="1148"/>
      <c r="AW375" s="1148"/>
      <c r="AX375" s="1148"/>
      <c r="AY375" s="1148"/>
      <c r="AZ375" s="1148"/>
      <c r="BA375" s="1148"/>
      <c r="BC375" s="1148"/>
      <c r="BE375" s="1148"/>
      <c r="BF375" s="1148"/>
      <c r="BG375" s="1148"/>
    </row>
    <row r="376" spans="18:59" x14ac:dyDescent="0.35">
      <c r="R376" s="1148"/>
      <c r="S376" s="1148"/>
      <c r="W376" s="1148"/>
      <c r="X376" s="1148"/>
      <c r="AE376" s="1148"/>
      <c r="AF376" s="1148"/>
      <c r="AV376" s="1148"/>
      <c r="AW376" s="1148"/>
      <c r="AX376" s="1148"/>
      <c r="AY376" s="1148"/>
      <c r="AZ376" s="1148"/>
      <c r="BA376" s="1148"/>
      <c r="BC376" s="1148"/>
      <c r="BE376" s="1148"/>
      <c r="BF376" s="1148"/>
      <c r="BG376" s="1148"/>
    </row>
    <row r="377" spans="18:59" x14ac:dyDescent="0.35">
      <c r="R377" s="1148"/>
      <c r="S377" s="1148"/>
      <c r="W377" s="1148"/>
      <c r="X377" s="1148"/>
      <c r="AE377" s="1148"/>
      <c r="AF377" s="1148"/>
      <c r="AV377" s="1148"/>
      <c r="AW377" s="1148"/>
      <c r="AX377" s="1148"/>
      <c r="AY377" s="1148"/>
      <c r="AZ377" s="1148"/>
      <c r="BA377" s="1148"/>
      <c r="BC377" s="1148"/>
      <c r="BE377" s="1148"/>
      <c r="BF377" s="1148"/>
      <c r="BG377" s="1148"/>
    </row>
    <row r="378" spans="18:59" x14ac:dyDescent="0.35">
      <c r="R378" s="1148"/>
      <c r="S378" s="1148"/>
      <c r="W378" s="1148"/>
      <c r="X378" s="1148"/>
      <c r="AE378" s="1148"/>
      <c r="AF378" s="1148"/>
      <c r="AV378" s="1148"/>
      <c r="AW378" s="1148"/>
      <c r="AX378" s="1148"/>
      <c r="AY378" s="1148"/>
      <c r="AZ378" s="1148"/>
      <c r="BA378" s="1148"/>
      <c r="BC378" s="1148"/>
      <c r="BE378" s="1148"/>
      <c r="BF378" s="1148"/>
      <c r="BG378" s="1148"/>
    </row>
    <row r="379" spans="18:59" x14ac:dyDescent="0.35">
      <c r="R379" s="1148"/>
      <c r="S379" s="1148"/>
      <c r="W379" s="1148"/>
      <c r="X379" s="1148"/>
      <c r="AE379" s="1148"/>
      <c r="AF379" s="1148"/>
      <c r="AV379" s="1148"/>
      <c r="AW379" s="1148"/>
      <c r="AX379" s="1148"/>
      <c r="AY379" s="1148"/>
      <c r="AZ379" s="1148"/>
      <c r="BA379" s="1148"/>
      <c r="BC379" s="1148"/>
      <c r="BE379" s="1148"/>
      <c r="BF379" s="1148"/>
      <c r="BG379" s="1148"/>
    </row>
    <row r="380" spans="18:59" x14ac:dyDescent="0.35">
      <c r="R380" s="1148"/>
      <c r="S380" s="1148"/>
      <c r="W380" s="1148"/>
      <c r="X380" s="1148"/>
      <c r="AE380" s="1148"/>
      <c r="AF380" s="1148"/>
      <c r="AV380" s="1148"/>
      <c r="AW380" s="1148"/>
      <c r="AX380" s="1148"/>
      <c r="AY380" s="1148"/>
      <c r="AZ380" s="1148"/>
      <c r="BA380" s="1148"/>
      <c r="BC380" s="1148"/>
      <c r="BE380" s="1148"/>
      <c r="BF380" s="1148"/>
      <c r="BG380" s="1148"/>
    </row>
    <row r="381" spans="18:59" x14ac:dyDescent="0.35">
      <c r="R381" s="1148"/>
      <c r="S381" s="1148"/>
      <c r="W381" s="1148"/>
      <c r="X381" s="1148"/>
      <c r="AE381" s="1148"/>
      <c r="AF381" s="1148"/>
      <c r="AV381" s="1148"/>
      <c r="AW381" s="1148"/>
      <c r="AX381" s="1148"/>
      <c r="AY381" s="1148"/>
      <c r="AZ381" s="1148"/>
      <c r="BA381" s="1148"/>
      <c r="BC381" s="1148"/>
      <c r="BE381" s="1148"/>
      <c r="BF381" s="1148"/>
      <c r="BG381" s="1148"/>
    </row>
    <row r="382" spans="18:59" x14ac:dyDescent="0.35">
      <c r="R382" s="1148"/>
      <c r="S382" s="1148"/>
      <c r="W382" s="1148"/>
      <c r="X382" s="1148"/>
      <c r="AE382" s="1148"/>
      <c r="AF382" s="1148"/>
      <c r="AV382" s="1148"/>
      <c r="AW382" s="1148"/>
      <c r="AX382" s="1148"/>
      <c r="AY382" s="1148"/>
      <c r="AZ382" s="1148"/>
      <c r="BA382" s="1148"/>
      <c r="BC382" s="1148"/>
      <c r="BE382" s="1148"/>
      <c r="BF382" s="1148"/>
      <c r="BG382" s="1148"/>
    </row>
    <row r="383" spans="18:59" x14ac:dyDescent="0.35">
      <c r="R383" s="1148"/>
      <c r="S383" s="1148"/>
      <c r="W383" s="1148"/>
      <c r="X383" s="1148"/>
      <c r="AE383" s="1148"/>
      <c r="AF383" s="1148"/>
      <c r="AV383" s="1148"/>
      <c r="AW383" s="1148"/>
      <c r="AX383" s="1148"/>
      <c r="AY383" s="1148"/>
      <c r="AZ383" s="1148"/>
      <c r="BA383" s="1148"/>
      <c r="BC383" s="1148"/>
      <c r="BE383" s="1148"/>
      <c r="BF383" s="1148"/>
      <c r="BG383" s="1148"/>
    </row>
    <row r="384" spans="18:59" x14ac:dyDescent="0.35">
      <c r="R384" s="1148"/>
      <c r="S384" s="1148"/>
      <c r="W384" s="1148"/>
      <c r="X384" s="1148"/>
      <c r="AE384" s="1148"/>
      <c r="AF384" s="1148"/>
      <c r="AV384" s="1148"/>
      <c r="AW384" s="1148"/>
      <c r="AX384" s="1148"/>
      <c r="AY384" s="1148"/>
      <c r="AZ384" s="1148"/>
      <c r="BA384" s="1148"/>
      <c r="BC384" s="1148"/>
      <c r="BE384" s="1148"/>
      <c r="BF384" s="1148"/>
      <c r="BG384" s="1148"/>
    </row>
    <row r="385" spans="18:59" x14ac:dyDescent="0.35">
      <c r="R385" s="1148"/>
      <c r="S385" s="1148"/>
      <c r="W385" s="1148"/>
      <c r="X385" s="1148"/>
      <c r="AE385" s="1148"/>
      <c r="AF385" s="1148"/>
      <c r="AV385" s="1148"/>
      <c r="AW385" s="1148"/>
      <c r="AX385" s="1148"/>
      <c r="AY385" s="1148"/>
      <c r="AZ385" s="1148"/>
      <c r="BA385" s="1148"/>
      <c r="BC385" s="1148"/>
      <c r="BE385" s="1148"/>
      <c r="BF385" s="1148"/>
      <c r="BG385" s="1148"/>
    </row>
    <row r="386" spans="18:59" x14ac:dyDescent="0.35">
      <c r="R386" s="1148"/>
      <c r="S386" s="1148"/>
      <c r="W386" s="1148"/>
      <c r="X386" s="1148"/>
      <c r="AE386" s="1148"/>
      <c r="AF386" s="1148"/>
      <c r="AV386" s="1148"/>
      <c r="AW386" s="1148"/>
      <c r="AX386" s="1148"/>
      <c r="AY386" s="1148"/>
      <c r="AZ386" s="1148"/>
      <c r="BA386" s="1148"/>
      <c r="BC386" s="1148"/>
      <c r="BE386" s="1148"/>
      <c r="BF386" s="1148"/>
      <c r="BG386" s="1148"/>
    </row>
    <row r="387" spans="18:59" x14ac:dyDescent="0.35">
      <c r="R387" s="1148"/>
      <c r="S387" s="1148"/>
      <c r="W387" s="1148"/>
      <c r="X387" s="1148"/>
      <c r="AE387" s="1148"/>
      <c r="AF387" s="1148"/>
      <c r="AV387" s="1148"/>
      <c r="AW387" s="1148"/>
      <c r="AX387" s="1148"/>
      <c r="AY387" s="1148"/>
      <c r="AZ387" s="1148"/>
      <c r="BA387" s="1148"/>
      <c r="BC387" s="1148"/>
      <c r="BE387" s="1148"/>
      <c r="BF387" s="1148"/>
      <c r="BG387" s="1148"/>
    </row>
    <row r="388" spans="18:59" x14ac:dyDescent="0.35">
      <c r="R388" s="1148"/>
      <c r="S388" s="1148"/>
      <c r="W388" s="1148"/>
      <c r="X388" s="1148"/>
      <c r="AE388" s="1148"/>
      <c r="AF388" s="1148"/>
      <c r="AV388" s="1148"/>
      <c r="AW388" s="1148"/>
      <c r="AX388" s="1148"/>
      <c r="AY388" s="1148"/>
      <c r="AZ388" s="1148"/>
      <c r="BA388" s="1148"/>
      <c r="BC388" s="1148"/>
      <c r="BE388" s="1148"/>
      <c r="BF388" s="1148"/>
      <c r="BG388" s="1148"/>
    </row>
    <row r="389" spans="18:59" x14ac:dyDescent="0.35">
      <c r="R389" s="1148"/>
      <c r="S389" s="1148"/>
      <c r="W389" s="1148"/>
      <c r="X389" s="1148"/>
      <c r="AE389" s="1148"/>
      <c r="AF389" s="1148"/>
      <c r="AV389" s="1148"/>
      <c r="AW389" s="1148"/>
      <c r="AX389" s="1148"/>
      <c r="AY389" s="1148"/>
      <c r="AZ389" s="1148"/>
      <c r="BA389" s="1148"/>
      <c r="BC389" s="1148"/>
      <c r="BE389" s="1148"/>
      <c r="BF389" s="1148"/>
      <c r="BG389" s="1148"/>
    </row>
    <row r="390" spans="18:59" x14ac:dyDescent="0.35">
      <c r="R390" s="1148"/>
      <c r="S390" s="1148"/>
      <c r="W390" s="1148"/>
      <c r="X390" s="1148"/>
      <c r="AE390" s="1148"/>
      <c r="AF390" s="1148"/>
      <c r="AV390" s="1148"/>
      <c r="AW390" s="1148"/>
      <c r="AX390" s="1148"/>
      <c r="AY390" s="1148"/>
      <c r="AZ390" s="1148"/>
      <c r="BA390" s="1148"/>
      <c r="BC390" s="1148"/>
      <c r="BE390" s="1148"/>
      <c r="BF390" s="1148"/>
      <c r="BG390" s="1148"/>
    </row>
    <row r="391" spans="18:59" x14ac:dyDescent="0.35">
      <c r="R391" s="1148"/>
      <c r="S391" s="1148"/>
      <c r="W391" s="1148"/>
      <c r="X391" s="1148"/>
      <c r="AE391" s="1148"/>
      <c r="AF391" s="1148"/>
      <c r="AV391" s="1148"/>
      <c r="AW391" s="1148"/>
      <c r="AX391" s="1148"/>
      <c r="AY391" s="1148"/>
      <c r="AZ391" s="1148"/>
      <c r="BA391" s="1148"/>
      <c r="BC391" s="1148"/>
      <c r="BE391" s="1148"/>
      <c r="BF391" s="1148"/>
      <c r="BG391" s="1148"/>
    </row>
    <row r="392" spans="18:59" x14ac:dyDescent="0.35">
      <c r="R392" s="1148"/>
      <c r="S392" s="1148"/>
      <c r="W392" s="1148"/>
      <c r="X392" s="1148"/>
      <c r="AE392" s="1148"/>
      <c r="AF392" s="1148"/>
      <c r="AV392" s="1148"/>
      <c r="AW392" s="1148"/>
      <c r="AX392" s="1148"/>
      <c r="AY392" s="1148"/>
      <c r="AZ392" s="1148"/>
      <c r="BA392" s="1148"/>
      <c r="BC392" s="1148"/>
      <c r="BE392" s="1148"/>
      <c r="BF392" s="1148"/>
      <c r="BG392" s="1148"/>
    </row>
    <row r="393" spans="18:59" x14ac:dyDescent="0.35">
      <c r="R393" s="1148"/>
      <c r="S393" s="1148"/>
      <c r="W393" s="1148"/>
      <c r="X393" s="1148"/>
      <c r="AE393" s="1148"/>
      <c r="AF393" s="1148"/>
      <c r="AV393" s="1148"/>
      <c r="AW393" s="1148"/>
      <c r="AX393" s="1148"/>
      <c r="AY393" s="1148"/>
      <c r="AZ393" s="1148"/>
      <c r="BA393" s="1148"/>
      <c r="BC393" s="1148"/>
      <c r="BE393" s="1148"/>
      <c r="BF393" s="1148"/>
      <c r="BG393" s="1148"/>
    </row>
    <row r="394" spans="18:59" x14ac:dyDescent="0.35">
      <c r="R394" s="1148"/>
      <c r="S394" s="1148"/>
      <c r="W394" s="1148"/>
      <c r="X394" s="1148"/>
      <c r="AE394" s="1148"/>
      <c r="AF394" s="1148"/>
      <c r="AV394" s="1148"/>
      <c r="AW394" s="1148"/>
      <c r="AX394" s="1148"/>
      <c r="AY394" s="1148"/>
      <c r="AZ394" s="1148"/>
      <c r="BA394" s="1148"/>
      <c r="BC394" s="1148"/>
      <c r="BE394" s="1148"/>
      <c r="BF394" s="1148"/>
      <c r="BG394" s="1148"/>
    </row>
    <row r="395" spans="18:59" x14ac:dyDescent="0.35">
      <c r="R395" s="1148"/>
      <c r="S395" s="1148"/>
      <c r="W395" s="1148"/>
      <c r="X395" s="1148"/>
      <c r="AE395" s="1148"/>
      <c r="AF395" s="1148"/>
      <c r="AV395" s="1148"/>
      <c r="AW395" s="1148"/>
      <c r="AX395" s="1148"/>
      <c r="AY395" s="1148"/>
      <c r="AZ395" s="1148"/>
      <c r="BA395" s="1148"/>
      <c r="BC395" s="1148"/>
      <c r="BE395" s="1148"/>
      <c r="BF395" s="1148"/>
      <c r="BG395" s="1148"/>
    </row>
    <row r="396" spans="18:59" x14ac:dyDescent="0.35">
      <c r="R396" s="1148"/>
      <c r="S396" s="1148"/>
      <c r="W396" s="1148"/>
      <c r="X396" s="1148"/>
      <c r="AE396" s="1148"/>
      <c r="AF396" s="1148"/>
      <c r="AV396" s="1148"/>
      <c r="AW396" s="1148"/>
      <c r="AX396" s="1148"/>
      <c r="AY396" s="1148"/>
      <c r="AZ396" s="1148"/>
      <c r="BA396" s="1148"/>
      <c r="BC396" s="1148"/>
      <c r="BE396" s="1148"/>
      <c r="BF396" s="1148"/>
      <c r="BG396" s="1148"/>
    </row>
    <row r="397" spans="18:59" x14ac:dyDescent="0.35">
      <c r="R397" s="1148"/>
      <c r="S397" s="1148"/>
      <c r="W397" s="1148"/>
      <c r="X397" s="1148"/>
      <c r="AE397" s="1148"/>
      <c r="AF397" s="1148"/>
      <c r="AV397" s="1148"/>
      <c r="AW397" s="1148"/>
      <c r="AX397" s="1148"/>
      <c r="AY397" s="1148"/>
      <c r="AZ397" s="1148"/>
      <c r="BA397" s="1148"/>
      <c r="BC397" s="1148"/>
      <c r="BE397" s="1148"/>
      <c r="BF397" s="1148"/>
      <c r="BG397" s="1148"/>
    </row>
    <row r="398" spans="18:59" x14ac:dyDescent="0.35">
      <c r="R398" s="1148"/>
      <c r="S398" s="1148"/>
      <c r="W398" s="1148"/>
      <c r="X398" s="1148"/>
      <c r="AE398" s="1148"/>
      <c r="AF398" s="1148"/>
      <c r="AV398" s="1148"/>
      <c r="AW398" s="1148"/>
      <c r="AX398" s="1148"/>
      <c r="AY398" s="1148"/>
      <c r="AZ398" s="1148"/>
      <c r="BA398" s="1148"/>
      <c r="BC398" s="1148"/>
      <c r="BE398" s="1148"/>
      <c r="BF398" s="1148"/>
      <c r="BG398" s="1148"/>
    </row>
    <row r="399" spans="18:59" x14ac:dyDescent="0.35">
      <c r="R399" s="1148"/>
      <c r="S399" s="1148"/>
      <c r="W399" s="1148"/>
      <c r="X399" s="1148"/>
      <c r="AE399" s="1148"/>
      <c r="AF399" s="1148"/>
      <c r="AV399" s="1148"/>
      <c r="AW399" s="1148"/>
      <c r="AX399" s="1148"/>
      <c r="AY399" s="1148"/>
      <c r="AZ399" s="1148"/>
      <c r="BA399" s="1148"/>
      <c r="BC399" s="1148"/>
      <c r="BE399" s="1148"/>
      <c r="BF399" s="1148"/>
      <c r="BG399" s="1148"/>
    </row>
    <row r="400" spans="18:59" x14ac:dyDescent="0.35">
      <c r="R400" s="1148"/>
      <c r="S400" s="1148"/>
      <c r="W400" s="1148"/>
      <c r="X400" s="1148"/>
      <c r="AE400" s="1148"/>
      <c r="AF400" s="1148"/>
      <c r="AV400" s="1148"/>
      <c r="AW400" s="1148"/>
      <c r="AX400" s="1148"/>
      <c r="AY400" s="1148"/>
      <c r="AZ400" s="1148"/>
      <c r="BA400" s="1148"/>
      <c r="BC400" s="1148"/>
      <c r="BE400" s="1148"/>
      <c r="BF400" s="1148"/>
      <c r="BG400" s="1148"/>
    </row>
    <row r="401" spans="18:59" x14ac:dyDescent="0.35">
      <c r="R401" s="1148"/>
      <c r="S401" s="1148"/>
      <c r="W401" s="1148"/>
      <c r="X401" s="1148"/>
      <c r="AE401" s="1148"/>
      <c r="AF401" s="1148"/>
      <c r="AV401" s="1148"/>
      <c r="AW401" s="1148"/>
      <c r="AX401" s="1148"/>
      <c r="AY401" s="1148"/>
      <c r="AZ401" s="1148"/>
      <c r="BA401" s="1148"/>
      <c r="BC401" s="1148"/>
      <c r="BE401" s="1148"/>
      <c r="BF401" s="1148"/>
      <c r="BG401" s="1148"/>
    </row>
    <row r="402" spans="18:59" x14ac:dyDescent="0.35">
      <c r="R402" s="1148"/>
      <c r="S402" s="1148"/>
      <c r="W402" s="1148"/>
      <c r="X402" s="1148"/>
      <c r="AE402" s="1148"/>
      <c r="AF402" s="1148"/>
      <c r="AV402" s="1148"/>
      <c r="AW402" s="1148"/>
      <c r="AX402" s="1148"/>
      <c r="AY402" s="1148"/>
      <c r="AZ402" s="1148"/>
      <c r="BA402" s="1148"/>
      <c r="BC402" s="1148"/>
      <c r="BE402" s="1148"/>
      <c r="BF402" s="1148"/>
      <c r="BG402" s="1148"/>
    </row>
    <row r="403" spans="18:59" x14ac:dyDescent="0.35">
      <c r="R403" s="1148"/>
      <c r="S403" s="1148"/>
      <c r="W403" s="1148"/>
      <c r="X403" s="1148"/>
      <c r="AE403" s="1148"/>
      <c r="AF403" s="1148"/>
      <c r="AV403" s="1148"/>
      <c r="AW403" s="1148"/>
      <c r="AX403" s="1148"/>
      <c r="AY403" s="1148"/>
      <c r="AZ403" s="1148"/>
      <c r="BA403" s="1148"/>
      <c r="BC403" s="1148"/>
      <c r="BE403" s="1148"/>
      <c r="BF403" s="1148"/>
      <c r="BG403" s="1148"/>
    </row>
    <row r="404" spans="18:59" x14ac:dyDescent="0.35">
      <c r="R404" s="1148"/>
      <c r="S404" s="1148"/>
      <c r="W404" s="1148"/>
      <c r="X404" s="1148"/>
      <c r="AE404" s="1148"/>
      <c r="AF404" s="1148"/>
      <c r="AV404" s="1148"/>
      <c r="AW404" s="1148"/>
      <c r="AX404" s="1148"/>
      <c r="AY404" s="1148"/>
      <c r="AZ404" s="1148"/>
      <c r="BA404" s="1148"/>
      <c r="BC404" s="1148"/>
      <c r="BE404" s="1148"/>
      <c r="BF404" s="1148"/>
      <c r="BG404" s="1148"/>
    </row>
    <row r="405" spans="18:59" x14ac:dyDescent="0.35">
      <c r="R405" s="1148"/>
      <c r="S405" s="1148"/>
      <c r="W405" s="1148"/>
      <c r="X405" s="1148"/>
      <c r="AE405" s="1148"/>
      <c r="AF405" s="1148"/>
      <c r="AV405" s="1148"/>
      <c r="AW405" s="1148"/>
      <c r="AX405" s="1148"/>
      <c r="AY405" s="1148"/>
      <c r="AZ405" s="1148"/>
      <c r="BA405" s="1148"/>
      <c r="BC405" s="1148"/>
      <c r="BE405" s="1148"/>
      <c r="BF405" s="1148"/>
      <c r="BG405" s="1148"/>
    </row>
    <row r="406" spans="18:59" x14ac:dyDescent="0.35">
      <c r="R406" s="1148"/>
      <c r="S406" s="1148"/>
      <c r="W406" s="1148"/>
      <c r="X406" s="1148"/>
      <c r="AE406" s="1148"/>
      <c r="AF406" s="1148"/>
      <c r="AV406" s="1148"/>
      <c r="AW406" s="1148"/>
      <c r="AX406" s="1148"/>
      <c r="AY406" s="1148"/>
      <c r="AZ406" s="1148"/>
      <c r="BA406" s="1148"/>
      <c r="BC406" s="1148"/>
      <c r="BE406" s="1148"/>
      <c r="BF406" s="1148"/>
      <c r="BG406" s="1148"/>
    </row>
    <row r="407" spans="18:59" x14ac:dyDescent="0.35">
      <c r="R407" s="1148"/>
      <c r="S407" s="1148"/>
      <c r="W407" s="1148"/>
      <c r="X407" s="1148"/>
      <c r="AE407" s="1148"/>
      <c r="AF407" s="1148"/>
      <c r="AV407" s="1148"/>
      <c r="AW407" s="1148"/>
      <c r="AX407" s="1148"/>
      <c r="AY407" s="1148"/>
      <c r="AZ407" s="1148"/>
      <c r="BA407" s="1148"/>
      <c r="BC407" s="1148"/>
      <c r="BE407" s="1148"/>
      <c r="BF407" s="1148"/>
      <c r="BG407" s="1148"/>
    </row>
    <row r="408" spans="18:59" x14ac:dyDescent="0.35">
      <c r="R408" s="1148"/>
      <c r="S408" s="1148"/>
      <c r="W408" s="1148"/>
      <c r="X408" s="1148"/>
      <c r="AE408" s="1148"/>
      <c r="AF408" s="1148"/>
      <c r="AV408" s="1148"/>
      <c r="AW408" s="1148"/>
      <c r="AX408" s="1148"/>
      <c r="AY408" s="1148"/>
      <c r="AZ408" s="1148"/>
      <c r="BA408" s="1148"/>
      <c r="BC408" s="1148"/>
      <c r="BE408" s="1148"/>
      <c r="BF408" s="1148"/>
      <c r="BG408" s="1148"/>
    </row>
    <row r="409" spans="18:59" x14ac:dyDescent="0.35">
      <c r="R409" s="1148"/>
      <c r="S409" s="1148"/>
      <c r="W409" s="1148"/>
      <c r="X409" s="1148"/>
      <c r="AE409" s="1148"/>
      <c r="AF409" s="1148"/>
      <c r="AV409" s="1148"/>
      <c r="AW409" s="1148"/>
      <c r="AX409" s="1148"/>
      <c r="AY409" s="1148"/>
      <c r="AZ409" s="1148"/>
      <c r="BA409" s="1148"/>
      <c r="BC409" s="1148"/>
      <c r="BE409" s="1148"/>
      <c r="BF409" s="1148"/>
      <c r="BG409" s="1148"/>
    </row>
    <row r="410" spans="18:59" x14ac:dyDescent="0.35">
      <c r="R410" s="1148"/>
      <c r="S410" s="1148"/>
      <c r="W410" s="1148"/>
      <c r="X410" s="1148"/>
      <c r="AE410" s="1148"/>
      <c r="AF410" s="1148"/>
      <c r="AV410" s="1148"/>
      <c r="AW410" s="1148"/>
      <c r="AX410" s="1148"/>
      <c r="AY410" s="1148"/>
      <c r="AZ410" s="1148"/>
      <c r="BA410" s="1148"/>
      <c r="BC410" s="1148"/>
      <c r="BE410" s="1148"/>
      <c r="BF410" s="1148"/>
      <c r="BG410" s="1148"/>
    </row>
    <row r="411" spans="18:59" x14ac:dyDescent="0.35">
      <c r="R411" s="1148"/>
      <c r="S411" s="1148"/>
      <c r="W411" s="1148"/>
      <c r="X411" s="1148"/>
      <c r="AE411" s="1148"/>
      <c r="AF411" s="1148"/>
      <c r="AV411" s="1148"/>
      <c r="AW411" s="1148"/>
      <c r="AX411" s="1148"/>
      <c r="AY411" s="1148"/>
      <c r="AZ411" s="1148"/>
      <c r="BA411" s="1148"/>
      <c r="BC411" s="1148"/>
      <c r="BE411" s="1148"/>
      <c r="BF411" s="1148"/>
      <c r="BG411" s="1148"/>
    </row>
    <row r="412" spans="18:59" x14ac:dyDescent="0.35">
      <c r="R412" s="1148"/>
      <c r="S412" s="1148"/>
      <c r="W412" s="1148"/>
      <c r="X412" s="1148"/>
      <c r="AE412" s="1148"/>
      <c r="AF412" s="1148"/>
      <c r="AV412" s="1148"/>
      <c r="AW412" s="1148"/>
      <c r="AX412" s="1148"/>
      <c r="AY412" s="1148"/>
      <c r="AZ412" s="1148"/>
      <c r="BA412" s="1148"/>
      <c r="BC412" s="1148"/>
      <c r="BE412" s="1148"/>
      <c r="BF412" s="1148"/>
      <c r="BG412" s="1148"/>
    </row>
    <row r="413" spans="18:59" x14ac:dyDescent="0.35">
      <c r="R413" s="1148"/>
      <c r="S413" s="1148"/>
      <c r="W413" s="1148"/>
      <c r="X413" s="1148"/>
      <c r="AE413" s="1148"/>
      <c r="AF413" s="1148"/>
      <c r="AV413" s="1148"/>
      <c r="AW413" s="1148"/>
      <c r="AX413" s="1148"/>
      <c r="AY413" s="1148"/>
      <c r="AZ413" s="1148"/>
      <c r="BA413" s="1148"/>
      <c r="BC413" s="1148"/>
      <c r="BE413" s="1148"/>
      <c r="BF413" s="1148"/>
      <c r="BG413" s="1148"/>
    </row>
    <row r="414" spans="18:59" x14ac:dyDescent="0.35">
      <c r="R414" s="1148"/>
      <c r="S414" s="1148"/>
      <c r="W414" s="1148"/>
      <c r="X414" s="1148"/>
      <c r="AE414" s="1148"/>
      <c r="AF414" s="1148"/>
      <c r="AV414" s="1148"/>
      <c r="AW414" s="1148"/>
      <c r="AX414" s="1148"/>
      <c r="AY414" s="1148"/>
      <c r="AZ414" s="1148"/>
      <c r="BA414" s="1148"/>
      <c r="BC414" s="1148"/>
      <c r="BE414" s="1148"/>
      <c r="BF414" s="1148"/>
      <c r="BG414" s="1148"/>
    </row>
    <row r="415" spans="18:59" x14ac:dyDescent="0.35">
      <c r="R415" s="1148"/>
      <c r="S415" s="1148"/>
      <c r="W415" s="1148"/>
      <c r="X415" s="1148"/>
      <c r="AE415" s="1148"/>
      <c r="AF415" s="1148"/>
      <c r="AV415" s="1148"/>
      <c r="AW415" s="1148"/>
      <c r="AX415" s="1148"/>
      <c r="AY415" s="1148"/>
      <c r="AZ415" s="1148"/>
      <c r="BA415" s="1148"/>
      <c r="BC415" s="1148"/>
      <c r="BE415" s="1148"/>
      <c r="BF415" s="1148"/>
      <c r="BG415" s="1148"/>
    </row>
    <row r="416" spans="18:59" x14ac:dyDescent="0.35">
      <c r="R416" s="1148"/>
      <c r="S416" s="1148"/>
      <c r="W416" s="1148"/>
      <c r="X416" s="1148"/>
      <c r="AE416" s="1148"/>
      <c r="AF416" s="1148"/>
      <c r="AV416" s="1148"/>
      <c r="AW416" s="1148"/>
      <c r="AX416" s="1148"/>
      <c r="AY416" s="1148"/>
      <c r="AZ416" s="1148"/>
      <c r="BA416" s="1148"/>
      <c r="BC416" s="1148"/>
      <c r="BE416" s="1148"/>
      <c r="BF416" s="1148"/>
      <c r="BG416" s="1148"/>
    </row>
    <row r="417" spans="18:59" x14ac:dyDescent="0.35">
      <c r="R417" s="1148"/>
      <c r="S417" s="1148"/>
      <c r="W417" s="1148"/>
      <c r="X417" s="1148"/>
      <c r="AE417" s="1148"/>
      <c r="AF417" s="1148"/>
      <c r="AV417" s="1148"/>
      <c r="AW417" s="1148"/>
      <c r="AX417" s="1148"/>
      <c r="AY417" s="1148"/>
      <c r="AZ417" s="1148"/>
      <c r="BA417" s="1148"/>
      <c r="BC417" s="1148"/>
      <c r="BE417" s="1148"/>
      <c r="BF417" s="1148"/>
      <c r="BG417" s="1148"/>
    </row>
    <row r="418" spans="18:59" x14ac:dyDescent="0.35">
      <c r="R418" s="1148"/>
      <c r="S418" s="1148"/>
      <c r="W418" s="1148"/>
      <c r="X418" s="1148"/>
      <c r="AE418" s="1148"/>
      <c r="AF418" s="1148"/>
      <c r="AV418" s="1148"/>
      <c r="AW418" s="1148"/>
      <c r="AX418" s="1148"/>
      <c r="AY418" s="1148"/>
      <c r="AZ418" s="1148"/>
      <c r="BA418" s="1148"/>
      <c r="BC418" s="1148"/>
      <c r="BE418" s="1148"/>
      <c r="BF418" s="1148"/>
      <c r="BG418" s="1148"/>
    </row>
    <row r="419" spans="18:59" x14ac:dyDescent="0.35">
      <c r="R419" s="1148"/>
      <c r="S419" s="1148"/>
      <c r="W419" s="1148"/>
      <c r="X419" s="1148"/>
      <c r="AE419" s="1148"/>
      <c r="AF419" s="1148"/>
      <c r="AV419" s="1148"/>
      <c r="AW419" s="1148"/>
      <c r="AX419" s="1148"/>
      <c r="AY419" s="1148"/>
      <c r="AZ419" s="1148"/>
      <c r="BA419" s="1148"/>
      <c r="BC419" s="1148"/>
      <c r="BE419" s="1148"/>
      <c r="BF419" s="1148"/>
      <c r="BG419" s="1148"/>
    </row>
    <row r="420" spans="18:59" x14ac:dyDescent="0.35">
      <c r="R420" s="1148"/>
      <c r="S420" s="1148"/>
      <c r="W420" s="1148"/>
      <c r="X420" s="1148"/>
      <c r="AE420" s="1148"/>
      <c r="AF420" s="1148"/>
      <c r="AV420" s="1148"/>
      <c r="AW420" s="1148"/>
      <c r="AX420" s="1148"/>
      <c r="AY420" s="1148"/>
      <c r="AZ420" s="1148"/>
      <c r="BA420" s="1148"/>
      <c r="BC420" s="1148"/>
      <c r="BE420" s="1148"/>
      <c r="BF420" s="1148"/>
      <c r="BG420" s="1148"/>
    </row>
    <row r="421" spans="18:59" x14ac:dyDescent="0.35">
      <c r="R421" s="1148"/>
      <c r="S421" s="1148"/>
      <c r="W421" s="1148"/>
      <c r="X421" s="1148"/>
      <c r="AE421" s="1148"/>
      <c r="AF421" s="1148"/>
      <c r="AV421" s="1148"/>
      <c r="AW421" s="1148"/>
      <c r="AX421" s="1148"/>
      <c r="AY421" s="1148"/>
      <c r="AZ421" s="1148"/>
      <c r="BA421" s="1148"/>
      <c r="BC421" s="1148"/>
      <c r="BE421" s="1148"/>
      <c r="BF421" s="1148"/>
      <c r="BG421" s="1148"/>
    </row>
    <row r="422" spans="18:59" x14ac:dyDescent="0.35">
      <c r="R422" s="1148"/>
      <c r="S422" s="1148"/>
      <c r="W422" s="1148"/>
      <c r="X422" s="1148"/>
      <c r="AE422" s="1148"/>
      <c r="AF422" s="1148"/>
      <c r="AV422" s="1148"/>
      <c r="AW422" s="1148"/>
      <c r="AX422" s="1148"/>
      <c r="AY422" s="1148"/>
      <c r="AZ422" s="1148"/>
      <c r="BA422" s="1148"/>
      <c r="BC422" s="1148"/>
      <c r="BE422" s="1148"/>
      <c r="BF422" s="1148"/>
      <c r="BG422" s="1148"/>
    </row>
    <row r="423" spans="18:59" x14ac:dyDescent="0.35">
      <c r="R423" s="1148"/>
      <c r="S423" s="1148"/>
      <c r="W423" s="1148"/>
      <c r="X423" s="1148"/>
      <c r="AE423" s="1148"/>
      <c r="AF423" s="1148"/>
      <c r="AV423" s="1148"/>
      <c r="AW423" s="1148"/>
      <c r="AX423" s="1148"/>
      <c r="AY423" s="1148"/>
      <c r="AZ423" s="1148"/>
      <c r="BA423" s="1148"/>
      <c r="BC423" s="1148"/>
      <c r="BE423" s="1148"/>
      <c r="BF423" s="1148"/>
      <c r="BG423" s="1148"/>
    </row>
    <row r="424" spans="18:59" x14ac:dyDescent="0.35">
      <c r="R424" s="1148"/>
      <c r="S424" s="1148"/>
      <c r="W424" s="1148"/>
      <c r="X424" s="1148"/>
      <c r="AE424" s="1148"/>
      <c r="AF424" s="1148"/>
      <c r="AV424" s="1148"/>
      <c r="AW424" s="1148"/>
      <c r="AX424" s="1148"/>
      <c r="AY424" s="1148"/>
      <c r="AZ424" s="1148"/>
      <c r="BA424" s="1148"/>
      <c r="BC424" s="1148"/>
      <c r="BE424" s="1148"/>
      <c r="BF424" s="1148"/>
      <c r="BG424" s="1148"/>
    </row>
    <row r="425" spans="18:59" x14ac:dyDescent="0.35">
      <c r="R425" s="1148"/>
      <c r="S425" s="1148"/>
      <c r="W425" s="1148"/>
      <c r="X425" s="1148"/>
      <c r="AE425" s="1148"/>
      <c r="AF425" s="1148"/>
      <c r="AV425" s="1148"/>
      <c r="AW425" s="1148"/>
      <c r="AX425" s="1148"/>
      <c r="AY425" s="1148"/>
      <c r="AZ425" s="1148"/>
      <c r="BA425" s="1148"/>
      <c r="BC425" s="1148"/>
      <c r="BE425" s="1148"/>
      <c r="BF425" s="1148"/>
      <c r="BG425" s="1148"/>
    </row>
    <row r="426" spans="18:59" x14ac:dyDescent="0.35">
      <c r="R426" s="1148"/>
      <c r="S426" s="1148"/>
      <c r="W426" s="1148"/>
      <c r="X426" s="1148"/>
      <c r="AE426" s="1148"/>
      <c r="AF426" s="1148"/>
      <c r="AV426" s="1148"/>
      <c r="AW426" s="1148"/>
      <c r="AX426" s="1148"/>
      <c r="AY426" s="1148"/>
      <c r="AZ426" s="1148"/>
      <c r="BA426" s="1148"/>
      <c r="BC426" s="1148"/>
      <c r="BE426" s="1148"/>
      <c r="BF426" s="1148"/>
      <c r="BG426" s="1148"/>
    </row>
    <row r="427" spans="18:59" x14ac:dyDescent="0.35">
      <c r="R427" s="1148"/>
      <c r="S427" s="1148"/>
      <c r="W427" s="1148"/>
      <c r="X427" s="1148"/>
      <c r="AE427" s="1148"/>
      <c r="AF427" s="1148"/>
      <c r="AV427" s="1148"/>
      <c r="AW427" s="1148"/>
      <c r="AX427" s="1148"/>
      <c r="AY427" s="1148"/>
      <c r="AZ427" s="1148"/>
      <c r="BA427" s="1148"/>
      <c r="BC427" s="1148"/>
      <c r="BE427" s="1148"/>
      <c r="BF427" s="1148"/>
      <c r="BG427" s="1148"/>
    </row>
    <row r="428" spans="18:59" x14ac:dyDescent="0.35">
      <c r="R428" s="1148"/>
      <c r="S428" s="1148"/>
      <c r="W428" s="1148"/>
      <c r="X428" s="1148"/>
      <c r="AE428" s="1148"/>
      <c r="AF428" s="1148"/>
      <c r="AV428" s="1148"/>
      <c r="AW428" s="1148"/>
      <c r="AX428" s="1148"/>
      <c r="AY428" s="1148"/>
      <c r="AZ428" s="1148"/>
      <c r="BA428" s="1148"/>
      <c r="BC428" s="1148"/>
      <c r="BE428" s="1148"/>
      <c r="BF428" s="1148"/>
      <c r="BG428" s="1148"/>
    </row>
    <row r="429" spans="18:59" x14ac:dyDescent="0.35">
      <c r="R429" s="1148"/>
      <c r="S429" s="1148"/>
      <c r="W429" s="1148"/>
      <c r="X429" s="1148"/>
      <c r="AE429" s="1148"/>
      <c r="AF429" s="1148"/>
      <c r="AV429" s="1148"/>
      <c r="AW429" s="1148"/>
      <c r="AX429" s="1148"/>
      <c r="AY429" s="1148"/>
      <c r="AZ429" s="1148"/>
      <c r="BA429" s="1148"/>
      <c r="BC429" s="1148"/>
      <c r="BE429" s="1148"/>
      <c r="BF429" s="1148"/>
      <c r="BG429" s="1148"/>
    </row>
    <row r="430" spans="18:59" x14ac:dyDescent="0.35">
      <c r="R430" s="1148"/>
      <c r="S430" s="1148"/>
      <c r="W430" s="1148"/>
      <c r="X430" s="1148"/>
      <c r="AE430" s="1148"/>
      <c r="AF430" s="1148"/>
      <c r="AV430" s="1148"/>
      <c r="AW430" s="1148"/>
      <c r="AX430" s="1148"/>
      <c r="AY430" s="1148"/>
      <c r="AZ430" s="1148"/>
      <c r="BA430" s="1148"/>
      <c r="BC430" s="1148"/>
      <c r="BE430" s="1148"/>
      <c r="BF430" s="1148"/>
      <c r="BG430" s="1148"/>
    </row>
    <row r="431" spans="18:59" x14ac:dyDescent="0.35">
      <c r="R431" s="1148"/>
      <c r="S431" s="1148"/>
      <c r="W431" s="1148"/>
      <c r="X431" s="1148"/>
      <c r="AE431" s="1148"/>
      <c r="AF431" s="1148"/>
      <c r="AV431" s="1148"/>
      <c r="AW431" s="1148"/>
      <c r="AX431" s="1148"/>
      <c r="AY431" s="1148"/>
      <c r="AZ431" s="1148"/>
      <c r="BA431" s="1148"/>
      <c r="BC431" s="1148"/>
      <c r="BE431" s="1148"/>
      <c r="BF431" s="1148"/>
      <c r="BG431" s="1148"/>
    </row>
    <row r="432" spans="18:59" x14ac:dyDescent="0.35">
      <c r="R432" s="1148"/>
      <c r="S432" s="1148"/>
      <c r="W432" s="1148"/>
      <c r="X432" s="1148"/>
      <c r="AE432" s="1148"/>
      <c r="AF432" s="1148"/>
      <c r="AV432" s="1148"/>
      <c r="AW432" s="1148"/>
      <c r="AX432" s="1148"/>
      <c r="AY432" s="1148"/>
      <c r="AZ432" s="1148"/>
      <c r="BA432" s="1148"/>
      <c r="BC432" s="1148"/>
      <c r="BE432" s="1148"/>
      <c r="BF432" s="1148"/>
      <c r="BG432" s="1148"/>
    </row>
    <row r="433" spans="18:59" x14ac:dyDescent="0.35">
      <c r="R433" s="1148"/>
      <c r="S433" s="1148"/>
      <c r="W433" s="1148"/>
      <c r="X433" s="1148"/>
      <c r="AE433" s="1148"/>
      <c r="AF433" s="1148"/>
      <c r="AV433" s="1148"/>
      <c r="AW433" s="1148"/>
      <c r="AX433" s="1148"/>
      <c r="AY433" s="1148"/>
      <c r="AZ433" s="1148"/>
      <c r="BA433" s="1148"/>
      <c r="BC433" s="1148"/>
      <c r="BE433" s="1148"/>
      <c r="BF433" s="1148"/>
      <c r="BG433" s="1148"/>
    </row>
    <row r="434" spans="18:59" x14ac:dyDescent="0.35">
      <c r="R434" s="1148"/>
      <c r="S434" s="1148"/>
      <c r="W434" s="1148"/>
      <c r="X434" s="1148"/>
      <c r="AE434" s="1148"/>
      <c r="AF434" s="1148"/>
      <c r="AV434" s="1148"/>
      <c r="AW434" s="1148"/>
      <c r="AX434" s="1148"/>
      <c r="AY434" s="1148"/>
      <c r="AZ434" s="1148"/>
      <c r="BA434" s="1148"/>
      <c r="BC434" s="1148"/>
      <c r="BE434" s="1148"/>
      <c r="BF434" s="1148"/>
      <c r="BG434" s="1148"/>
    </row>
    <row r="435" spans="18:59" x14ac:dyDescent="0.35">
      <c r="R435" s="1148"/>
      <c r="S435" s="1148"/>
      <c r="W435" s="1148"/>
      <c r="X435" s="1148"/>
      <c r="AE435" s="1148"/>
      <c r="AF435" s="1148"/>
      <c r="AV435" s="1148"/>
      <c r="AW435" s="1148"/>
      <c r="AX435" s="1148"/>
      <c r="AY435" s="1148"/>
      <c r="AZ435" s="1148"/>
      <c r="BA435" s="1148"/>
      <c r="BC435" s="1148"/>
      <c r="BE435" s="1148"/>
      <c r="BF435" s="1148"/>
      <c r="BG435" s="1148"/>
    </row>
    <row r="436" spans="18:59" x14ac:dyDescent="0.35">
      <c r="R436" s="1148"/>
      <c r="S436" s="1148"/>
      <c r="W436" s="1148"/>
      <c r="X436" s="1148"/>
      <c r="AE436" s="1148"/>
      <c r="AF436" s="1148"/>
      <c r="AV436" s="1148"/>
      <c r="AW436" s="1148"/>
      <c r="AX436" s="1148"/>
      <c r="AY436" s="1148"/>
      <c r="AZ436" s="1148"/>
      <c r="BA436" s="1148"/>
      <c r="BC436" s="1148"/>
      <c r="BE436" s="1148"/>
      <c r="BF436" s="1148"/>
      <c r="BG436" s="1148"/>
    </row>
    <row r="437" spans="18:59" x14ac:dyDescent="0.35">
      <c r="R437" s="1148"/>
      <c r="S437" s="1148"/>
      <c r="W437" s="1148"/>
      <c r="X437" s="1148"/>
      <c r="AE437" s="1148"/>
      <c r="AF437" s="1148"/>
      <c r="AV437" s="1148"/>
      <c r="AW437" s="1148"/>
      <c r="AX437" s="1148"/>
      <c r="AY437" s="1148"/>
      <c r="AZ437" s="1148"/>
      <c r="BA437" s="1148"/>
      <c r="BC437" s="1148"/>
      <c r="BE437" s="1148"/>
      <c r="BF437" s="1148"/>
      <c r="BG437" s="1148"/>
    </row>
    <row r="438" spans="18:59" x14ac:dyDescent="0.35">
      <c r="R438" s="1148"/>
      <c r="S438" s="1148"/>
      <c r="W438" s="1148"/>
      <c r="X438" s="1148"/>
      <c r="AE438" s="1148"/>
      <c r="AF438" s="1148"/>
      <c r="AV438" s="1148"/>
      <c r="AW438" s="1148"/>
      <c r="AX438" s="1148"/>
      <c r="AY438" s="1148"/>
      <c r="AZ438" s="1148"/>
      <c r="BA438" s="1148"/>
      <c r="BC438" s="1148"/>
      <c r="BE438" s="1148"/>
      <c r="BF438" s="1148"/>
      <c r="BG438" s="1148"/>
    </row>
    <row r="439" spans="18:59" x14ac:dyDescent="0.35">
      <c r="R439" s="1148"/>
      <c r="S439" s="1148"/>
      <c r="W439" s="1148"/>
      <c r="X439" s="1148"/>
      <c r="AE439" s="1148"/>
      <c r="AF439" s="1148"/>
      <c r="AV439" s="1148"/>
      <c r="AW439" s="1148"/>
      <c r="AX439" s="1148"/>
      <c r="AY439" s="1148"/>
      <c r="AZ439" s="1148"/>
      <c r="BA439" s="1148"/>
      <c r="BC439" s="1148"/>
      <c r="BE439" s="1148"/>
      <c r="BF439" s="1148"/>
      <c r="BG439" s="1148"/>
    </row>
    <row r="440" spans="18:59" x14ac:dyDescent="0.35">
      <c r="R440" s="1148"/>
      <c r="S440" s="1148"/>
      <c r="W440" s="1148"/>
      <c r="X440" s="1148"/>
      <c r="AE440" s="1148"/>
      <c r="AF440" s="1148"/>
      <c r="AV440" s="1148"/>
      <c r="AW440" s="1148"/>
      <c r="AX440" s="1148"/>
      <c r="AY440" s="1148"/>
      <c r="AZ440" s="1148"/>
      <c r="BA440" s="1148"/>
      <c r="BC440" s="1148"/>
      <c r="BE440" s="1148"/>
      <c r="BF440" s="1148"/>
      <c r="BG440" s="1148"/>
    </row>
    <row r="441" spans="18:59" x14ac:dyDescent="0.35">
      <c r="R441" s="1148"/>
      <c r="S441" s="1148"/>
      <c r="W441" s="1148"/>
      <c r="X441" s="1148"/>
      <c r="AE441" s="1148"/>
      <c r="AF441" s="1148"/>
      <c r="AV441" s="1148"/>
      <c r="AW441" s="1148"/>
      <c r="AX441" s="1148"/>
      <c r="AY441" s="1148"/>
      <c r="AZ441" s="1148"/>
      <c r="BA441" s="1148"/>
      <c r="BC441" s="1148"/>
      <c r="BE441" s="1148"/>
      <c r="BF441" s="1148"/>
      <c r="BG441" s="1148"/>
    </row>
    <row r="442" spans="18:59" x14ac:dyDescent="0.35">
      <c r="R442" s="1148"/>
      <c r="S442" s="1148"/>
      <c r="W442" s="1148"/>
      <c r="X442" s="1148"/>
      <c r="AE442" s="1148"/>
      <c r="AF442" s="1148"/>
      <c r="AV442" s="1148"/>
      <c r="AW442" s="1148"/>
      <c r="AX442" s="1148"/>
      <c r="AY442" s="1148"/>
      <c r="AZ442" s="1148"/>
      <c r="BA442" s="1148"/>
      <c r="BC442" s="1148"/>
      <c r="BE442" s="1148"/>
      <c r="BF442" s="1148"/>
      <c r="BG442" s="1148"/>
    </row>
    <row r="443" spans="18:59" x14ac:dyDescent="0.35">
      <c r="R443" s="1148"/>
      <c r="S443" s="1148"/>
      <c r="W443" s="1148"/>
      <c r="X443" s="1148"/>
      <c r="AE443" s="1148"/>
      <c r="AF443" s="1148"/>
      <c r="AV443" s="1148"/>
      <c r="AW443" s="1148"/>
      <c r="AX443" s="1148"/>
      <c r="AY443" s="1148"/>
      <c r="AZ443" s="1148"/>
      <c r="BA443" s="1148"/>
      <c r="BC443" s="1148"/>
      <c r="BE443" s="1148"/>
      <c r="BF443" s="1148"/>
      <c r="BG443" s="1148"/>
    </row>
    <row r="444" spans="18:59" x14ac:dyDescent="0.35">
      <c r="R444" s="1148"/>
      <c r="S444" s="1148"/>
      <c r="W444" s="1148"/>
      <c r="X444" s="1148"/>
      <c r="AE444" s="1148"/>
      <c r="AF444" s="1148"/>
      <c r="AV444" s="1148"/>
      <c r="AW444" s="1148"/>
      <c r="AX444" s="1148"/>
      <c r="AY444" s="1148"/>
      <c r="AZ444" s="1148"/>
      <c r="BA444" s="1148"/>
      <c r="BC444" s="1148"/>
      <c r="BE444" s="1148"/>
      <c r="BF444" s="1148"/>
      <c r="BG444" s="1148"/>
    </row>
    <row r="445" spans="18:59" x14ac:dyDescent="0.35">
      <c r="R445" s="1148"/>
      <c r="S445" s="1148"/>
      <c r="W445" s="1148"/>
      <c r="X445" s="1148"/>
      <c r="AE445" s="1148"/>
      <c r="AF445" s="1148"/>
      <c r="AV445" s="1148"/>
      <c r="AW445" s="1148"/>
      <c r="AX445" s="1148"/>
      <c r="AY445" s="1148"/>
      <c r="AZ445" s="1148"/>
      <c r="BA445" s="1148"/>
      <c r="BC445" s="1148"/>
      <c r="BE445" s="1148"/>
      <c r="BF445" s="1148"/>
      <c r="BG445" s="1148"/>
    </row>
    <row r="446" spans="18:59" x14ac:dyDescent="0.35">
      <c r="R446" s="1148"/>
      <c r="S446" s="1148"/>
      <c r="W446" s="1148"/>
      <c r="X446" s="1148"/>
      <c r="AE446" s="1148"/>
      <c r="AF446" s="1148"/>
      <c r="AV446" s="1148"/>
      <c r="AW446" s="1148"/>
      <c r="AX446" s="1148"/>
      <c r="AY446" s="1148"/>
      <c r="AZ446" s="1148"/>
      <c r="BA446" s="1148"/>
      <c r="BC446" s="1148"/>
      <c r="BE446" s="1148"/>
      <c r="BF446" s="1148"/>
      <c r="BG446" s="1148"/>
    </row>
    <row r="447" spans="18:59" x14ac:dyDescent="0.35">
      <c r="R447" s="1148"/>
      <c r="S447" s="1148"/>
      <c r="W447" s="1148"/>
      <c r="X447" s="1148"/>
      <c r="AE447" s="1148"/>
      <c r="AF447" s="1148"/>
      <c r="AV447" s="1148"/>
      <c r="AW447" s="1148"/>
      <c r="AX447" s="1148"/>
      <c r="AY447" s="1148"/>
      <c r="AZ447" s="1148"/>
      <c r="BA447" s="1148"/>
      <c r="BC447" s="1148"/>
      <c r="BE447" s="1148"/>
      <c r="BF447" s="1148"/>
      <c r="BG447" s="1148"/>
    </row>
    <row r="448" spans="18:59" x14ac:dyDescent="0.35">
      <c r="R448" s="1148"/>
      <c r="S448" s="1148"/>
      <c r="W448" s="1148"/>
      <c r="X448" s="1148"/>
      <c r="AE448" s="1148"/>
      <c r="AF448" s="1148"/>
      <c r="AV448" s="1148"/>
      <c r="AW448" s="1148"/>
      <c r="AX448" s="1148"/>
      <c r="AY448" s="1148"/>
      <c r="AZ448" s="1148"/>
      <c r="BA448" s="1148"/>
      <c r="BC448" s="1148"/>
      <c r="BE448" s="1148"/>
      <c r="BF448" s="1148"/>
      <c r="BG448" s="1148"/>
    </row>
    <row r="449" spans="18:59" x14ac:dyDescent="0.35">
      <c r="R449" s="1148"/>
      <c r="S449" s="1148"/>
      <c r="W449" s="1148"/>
      <c r="X449" s="1148"/>
      <c r="AE449" s="1148"/>
      <c r="AF449" s="1148"/>
      <c r="AV449" s="1148"/>
      <c r="AW449" s="1148"/>
      <c r="AX449" s="1148"/>
      <c r="AY449" s="1148"/>
      <c r="AZ449" s="1148"/>
      <c r="BA449" s="1148"/>
      <c r="BC449" s="1148"/>
      <c r="BE449" s="1148"/>
      <c r="BF449" s="1148"/>
      <c r="BG449" s="1148"/>
    </row>
    <row r="450" spans="18:59" x14ac:dyDescent="0.35">
      <c r="R450" s="1148"/>
      <c r="S450" s="1148"/>
      <c r="W450" s="1148"/>
      <c r="X450" s="1148"/>
      <c r="AE450" s="1148"/>
      <c r="AF450" s="1148"/>
      <c r="AV450" s="1148"/>
      <c r="AW450" s="1148"/>
      <c r="AX450" s="1148"/>
      <c r="AY450" s="1148"/>
      <c r="AZ450" s="1148"/>
      <c r="BA450" s="1148"/>
      <c r="BC450" s="1148"/>
      <c r="BE450" s="1148"/>
      <c r="BF450" s="1148"/>
      <c r="BG450" s="1148"/>
    </row>
    <row r="451" spans="18:59" x14ac:dyDescent="0.35">
      <c r="R451" s="1148"/>
      <c r="S451" s="1148"/>
      <c r="W451" s="1148"/>
      <c r="X451" s="1148"/>
      <c r="AE451" s="1148"/>
      <c r="AF451" s="1148"/>
      <c r="AV451" s="1148"/>
      <c r="AW451" s="1148"/>
      <c r="AX451" s="1148"/>
      <c r="AY451" s="1148"/>
      <c r="AZ451" s="1148"/>
      <c r="BA451" s="1148"/>
      <c r="BC451" s="1148"/>
      <c r="BE451" s="1148"/>
      <c r="BF451" s="1148"/>
      <c r="BG451" s="1148"/>
    </row>
    <row r="452" spans="18:59" x14ac:dyDescent="0.35">
      <c r="R452" s="1148"/>
      <c r="S452" s="1148"/>
      <c r="W452" s="1148"/>
      <c r="X452" s="1148"/>
      <c r="AE452" s="1148"/>
      <c r="AF452" s="1148"/>
      <c r="AV452" s="1148"/>
      <c r="AW452" s="1148"/>
      <c r="AX452" s="1148"/>
      <c r="AY452" s="1148"/>
      <c r="AZ452" s="1148"/>
      <c r="BA452" s="1148"/>
      <c r="BC452" s="1148"/>
      <c r="BE452" s="1148"/>
      <c r="BF452" s="1148"/>
      <c r="BG452" s="1148"/>
    </row>
    <row r="453" spans="18:59" x14ac:dyDescent="0.35">
      <c r="R453" s="1148"/>
      <c r="S453" s="1148"/>
      <c r="W453" s="1148"/>
      <c r="X453" s="1148"/>
      <c r="AE453" s="1148"/>
      <c r="AF453" s="1148"/>
      <c r="AV453" s="1148"/>
      <c r="AW453" s="1148"/>
      <c r="AX453" s="1148"/>
      <c r="AY453" s="1148"/>
      <c r="AZ453" s="1148"/>
      <c r="BA453" s="1148"/>
      <c r="BC453" s="1148"/>
      <c r="BE453" s="1148"/>
      <c r="BF453" s="1148"/>
      <c r="BG453" s="1148"/>
    </row>
    <row r="454" spans="18:59" x14ac:dyDescent="0.35">
      <c r="R454" s="1148"/>
      <c r="S454" s="1148"/>
      <c r="W454" s="1148"/>
      <c r="X454" s="1148"/>
      <c r="AE454" s="1148"/>
      <c r="AF454" s="1148"/>
      <c r="AV454" s="1148"/>
      <c r="AW454" s="1148"/>
      <c r="AX454" s="1148"/>
      <c r="AY454" s="1148"/>
      <c r="AZ454" s="1148"/>
      <c r="BA454" s="1148"/>
      <c r="BC454" s="1148"/>
      <c r="BE454" s="1148"/>
      <c r="BF454" s="1148"/>
      <c r="BG454" s="1148"/>
    </row>
    <row r="455" spans="18:59" x14ac:dyDescent="0.35">
      <c r="R455" s="1148"/>
      <c r="S455" s="1148"/>
      <c r="W455" s="1148"/>
      <c r="X455" s="1148"/>
      <c r="AE455" s="1148"/>
      <c r="AF455" s="1148"/>
      <c r="AV455" s="1148"/>
      <c r="AW455" s="1148"/>
      <c r="AX455" s="1148"/>
      <c r="AY455" s="1148"/>
      <c r="AZ455" s="1148"/>
      <c r="BA455" s="1148"/>
      <c r="BC455" s="1148"/>
      <c r="BE455" s="1148"/>
      <c r="BF455" s="1148"/>
      <c r="BG455" s="1148"/>
    </row>
    <row r="456" spans="18:59" x14ac:dyDescent="0.35">
      <c r="R456" s="1148"/>
      <c r="S456" s="1148"/>
      <c r="W456" s="1148"/>
      <c r="X456" s="1148"/>
      <c r="AE456" s="1148"/>
      <c r="AF456" s="1148"/>
      <c r="AV456" s="1148"/>
      <c r="AW456" s="1148"/>
      <c r="AX456" s="1148"/>
      <c r="AY456" s="1148"/>
      <c r="AZ456" s="1148"/>
      <c r="BA456" s="1148"/>
      <c r="BC456" s="1148"/>
      <c r="BE456" s="1148"/>
      <c r="BF456" s="1148"/>
      <c r="BG456" s="1148"/>
    </row>
    <row r="457" spans="18:59" x14ac:dyDescent="0.35">
      <c r="R457" s="1148"/>
      <c r="S457" s="1148"/>
      <c r="W457" s="1148"/>
      <c r="X457" s="1148"/>
      <c r="AE457" s="1148"/>
      <c r="AF457" s="1148"/>
      <c r="AV457" s="1148"/>
      <c r="AW457" s="1148"/>
      <c r="AX457" s="1148"/>
      <c r="AY457" s="1148"/>
      <c r="AZ457" s="1148"/>
      <c r="BA457" s="1148"/>
      <c r="BC457" s="1148"/>
      <c r="BE457" s="1148"/>
      <c r="BF457" s="1148"/>
      <c r="BG457" s="1148"/>
    </row>
    <row r="458" spans="18:59" x14ac:dyDescent="0.35">
      <c r="R458" s="1148"/>
      <c r="S458" s="1148"/>
      <c r="W458" s="1148"/>
      <c r="X458" s="1148"/>
      <c r="AE458" s="1148"/>
      <c r="AF458" s="1148"/>
      <c r="AV458" s="1148"/>
      <c r="AW458" s="1148"/>
      <c r="AX458" s="1148"/>
      <c r="AY458" s="1148"/>
      <c r="AZ458" s="1148"/>
      <c r="BA458" s="1148"/>
      <c r="BC458" s="1148"/>
      <c r="BE458" s="1148"/>
      <c r="BF458" s="1148"/>
      <c r="BG458" s="1148"/>
    </row>
    <row r="459" spans="18:59" x14ac:dyDescent="0.35">
      <c r="R459" s="1148"/>
      <c r="S459" s="1148"/>
      <c r="W459" s="1148"/>
      <c r="X459" s="1148"/>
      <c r="AE459" s="1148"/>
      <c r="AF459" s="1148"/>
      <c r="AV459" s="1148"/>
      <c r="AW459" s="1148"/>
      <c r="AX459" s="1148"/>
      <c r="AY459" s="1148"/>
      <c r="AZ459" s="1148"/>
      <c r="BA459" s="1148"/>
      <c r="BC459" s="1148"/>
      <c r="BE459" s="1148"/>
      <c r="BF459" s="1148"/>
      <c r="BG459" s="1148"/>
    </row>
    <row r="460" spans="18:59" x14ac:dyDescent="0.35">
      <c r="R460" s="1148"/>
      <c r="S460" s="1148"/>
      <c r="W460" s="1148"/>
      <c r="X460" s="1148"/>
      <c r="AE460" s="1148"/>
      <c r="AF460" s="1148"/>
      <c r="AV460" s="1148"/>
      <c r="AW460" s="1148"/>
      <c r="AX460" s="1148"/>
      <c r="AY460" s="1148"/>
      <c r="AZ460" s="1148"/>
      <c r="BA460" s="1148"/>
      <c r="BC460" s="1148"/>
      <c r="BE460" s="1148"/>
      <c r="BF460" s="1148"/>
      <c r="BG460" s="1148"/>
    </row>
    <row r="461" spans="18:59" x14ac:dyDescent="0.35">
      <c r="R461" s="1148"/>
      <c r="S461" s="1148"/>
      <c r="W461" s="1148"/>
      <c r="X461" s="1148"/>
      <c r="AE461" s="1148"/>
      <c r="AF461" s="1148"/>
      <c r="AV461" s="1148"/>
      <c r="AW461" s="1148"/>
      <c r="AX461" s="1148"/>
      <c r="AY461" s="1148"/>
      <c r="AZ461" s="1148"/>
      <c r="BA461" s="1148"/>
      <c r="BC461" s="1148"/>
      <c r="BE461" s="1148"/>
      <c r="BF461" s="1148"/>
      <c r="BG461" s="1148"/>
    </row>
    <row r="462" spans="18:59" x14ac:dyDescent="0.35">
      <c r="R462" s="1148"/>
      <c r="S462" s="1148"/>
      <c r="W462" s="1148"/>
      <c r="X462" s="1148"/>
      <c r="AE462" s="1148"/>
      <c r="AF462" s="1148"/>
      <c r="AV462" s="1148"/>
      <c r="AW462" s="1148"/>
      <c r="AX462" s="1148"/>
      <c r="AY462" s="1148"/>
      <c r="AZ462" s="1148"/>
      <c r="BA462" s="1148"/>
      <c r="BC462" s="1148"/>
      <c r="BE462" s="1148"/>
      <c r="BF462" s="1148"/>
      <c r="BG462" s="1148"/>
    </row>
    <row r="463" spans="18:59" x14ac:dyDescent="0.35">
      <c r="R463" s="1148"/>
      <c r="S463" s="1148"/>
      <c r="W463" s="1148"/>
      <c r="X463" s="1148"/>
      <c r="AE463" s="1148"/>
      <c r="AF463" s="1148"/>
      <c r="AV463" s="1148"/>
      <c r="AW463" s="1148"/>
      <c r="AX463" s="1148"/>
      <c r="AY463" s="1148"/>
      <c r="AZ463" s="1148"/>
      <c r="BA463" s="1148"/>
      <c r="BC463" s="1148"/>
      <c r="BE463" s="1148"/>
      <c r="BF463" s="1148"/>
      <c r="BG463" s="1148"/>
    </row>
    <row r="464" spans="18:59" x14ac:dyDescent="0.35">
      <c r="R464" s="1148"/>
      <c r="S464" s="1148"/>
      <c r="W464" s="1148"/>
      <c r="X464" s="1148"/>
      <c r="AE464" s="1148"/>
      <c r="AF464" s="1148"/>
      <c r="AV464" s="1148"/>
      <c r="AW464" s="1148"/>
      <c r="AX464" s="1148"/>
      <c r="AY464" s="1148"/>
      <c r="AZ464" s="1148"/>
      <c r="BA464" s="1148"/>
      <c r="BC464" s="1148"/>
      <c r="BE464" s="1148"/>
      <c r="BF464" s="1148"/>
      <c r="BG464" s="1148"/>
    </row>
    <row r="465" spans="18:59" x14ac:dyDescent="0.35">
      <c r="R465" s="1148"/>
      <c r="S465" s="1148"/>
      <c r="W465" s="1148"/>
      <c r="X465" s="1148"/>
      <c r="AE465" s="1148"/>
      <c r="AF465" s="1148"/>
      <c r="AV465" s="1148"/>
      <c r="AW465" s="1148"/>
      <c r="AX465" s="1148"/>
      <c r="AY465" s="1148"/>
      <c r="AZ465" s="1148"/>
      <c r="BA465" s="1148"/>
      <c r="BC465" s="1148"/>
      <c r="BE465" s="1148"/>
      <c r="BF465" s="1148"/>
      <c r="BG465" s="1148"/>
    </row>
    <row r="466" spans="18:59" x14ac:dyDescent="0.35">
      <c r="R466" s="1148"/>
      <c r="S466" s="1148"/>
      <c r="W466" s="1148"/>
      <c r="X466" s="1148"/>
      <c r="AE466" s="1148"/>
      <c r="AF466" s="1148"/>
      <c r="AV466" s="1148"/>
      <c r="AW466" s="1148"/>
      <c r="AX466" s="1148"/>
      <c r="AY466" s="1148"/>
      <c r="AZ466" s="1148"/>
      <c r="BA466" s="1148"/>
      <c r="BC466" s="1148"/>
      <c r="BE466" s="1148"/>
      <c r="BF466" s="1148"/>
      <c r="BG466" s="1148"/>
    </row>
    <row r="467" spans="18:59" x14ac:dyDescent="0.35">
      <c r="R467" s="1148"/>
      <c r="S467" s="1148"/>
      <c r="W467" s="1148"/>
      <c r="X467" s="1148"/>
      <c r="AE467" s="1148"/>
      <c r="AF467" s="1148"/>
      <c r="AV467" s="1148"/>
      <c r="AW467" s="1148"/>
      <c r="AX467" s="1148"/>
      <c r="AY467" s="1148"/>
      <c r="AZ467" s="1148"/>
      <c r="BA467" s="1148"/>
      <c r="BC467" s="1148"/>
      <c r="BE467" s="1148"/>
      <c r="BF467" s="1148"/>
      <c r="BG467" s="1148"/>
    </row>
    <row r="468" spans="18:59" x14ac:dyDescent="0.35">
      <c r="R468" s="1148"/>
      <c r="S468" s="1148"/>
      <c r="W468" s="1148"/>
      <c r="X468" s="1148"/>
      <c r="AE468" s="1148"/>
      <c r="AF468" s="1148"/>
      <c r="AV468" s="1148"/>
      <c r="AW468" s="1148"/>
      <c r="AX468" s="1148"/>
      <c r="AY468" s="1148"/>
      <c r="AZ468" s="1148"/>
      <c r="BA468" s="1148"/>
      <c r="BC468" s="1148"/>
      <c r="BE468" s="1148"/>
      <c r="BF468" s="1148"/>
      <c r="BG468" s="1148"/>
    </row>
    <row r="469" spans="18:59" x14ac:dyDescent="0.35">
      <c r="R469" s="1148"/>
      <c r="S469" s="1148"/>
      <c r="W469" s="1148"/>
      <c r="X469" s="1148"/>
      <c r="AE469" s="1148"/>
      <c r="AF469" s="1148"/>
      <c r="AV469" s="1148"/>
      <c r="AW469" s="1148"/>
      <c r="AX469" s="1148"/>
      <c r="AY469" s="1148"/>
      <c r="AZ469" s="1148"/>
      <c r="BA469" s="1148"/>
      <c r="BC469" s="1148"/>
      <c r="BE469" s="1148"/>
      <c r="BF469" s="1148"/>
      <c r="BG469" s="1148"/>
    </row>
    <row r="470" spans="18:59" x14ac:dyDescent="0.35">
      <c r="R470" s="1148"/>
      <c r="S470" s="1148"/>
      <c r="W470" s="1148"/>
      <c r="X470" s="1148"/>
      <c r="AE470" s="1148"/>
      <c r="AF470" s="1148"/>
      <c r="AV470" s="1148"/>
      <c r="AW470" s="1148"/>
      <c r="AX470" s="1148"/>
      <c r="AY470" s="1148"/>
      <c r="AZ470" s="1148"/>
      <c r="BA470" s="1148"/>
      <c r="BC470" s="1148"/>
      <c r="BE470" s="1148"/>
      <c r="BF470" s="1148"/>
      <c r="BG470" s="1148"/>
    </row>
    <row r="471" spans="18:59" x14ac:dyDescent="0.35">
      <c r="R471" s="1148"/>
      <c r="S471" s="1148"/>
      <c r="W471" s="1148"/>
      <c r="X471" s="1148"/>
      <c r="AE471" s="1148"/>
      <c r="AF471" s="1148"/>
      <c r="AV471" s="1148"/>
      <c r="AW471" s="1148"/>
      <c r="AX471" s="1148"/>
      <c r="AY471" s="1148"/>
      <c r="AZ471" s="1148"/>
      <c r="BA471" s="1148"/>
      <c r="BC471" s="1148"/>
      <c r="BE471" s="1148"/>
      <c r="BF471" s="1148"/>
      <c r="BG471" s="1148"/>
    </row>
    <row r="472" spans="18:59" x14ac:dyDescent="0.35">
      <c r="R472" s="1148"/>
      <c r="S472" s="1148"/>
      <c r="W472" s="1148"/>
      <c r="X472" s="1148"/>
      <c r="AE472" s="1148"/>
      <c r="AF472" s="1148"/>
      <c r="AV472" s="1148"/>
      <c r="AW472" s="1148"/>
      <c r="AX472" s="1148"/>
      <c r="AY472" s="1148"/>
      <c r="AZ472" s="1148"/>
      <c r="BA472" s="1148"/>
      <c r="BC472" s="1148"/>
      <c r="BE472" s="1148"/>
      <c r="BF472" s="1148"/>
      <c r="BG472" s="1148"/>
    </row>
    <row r="473" spans="18:59" x14ac:dyDescent="0.35">
      <c r="R473" s="1148"/>
      <c r="S473" s="1148"/>
      <c r="W473" s="1148"/>
      <c r="X473" s="1148"/>
      <c r="AE473" s="1148"/>
      <c r="AF473" s="1148"/>
      <c r="AV473" s="1148"/>
      <c r="AW473" s="1148"/>
      <c r="AX473" s="1148"/>
      <c r="AY473" s="1148"/>
      <c r="AZ473" s="1148"/>
      <c r="BA473" s="1148"/>
      <c r="BC473" s="1148"/>
      <c r="BE473" s="1148"/>
      <c r="BF473" s="1148"/>
      <c r="BG473" s="1148"/>
    </row>
    <row r="474" spans="18:59" x14ac:dyDescent="0.35">
      <c r="R474" s="1148"/>
      <c r="S474" s="1148"/>
      <c r="W474" s="1148"/>
      <c r="X474" s="1148"/>
      <c r="AE474" s="1148"/>
      <c r="AF474" s="1148"/>
      <c r="AV474" s="1148"/>
      <c r="AW474" s="1148"/>
      <c r="AX474" s="1148"/>
      <c r="AY474" s="1148"/>
      <c r="AZ474" s="1148"/>
      <c r="BA474" s="1148"/>
      <c r="BC474" s="1148"/>
      <c r="BE474" s="1148"/>
      <c r="BF474" s="1148"/>
      <c r="BG474" s="1148"/>
    </row>
    <row r="475" spans="18:59" x14ac:dyDescent="0.35">
      <c r="R475" s="1148"/>
      <c r="S475" s="1148"/>
      <c r="W475" s="1148"/>
      <c r="X475" s="1148"/>
      <c r="AE475" s="1148"/>
      <c r="AF475" s="1148"/>
      <c r="AV475" s="1148"/>
      <c r="AW475" s="1148"/>
      <c r="AX475" s="1148"/>
      <c r="AY475" s="1148"/>
      <c r="AZ475" s="1148"/>
      <c r="BA475" s="1148"/>
      <c r="BC475" s="1148"/>
      <c r="BE475" s="1148"/>
      <c r="BF475" s="1148"/>
      <c r="BG475" s="1148"/>
    </row>
    <row r="476" spans="18:59" x14ac:dyDescent="0.35">
      <c r="R476" s="1148"/>
      <c r="S476" s="1148"/>
      <c r="W476" s="1148"/>
      <c r="X476" s="1148"/>
      <c r="AE476" s="1148"/>
      <c r="AF476" s="1148"/>
      <c r="AV476" s="1148"/>
      <c r="AW476" s="1148"/>
      <c r="AX476" s="1148"/>
      <c r="AY476" s="1148"/>
      <c r="AZ476" s="1148"/>
      <c r="BA476" s="1148"/>
      <c r="BC476" s="1148"/>
      <c r="BE476" s="1148"/>
      <c r="BF476" s="1148"/>
      <c r="BG476" s="1148"/>
    </row>
    <row r="477" spans="18:59" x14ac:dyDescent="0.35">
      <c r="R477" s="1148"/>
      <c r="S477" s="1148"/>
      <c r="W477" s="1148"/>
      <c r="X477" s="1148"/>
      <c r="AE477" s="1148"/>
      <c r="AF477" s="1148"/>
      <c r="AV477" s="1148"/>
      <c r="AW477" s="1148"/>
      <c r="AX477" s="1148"/>
      <c r="AY477" s="1148"/>
      <c r="AZ477" s="1148"/>
      <c r="BA477" s="1148"/>
      <c r="BC477" s="1148"/>
      <c r="BE477" s="1148"/>
      <c r="BF477" s="1148"/>
      <c r="BG477" s="1148"/>
    </row>
    <row r="478" spans="18:59" x14ac:dyDescent="0.35">
      <c r="R478" s="1148"/>
      <c r="S478" s="1148"/>
      <c r="W478" s="1148"/>
      <c r="X478" s="1148"/>
      <c r="AE478" s="1148"/>
      <c r="AF478" s="1148"/>
      <c r="AV478" s="1148"/>
      <c r="AW478" s="1148"/>
      <c r="AX478" s="1148"/>
      <c r="AY478" s="1148"/>
      <c r="AZ478" s="1148"/>
      <c r="BA478" s="1148"/>
      <c r="BC478" s="1148"/>
      <c r="BE478" s="1148"/>
      <c r="BF478" s="1148"/>
      <c r="BG478" s="1148"/>
    </row>
    <row r="479" spans="18:59" x14ac:dyDescent="0.35">
      <c r="R479" s="1148"/>
      <c r="S479" s="1148"/>
      <c r="W479" s="1148"/>
      <c r="X479" s="1148"/>
      <c r="AE479" s="1148"/>
      <c r="AF479" s="1148"/>
      <c r="AV479" s="1148"/>
      <c r="AW479" s="1148"/>
      <c r="AX479" s="1148"/>
      <c r="AY479" s="1148"/>
      <c r="AZ479" s="1148"/>
      <c r="BA479" s="1148"/>
      <c r="BC479" s="1148"/>
      <c r="BE479" s="1148"/>
      <c r="BF479" s="1148"/>
      <c r="BG479" s="1148"/>
    </row>
    <row r="480" spans="18:59" x14ac:dyDescent="0.35">
      <c r="R480" s="1148"/>
      <c r="S480" s="1148"/>
      <c r="W480" s="1148"/>
      <c r="X480" s="1148"/>
      <c r="AE480" s="1148"/>
      <c r="AF480" s="1148"/>
      <c r="AV480" s="1148"/>
      <c r="AW480" s="1148"/>
      <c r="AX480" s="1148"/>
      <c r="AY480" s="1148"/>
      <c r="AZ480" s="1148"/>
      <c r="BA480" s="1148"/>
      <c r="BC480" s="1148"/>
      <c r="BE480" s="1148"/>
      <c r="BF480" s="1148"/>
      <c r="BG480" s="1148"/>
    </row>
    <row r="481" spans="18:59" x14ac:dyDescent="0.35">
      <c r="R481" s="1148"/>
      <c r="S481" s="1148"/>
      <c r="W481" s="1148"/>
      <c r="X481" s="1148"/>
      <c r="AE481" s="1148"/>
      <c r="AF481" s="1148"/>
      <c r="AV481" s="1148"/>
      <c r="AW481" s="1148"/>
      <c r="AX481" s="1148"/>
      <c r="AY481" s="1148"/>
      <c r="AZ481" s="1148"/>
      <c r="BA481" s="1148"/>
      <c r="BC481" s="1148"/>
      <c r="BE481" s="1148"/>
      <c r="BF481" s="1148"/>
      <c r="BG481" s="1148"/>
    </row>
    <row r="482" spans="18:59" x14ac:dyDescent="0.35">
      <c r="R482" s="1148"/>
      <c r="S482" s="1148"/>
      <c r="W482" s="1148"/>
      <c r="X482" s="1148"/>
      <c r="AE482" s="1148"/>
      <c r="AF482" s="1148"/>
      <c r="AV482" s="1148"/>
      <c r="AW482" s="1148"/>
      <c r="AX482" s="1148"/>
      <c r="AY482" s="1148"/>
      <c r="AZ482" s="1148"/>
      <c r="BA482" s="1148"/>
      <c r="BC482" s="1148"/>
      <c r="BE482" s="1148"/>
      <c r="BF482" s="1148"/>
      <c r="BG482" s="1148"/>
    </row>
    <row r="483" spans="18:59" x14ac:dyDescent="0.35">
      <c r="R483" s="1148"/>
      <c r="S483" s="1148"/>
      <c r="W483" s="1148"/>
      <c r="X483" s="1148"/>
      <c r="AE483" s="1148"/>
      <c r="AF483" s="1148"/>
      <c r="AV483" s="1148"/>
      <c r="AW483" s="1148"/>
      <c r="AX483" s="1148"/>
      <c r="AY483" s="1148"/>
      <c r="AZ483" s="1148"/>
      <c r="BA483" s="1148"/>
      <c r="BC483" s="1148"/>
      <c r="BE483" s="1148"/>
      <c r="BF483" s="1148"/>
      <c r="BG483" s="1148"/>
    </row>
    <row r="484" spans="18:59" x14ac:dyDescent="0.35">
      <c r="R484" s="1148"/>
      <c r="S484" s="1148"/>
      <c r="W484" s="1148"/>
      <c r="X484" s="1148"/>
      <c r="AE484" s="1148"/>
      <c r="AF484" s="1148"/>
      <c r="AV484" s="1148"/>
      <c r="AW484" s="1148"/>
      <c r="AX484" s="1148"/>
      <c r="AY484" s="1148"/>
      <c r="AZ484" s="1148"/>
      <c r="BA484" s="1148"/>
      <c r="BC484" s="1148"/>
      <c r="BE484" s="1148"/>
      <c r="BF484" s="1148"/>
      <c r="BG484" s="1148"/>
    </row>
    <row r="485" spans="18:59" x14ac:dyDescent="0.35">
      <c r="R485" s="1148"/>
      <c r="S485" s="1148"/>
      <c r="W485" s="1148"/>
      <c r="X485" s="1148"/>
      <c r="AE485" s="1148"/>
      <c r="AF485" s="1148"/>
      <c r="AV485" s="1148"/>
      <c r="AW485" s="1148"/>
      <c r="AX485" s="1148"/>
      <c r="AY485" s="1148"/>
      <c r="AZ485" s="1148"/>
      <c r="BA485" s="1148"/>
      <c r="BC485" s="1148"/>
      <c r="BE485" s="1148"/>
      <c r="BF485" s="1148"/>
      <c r="BG485" s="1148"/>
    </row>
    <row r="486" spans="18:59" x14ac:dyDescent="0.35">
      <c r="R486" s="1148"/>
      <c r="S486" s="1148"/>
      <c r="W486" s="1148"/>
      <c r="X486" s="1148"/>
      <c r="AE486" s="1148"/>
      <c r="AF486" s="1148"/>
      <c r="AV486" s="1148"/>
      <c r="AW486" s="1148"/>
      <c r="AX486" s="1148"/>
      <c r="AY486" s="1148"/>
      <c r="AZ486" s="1148"/>
      <c r="BA486" s="1148"/>
      <c r="BC486" s="1148"/>
      <c r="BE486" s="1148"/>
      <c r="BF486" s="1148"/>
      <c r="BG486" s="1148"/>
    </row>
    <row r="487" spans="18:59" x14ac:dyDescent="0.35">
      <c r="R487" s="1148"/>
      <c r="S487" s="1148"/>
      <c r="W487" s="1148"/>
      <c r="X487" s="1148"/>
      <c r="AE487" s="1148"/>
      <c r="AF487" s="1148"/>
      <c r="AV487" s="1148"/>
      <c r="AW487" s="1148"/>
      <c r="AX487" s="1148"/>
      <c r="AY487" s="1148"/>
      <c r="AZ487" s="1148"/>
      <c r="BA487" s="1148"/>
      <c r="BC487" s="1148"/>
      <c r="BE487" s="1148"/>
      <c r="BF487" s="1148"/>
      <c r="BG487" s="1148"/>
    </row>
    <row r="488" spans="18:59" x14ac:dyDescent="0.35">
      <c r="R488" s="1148"/>
      <c r="S488" s="1148"/>
      <c r="W488" s="1148"/>
      <c r="X488" s="1148"/>
      <c r="AE488" s="1148"/>
      <c r="AF488" s="1148"/>
      <c r="AV488" s="1148"/>
      <c r="AW488" s="1148"/>
      <c r="AX488" s="1148"/>
      <c r="AY488" s="1148"/>
      <c r="AZ488" s="1148"/>
      <c r="BA488" s="1148"/>
      <c r="BC488" s="1148"/>
      <c r="BE488" s="1148"/>
      <c r="BF488" s="1148"/>
      <c r="BG488" s="1148"/>
    </row>
    <row r="489" spans="18:59" x14ac:dyDescent="0.35">
      <c r="R489" s="1148"/>
      <c r="S489" s="1148"/>
      <c r="W489" s="1148"/>
      <c r="X489" s="1148"/>
      <c r="AE489" s="1148"/>
      <c r="AF489" s="1148"/>
      <c r="AV489" s="1148"/>
      <c r="AW489" s="1148"/>
      <c r="AX489" s="1148"/>
      <c r="AY489" s="1148"/>
      <c r="AZ489" s="1148"/>
      <c r="BA489" s="1148"/>
      <c r="BC489" s="1148"/>
      <c r="BE489" s="1148"/>
      <c r="BF489" s="1148"/>
      <c r="BG489" s="1148"/>
    </row>
    <row r="490" spans="18:59" x14ac:dyDescent="0.35">
      <c r="R490" s="1148"/>
      <c r="S490" s="1148"/>
      <c r="W490" s="1148"/>
      <c r="X490" s="1148"/>
      <c r="AE490" s="1148"/>
      <c r="AF490" s="1148"/>
      <c r="AV490" s="1148"/>
      <c r="AW490" s="1148"/>
      <c r="AX490" s="1148"/>
      <c r="AY490" s="1148"/>
      <c r="AZ490" s="1148"/>
      <c r="BA490" s="1148"/>
      <c r="BC490" s="1148"/>
      <c r="BE490" s="1148"/>
      <c r="BF490" s="1148"/>
      <c r="BG490" s="1148"/>
    </row>
    <row r="491" spans="18:59" x14ac:dyDescent="0.35">
      <c r="R491" s="1148"/>
      <c r="S491" s="1148"/>
      <c r="W491" s="1148"/>
      <c r="X491" s="1148"/>
      <c r="AE491" s="1148"/>
      <c r="AF491" s="1148"/>
      <c r="AV491" s="1148"/>
      <c r="AW491" s="1148"/>
      <c r="AX491" s="1148"/>
      <c r="AY491" s="1148"/>
      <c r="AZ491" s="1148"/>
      <c r="BA491" s="1148"/>
      <c r="BC491" s="1148"/>
      <c r="BE491" s="1148"/>
      <c r="BF491" s="1148"/>
      <c r="BG491" s="1148"/>
    </row>
    <row r="492" spans="18:59" x14ac:dyDescent="0.35">
      <c r="R492" s="1148"/>
      <c r="S492" s="1148"/>
      <c r="W492" s="1148"/>
      <c r="X492" s="1148"/>
      <c r="AE492" s="1148"/>
      <c r="AF492" s="1148"/>
      <c r="AV492" s="1148"/>
      <c r="AW492" s="1148"/>
      <c r="AX492" s="1148"/>
      <c r="AY492" s="1148"/>
      <c r="AZ492" s="1148"/>
      <c r="BA492" s="1148"/>
      <c r="BC492" s="1148"/>
      <c r="BE492" s="1148"/>
      <c r="BF492" s="1148"/>
      <c r="BG492" s="1148"/>
    </row>
    <row r="493" spans="18:59" x14ac:dyDescent="0.35">
      <c r="R493" s="1148"/>
      <c r="S493" s="1148"/>
      <c r="W493" s="1148"/>
      <c r="X493" s="1148"/>
      <c r="AE493" s="1148"/>
      <c r="AF493" s="1148"/>
      <c r="AV493" s="1148"/>
      <c r="AW493" s="1148"/>
      <c r="AX493" s="1148"/>
      <c r="AY493" s="1148"/>
      <c r="AZ493" s="1148"/>
      <c r="BA493" s="1148"/>
      <c r="BC493" s="1148"/>
      <c r="BE493" s="1148"/>
      <c r="BF493" s="1148"/>
      <c r="BG493" s="1148"/>
    </row>
    <row r="494" spans="18:59" x14ac:dyDescent="0.35">
      <c r="R494" s="1148"/>
      <c r="S494" s="1148"/>
      <c r="W494" s="1148"/>
      <c r="X494" s="1148"/>
      <c r="AE494" s="1148"/>
      <c r="AF494" s="1148"/>
      <c r="AV494" s="1148"/>
      <c r="AW494" s="1148"/>
      <c r="AX494" s="1148"/>
      <c r="AY494" s="1148"/>
      <c r="AZ494" s="1148"/>
      <c r="BA494" s="1148"/>
      <c r="BC494" s="1148"/>
      <c r="BE494" s="1148"/>
      <c r="BF494" s="1148"/>
      <c r="BG494" s="1148"/>
    </row>
    <row r="495" spans="18:59" x14ac:dyDescent="0.35">
      <c r="R495" s="1148"/>
      <c r="S495" s="1148"/>
      <c r="W495" s="1148"/>
      <c r="X495" s="1148"/>
      <c r="AE495" s="1148"/>
      <c r="AF495" s="1148"/>
      <c r="AV495" s="1148"/>
      <c r="AW495" s="1148"/>
      <c r="AX495" s="1148"/>
      <c r="AY495" s="1148"/>
      <c r="AZ495" s="1148"/>
      <c r="BA495" s="1148"/>
      <c r="BC495" s="1148"/>
      <c r="BE495" s="1148"/>
      <c r="BF495" s="1148"/>
      <c r="BG495" s="1148"/>
    </row>
    <row r="496" spans="18:59" x14ac:dyDescent="0.35">
      <c r="R496" s="1148"/>
      <c r="S496" s="1148"/>
      <c r="W496" s="1148"/>
      <c r="X496" s="1148"/>
      <c r="AE496" s="1148"/>
      <c r="AF496" s="1148"/>
      <c r="AV496" s="1148"/>
      <c r="AW496" s="1148"/>
      <c r="AX496" s="1148"/>
      <c r="AY496" s="1148"/>
      <c r="AZ496" s="1148"/>
      <c r="BA496" s="1148"/>
      <c r="BC496" s="1148"/>
      <c r="BE496" s="1148"/>
      <c r="BF496" s="1148"/>
      <c r="BG496" s="1148"/>
    </row>
    <row r="497" spans="18:59" x14ac:dyDescent="0.35">
      <c r="R497" s="1148"/>
      <c r="S497" s="1148"/>
      <c r="W497" s="1148"/>
      <c r="X497" s="1148"/>
      <c r="AE497" s="1148"/>
      <c r="AF497" s="1148"/>
      <c r="AV497" s="1148"/>
      <c r="AW497" s="1148"/>
      <c r="AX497" s="1148"/>
      <c r="AY497" s="1148"/>
      <c r="AZ497" s="1148"/>
      <c r="BA497" s="1148"/>
      <c r="BC497" s="1148"/>
      <c r="BE497" s="1148"/>
      <c r="BF497" s="1148"/>
      <c r="BG497" s="1148"/>
    </row>
    <row r="498" spans="18:59" x14ac:dyDescent="0.35">
      <c r="R498" s="1148"/>
      <c r="S498" s="1148"/>
      <c r="W498" s="1148"/>
      <c r="X498" s="1148"/>
      <c r="AE498" s="1148"/>
      <c r="AF498" s="1148"/>
      <c r="AV498" s="1148"/>
      <c r="AW498" s="1148"/>
      <c r="AX498" s="1148"/>
      <c r="AY498" s="1148"/>
      <c r="AZ498" s="1148"/>
      <c r="BA498" s="1148"/>
      <c r="BC498" s="1148"/>
      <c r="BE498" s="1148"/>
      <c r="BF498" s="1148"/>
      <c r="BG498" s="1148"/>
    </row>
    <row r="499" spans="18:59" x14ac:dyDescent="0.35">
      <c r="R499" s="1148"/>
      <c r="S499" s="1148"/>
      <c r="W499" s="1148"/>
      <c r="X499" s="1148"/>
      <c r="AE499" s="1148"/>
      <c r="AF499" s="1148"/>
      <c r="AV499" s="1148"/>
      <c r="AW499" s="1148"/>
      <c r="AX499" s="1148"/>
      <c r="AY499" s="1148"/>
      <c r="AZ499" s="1148"/>
      <c r="BA499" s="1148"/>
      <c r="BC499" s="1148"/>
      <c r="BE499" s="1148"/>
      <c r="BF499" s="1148"/>
      <c r="BG499" s="1148"/>
    </row>
    <row r="500" spans="18:59" x14ac:dyDescent="0.35">
      <c r="R500" s="1148"/>
      <c r="S500" s="1148"/>
      <c r="W500" s="1148"/>
      <c r="X500" s="1148"/>
      <c r="AE500" s="1148"/>
      <c r="AF500" s="1148"/>
      <c r="AV500" s="1148"/>
      <c r="AW500" s="1148"/>
      <c r="AX500" s="1148"/>
      <c r="AY500" s="1148"/>
      <c r="AZ500" s="1148"/>
      <c r="BA500" s="1148"/>
      <c r="BC500" s="1148"/>
      <c r="BE500" s="1148"/>
      <c r="BF500" s="1148"/>
      <c r="BG500" s="1148"/>
    </row>
    <row r="501" spans="18:59" x14ac:dyDescent="0.35">
      <c r="R501" s="1148"/>
      <c r="S501" s="1148"/>
      <c r="W501" s="1148"/>
      <c r="X501" s="1148"/>
      <c r="AE501" s="1148"/>
      <c r="AF501" s="1148"/>
      <c r="AV501" s="1148"/>
      <c r="AW501" s="1148"/>
      <c r="AX501" s="1148"/>
      <c r="AY501" s="1148"/>
      <c r="AZ501" s="1148"/>
      <c r="BA501" s="1148"/>
      <c r="BC501" s="1148"/>
      <c r="BE501" s="1148"/>
      <c r="BF501" s="1148"/>
      <c r="BG501" s="1148"/>
    </row>
    <row r="502" spans="18:59" x14ac:dyDescent="0.35">
      <c r="R502" s="1148"/>
      <c r="S502" s="1148"/>
      <c r="W502" s="1148"/>
      <c r="X502" s="1148"/>
      <c r="AE502" s="1148"/>
      <c r="AF502" s="1148"/>
      <c r="AV502" s="1148"/>
      <c r="AW502" s="1148"/>
      <c r="AX502" s="1148"/>
      <c r="AY502" s="1148"/>
      <c r="AZ502" s="1148"/>
      <c r="BA502" s="1148"/>
      <c r="BC502" s="1148"/>
      <c r="BE502" s="1148"/>
      <c r="BF502" s="1148"/>
      <c r="BG502" s="114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53" t="s">
        <v>794</v>
      </c>
      <c r="B1" s="1153"/>
      <c r="C1" s="1153"/>
      <c r="D1" s="1153"/>
    </row>
    <row r="2" spans="1:22" x14ac:dyDescent="0.35">
      <c r="A2" t="s">
        <v>795</v>
      </c>
      <c r="B2" s="85">
        <v>2021</v>
      </c>
      <c r="C2" s="85">
        <v>2021</v>
      </c>
      <c r="D2" s="85">
        <v>2021</v>
      </c>
      <c r="E2" s="85">
        <v>2022</v>
      </c>
      <c r="F2" s="85">
        <v>2022</v>
      </c>
      <c r="G2" s="85">
        <v>2022</v>
      </c>
      <c r="H2" s="85">
        <v>2022</v>
      </c>
      <c r="I2" s="85">
        <v>2023</v>
      </c>
      <c r="J2" s="85">
        <v>2023</v>
      </c>
      <c r="K2" s="85">
        <v>2023</v>
      </c>
      <c r="L2" s="85">
        <v>2023</v>
      </c>
      <c r="M2" s="85">
        <v>2024</v>
      </c>
      <c r="N2" s="85">
        <v>2024</v>
      </c>
      <c r="O2" s="85">
        <v>2024</v>
      </c>
      <c r="P2" s="85">
        <v>2024</v>
      </c>
      <c r="Q2" s="85">
        <v>2025</v>
      </c>
      <c r="R2" s="85">
        <v>2025</v>
      </c>
      <c r="S2" s="85">
        <v>2025</v>
      </c>
      <c r="T2" s="85">
        <v>2025</v>
      </c>
      <c r="U2" s="85">
        <v>2026</v>
      </c>
    </row>
    <row r="3" spans="1:22" x14ac:dyDescent="0.35">
      <c r="A3" s="1125" t="s">
        <v>796</v>
      </c>
      <c r="B3" s="1151" t="s">
        <v>797</v>
      </c>
      <c r="C3" s="1151" t="s">
        <v>798</v>
      </c>
      <c r="D3" s="1151" t="s">
        <v>799</v>
      </c>
      <c r="E3" s="1151" t="s">
        <v>800</v>
      </c>
      <c r="F3" s="1151" t="s">
        <v>801</v>
      </c>
      <c r="G3" s="1151" t="s">
        <v>802</v>
      </c>
      <c r="H3" s="1151" t="s">
        <v>803</v>
      </c>
      <c r="I3" s="1151" t="s">
        <v>804</v>
      </c>
      <c r="J3" s="1151" t="s">
        <v>805</v>
      </c>
      <c r="K3" s="1151" t="s">
        <v>806</v>
      </c>
      <c r="L3" s="1151" t="s">
        <v>807</v>
      </c>
      <c r="M3" s="1151" t="s">
        <v>808</v>
      </c>
      <c r="N3" s="1151" t="s">
        <v>809</v>
      </c>
      <c r="O3" s="1151" t="s">
        <v>810</v>
      </c>
      <c r="P3" s="1151" t="s">
        <v>811</v>
      </c>
      <c r="Q3" s="1151" t="s">
        <v>812</v>
      </c>
      <c r="R3" s="1151" t="s">
        <v>813</v>
      </c>
      <c r="S3" s="1151" t="s">
        <v>814</v>
      </c>
      <c r="T3" s="1151" t="s">
        <v>815</v>
      </c>
      <c r="U3" s="1151" t="s">
        <v>816</v>
      </c>
    </row>
    <row r="4" spans="1:22" x14ac:dyDescent="0.35">
      <c r="A4" s="1125" t="s">
        <v>817</v>
      </c>
      <c r="B4" s="1151"/>
      <c r="C4" s="1151"/>
      <c r="D4" s="1151">
        <v>0</v>
      </c>
      <c r="E4" s="1151">
        <v>0</v>
      </c>
      <c r="F4" s="1151">
        <v>0.5</v>
      </c>
      <c r="G4" s="1151">
        <v>0.5</v>
      </c>
      <c r="H4" s="1151">
        <v>0</v>
      </c>
      <c r="I4" s="1151">
        <v>0</v>
      </c>
      <c r="J4" s="1151">
        <v>0</v>
      </c>
      <c r="K4" s="1151">
        <v>0</v>
      </c>
      <c r="L4" s="1151">
        <v>0</v>
      </c>
      <c r="M4" s="1151">
        <v>0</v>
      </c>
      <c r="N4" s="1151">
        <v>0</v>
      </c>
      <c r="O4" s="1151">
        <v>0</v>
      </c>
      <c r="P4" s="1151">
        <v>0</v>
      </c>
      <c r="Q4" s="1151">
        <v>0</v>
      </c>
      <c r="R4" s="1151">
        <v>0</v>
      </c>
      <c r="S4" s="1151">
        <v>0</v>
      </c>
      <c r="T4" s="1151">
        <v>0</v>
      </c>
      <c r="U4" s="1151">
        <v>0</v>
      </c>
    </row>
    <row r="5" spans="1:22" x14ac:dyDescent="0.35">
      <c r="A5" s="1125" t="s">
        <v>818</v>
      </c>
      <c r="B5" s="1151">
        <v>0.04</v>
      </c>
      <c r="C5" s="1151">
        <v>0.48</v>
      </c>
      <c r="D5" s="1151">
        <v>0.48</v>
      </c>
      <c r="E5" s="1151">
        <v>0</v>
      </c>
      <c r="F5" s="1151">
        <v>0</v>
      </c>
      <c r="G5" s="1151">
        <v>0</v>
      </c>
      <c r="H5" s="1151">
        <v>0</v>
      </c>
      <c r="I5" s="1151">
        <v>0</v>
      </c>
      <c r="J5" s="1151">
        <v>0</v>
      </c>
      <c r="K5" s="1151">
        <v>0</v>
      </c>
      <c r="L5" s="1151">
        <v>0</v>
      </c>
      <c r="M5" s="1151">
        <v>0</v>
      </c>
      <c r="N5" s="1151">
        <v>0</v>
      </c>
      <c r="O5" s="1151">
        <v>0</v>
      </c>
      <c r="P5" s="1151">
        <v>0</v>
      </c>
      <c r="Q5" s="1151">
        <v>0</v>
      </c>
      <c r="R5" s="1151">
        <v>0</v>
      </c>
      <c r="S5" s="1151">
        <v>0</v>
      </c>
      <c r="T5" s="1151">
        <v>0</v>
      </c>
      <c r="U5" s="1151">
        <v>0</v>
      </c>
    </row>
    <row r="6" spans="1:22" x14ac:dyDescent="0.35">
      <c r="A6" s="1125" t="s">
        <v>819</v>
      </c>
      <c r="B6" s="1151">
        <f>B8</f>
        <v>0</v>
      </c>
      <c r="C6" s="1151">
        <f>C8</f>
        <v>0.43</v>
      </c>
      <c r="D6" s="1151">
        <f t="shared" ref="D6:U6" si="0">D8</f>
        <v>0.56999999999999995</v>
      </c>
      <c r="E6" s="1151">
        <f t="shared" si="0"/>
        <v>0.25</v>
      </c>
      <c r="F6" s="1151">
        <f t="shared" si="0"/>
        <v>0.25</v>
      </c>
      <c r="G6" s="1151">
        <f t="shared" si="0"/>
        <v>0.25</v>
      </c>
      <c r="H6" s="1151">
        <f t="shared" si="0"/>
        <v>0.25</v>
      </c>
      <c r="I6" s="1151">
        <f t="shared" si="0"/>
        <v>0.25</v>
      </c>
      <c r="J6" s="1151">
        <f t="shared" si="0"/>
        <v>0.25</v>
      </c>
      <c r="K6" s="1151">
        <f t="shared" si="0"/>
        <v>0.25</v>
      </c>
      <c r="L6" s="1151">
        <f t="shared" si="0"/>
        <v>0.25</v>
      </c>
      <c r="M6" s="1151">
        <f t="shared" si="0"/>
        <v>0.25</v>
      </c>
      <c r="N6" s="1151">
        <f t="shared" si="0"/>
        <v>0.25</v>
      </c>
      <c r="O6" s="1151">
        <f t="shared" si="0"/>
        <v>0.25</v>
      </c>
      <c r="P6" s="1151">
        <f t="shared" si="0"/>
        <v>0.25</v>
      </c>
      <c r="Q6" s="1151">
        <f t="shared" si="0"/>
        <v>0.25</v>
      </c>
      <c r="R6" s="1151">
        <f t="shared" si="0"/>
        <v>0.25</v>
      </c>
      <c r="S6" s="1151">
        <f t="shared" si="0"/>
        <v>0.25</v>
      </c>
      <c r="T6" s="1151">
        <f t="shared" si="0"/>
        <v>0.25</v>
      </c>
      <c r="U6" s="1151">
        <f t="shared" si="0"/>
        <v>0.25</v>
      </c>
    </row>
    <row r="7" spans="1:22" x14ac:dyDescent="0.35">
      <c r="A7" s="1125" t="s">
        <v>820</v>
      </c>
      <c r="B7" s="1151">
        <v>0</v>
      </c>
      <c r="C7" s="1151">
        <v>0</v>
      </c>
      <c r="D7" s="1151">
        <v>1</v>
      </c>
      <c r="E7" s="1151">
        <v>0.25</v>
      </c>
      <c r="F7" s="1151">
        <v>0.25</v>
      </c>
      <c r="G7" s="1151">
        <v>0.25</v>
      </c>
      <c r="H7" s="1151">
        <v>0.25</v>
      </c>
      <c r="I7" s="1151">
        <v>0.25</v>
      </c>
      <c r="J7" s="1151">
        <v>0.25</v>
      </c>
      <c r="K7" s="1151">
        <v>0.25</v>
      </c>
      <c r="L7" s="1151">
        <v>0.25</v>
      </c>
      <c r="M7" s="1151">
        <v>0.25</v>
      </c>
      <c r="N7" s="1151">
        <v>0.25</v>
      </c>
      <c r="O7" s="1151">
        <v>0.25</v>
      </c>
      <c r="P7" s="1151">
        <v>0.25</v>
      </c>
      <c r="Q7" s="1151">
        <v>0.25</v>
      </c>
      <c r="R7" s="1151">
        <v>0.25</v>
      </c>
      <c r="S7" s="1151">
        <v>0.25</v>
      </c>
      <c r="T7" s="1151">
        <v>0.25</v>
      </c>
      <c r="U7" s="1151">
        <v>0.25</v>
      </c>
    </row>
    <row r="8" spans="1:22" x14ac:dyDescent="0.35">
      <c r="A8" s="1125" t="s">
        <v>821</v>
      </c>
      <c r="B8" s="1151">
        <v>0</v>
      </c>
      <c r="C8" s="1151">
        <v>0.43</v>
      </c>
      <c r="D8" s="1151">
        <v>0.56999999999999995</v>
      </c>
      <c r="E8" s="1151">
        <v>0.25</v>
      </c>
      <c r="F8" s="1151">
        <v>0.25</v>
      </c>
      <c r="G8" s="1151">
        <v>0.25</v>
      </c>
      <c r="H8" s="1151">
        <v>0.25</v>
      </c>
      <c r="I8" s="1151">
        <v>0.25</v>
      </c>
      <c r="J8" s="1151">
        <v>0.25</v>
      </c>
      <c r="K8" s="1151">
        <v>0.25</v>
      </c>
      <c r="L8" s="1151">
        <v>0.25</v>
      </c>
      <c r="M8" s="1151">
        <v>0.25</v>
      </c>
      <c r="N8" s="1151">
        <v>0.25</v>
      </c>
      <c r="O8" s="1151">
        <v>0.25</v>
      </c>
      <c r="P8" s="1151">
        <v>0.25</v>
      </c>
      <c r="Q8" s="1151">
        <v>0.25</v>
      </c>
      <c r="R8" s="1151">
        <v>0.25</v>
      </c>
      <c r="S8" s="1151">
        <v>0.25</v>
      </c>
      <c r="T8" s="1151">
        <v>0.25</v>
      </c>
      <c r="U8" s="1151">
        <v>0.25</v>
      </c>
    </row>
    <row r="9" spans="1:22" ht="27" customHeight="1" x14ac:dyDescent="0.35">
      <c r="A9" s="1125" t="s">
        <v>822</v>
      </c>
      <c r="B9" s="1151">
        <v>0</v>
      </c>
      <c r="C9" s="1151">
        <f>0.18</f>
        <v>0.18</v>
      </c>
      <c r="D9" s="1151">
        <f>1-C9</f>
        <v>0.82000000000000006</v>
      </c>
      <c r="E9" s="1151">
        <v>0.25</v>
      </c>
      <c r="F9" s="1151">
        <v>0.25</v>
      </c>
      <c r="G9" s="1151">
        <v>0.25</v>
      </c>
      <c r="H9" s="1151">
        <v>0.25</v>
      </c>
      <c r="I9" s="1151">
        <v>0.25</v>
      </c>
      <c r="J9" s="1151">
        <v>0.25</v>
      </c>
      <c r="K9" s="1151">
        <v>0.25</v>
      </c>
      <c r="L9" s="1151">
        <v>0.25</v>
      </c>
      <c r="M9" s="1151">
        <v>0.25</v>
      </c>
      <c r="N9" s="1151">
        <v>0.25</v>
      </c>
      <c r="O9" s="1151">
        <v>0.25</v>
      </c>
      <c r="P9" s="1151">
        <v>0.25</v>
      </c>
      <c r="Q9" s="1151">
        <v>0.25</v>
      </c>
      <c r="R9" s="1151">
        <v>0.25</v>
      </c>
      <c r="S9" s="1151">
        <v>0.25</v>
      </c>
      <c r="T9" s="1151">
        <v>0.25</v>
      </c>
      <c r="U9" s="1151">
        <v>0.25</v>
      </c>
    </row>
    <row r="10" spans="1:22" x14ac:dyDescent="0.35">
      <c r="A10" s="1125" t="s">
        <v>823</v>
      </c>
      <c r="B10" s="1151">
        <v>0</v>
      </c>
      <c r="C10" s="1151">
        <v>0.5</v>
      </c>
      <c r="D10" s="1151">
        <v>0.5</v>
      </c>
      <c r="E10" s="1151">
        <v>0.25</v>
      </c>
      <c r="F10" s="1151">
        <v>0.25</v>
      </c>
      <c r="G10" s="1151">
        <v>0.25</v>
      </c>
      <c r="H10" s="1151">
        <v>0.25</v>
      </c>
      <c r="I10" s="1151">
        <v>0.25</v>
      </c>
      <c r="J10" s="1151">
        <v>0.25</v>
      </c>
      <c r="K10" s="1151">
        <v>0.25</v>
      </c>
      <c r="L10" s="1151">
        <v>0.25</v>
      </c>
      <c r="M10" s="1151">
        <v>0.25</v>
      </c>
      <c r="N10" s="1151">
        <v>0.25</v>
      </c>
      <c r="O10" s="1151">
        <v>0.25</v>
      </c>
      <c r="P10" s="1151">
        <v>0.25</v>
      </c>
      <c r="Q10" s="1151">
        <v>0.25</v>
      </c>
      <c r="R10" s="1151">
        <v>0.25</v>
      </c>
      <c r="S10" s="1151">
        <v>0.25</v>
      </c>
      <c r="T10" s="1151">
        <v>0.25</v>
      </c>
      <c r="U10" s="1151">
        <v>0.25</v>
      </c>
    </row>
    <row r="11" spans="1:22" x14ac:dyDescent="0.35">
      <c r="A11" s="1125" t="s">
        <v>824</v>
      </c>
      <c r="B11" s="1151">
        <v>0</v>
      </c>
      <c r="C11" s="1151">
        <v>0.5</v>
      </c>
      <c r="D11" s="1151">
        <v>0.5</v>
      </c>
      <c r="E11" s="1151">
        <v>0.25</v>
      </c>
      <c r="F11" s="1151">
        <v>0.25</v>
      </c>
      <c r="G11" s="1151">
        <v>0.25</v>
      </c>
      <c r="H11" s="1151">
        <v>0.25</v>
      </c>
      <c r="I11" s="1151">
        <v>0.25</v>
      </c>
      <c r="J11" s="1151">
        <v>0.25</v>
      </c>
      <c r="K11" s="1151">
        <v>0.25</v>
      </c>
      <c r="L11" s="1151">
        <v>0.25</v>
      </c>
      <c r="M11" s="1151">
        <v>0.25</v>
      </c>
      <c r="N11" s="1151">
        <v>0.25</v>
      </c>
      <c r="O11" s="1151">
        <v>0.25</v>
      </c>
      <c r="P11" s="1151">
        <v>0.25</v>
      </c>
      <c r="Q11" s="1151">
        <v>0.25</v>
      </c>
      <c r="R11" s="1151">
        <v>0.25</v>
      </c>
      <c r="S11" s="1151">
        <v>0.25</v>
      </c>
      <c r="T11" s="1151">
        <v>0.25</v>
      </c>
      <c r="U11" s="1151">
        <v>0.25</v>
      </c>
    </row>
    <row r="12" spans="1:22" ht="14.25" customHeight="1" x14ac:dyDescent="0.35">
      <c r="A12" s="1125" t="s">
        <v>825</v>
      </c>
      <c r="B12" s="1151">
        <v>1</v>
      </c>
      <c r="C12" s="1151"/>
      <c r="D12" s="1151"/>
      <c r="E12" s="1151"/>
      <c r="F12" s="1151"/>
      <c r="G12" s="1151"/>
      <c r="H12" s="1151"/>
      <c r="I12" s="1151"/>
      <c r="J12" s="1151"/>
      <c r="K12" s="1151"/>
      <c r="L12" s="1151"/>
      <c r="M12" s="1151"/>
      <c r="N12" s="1151"/>
      <c r="O12" s="1151"/>
      <c r="P12" s="1151"/>
      <c r="Q12" s="1151"/>
      <c r="R12" s="1151"/>
      <c r="S12" s="1151"/>
      <c r="T12" s="1151"/>
      <c r="U12" s="1151"/>
    </row>
    <row r="13" spans="1:22" x14ac:dyDescent="0.35">
      <c r="A13" s="1125" t="s">
        <v>826</v>
      </c>
      <c r="B13" s="1151">
        <v>0</v>
      </c>
      <c r="C13" s="1151">
        <v>0.4</v>
      </c>
      <c r="D13" s="1151">
        <v>0.6</v>
      </c>
      <c r="E13" s="1151">
        <v>0.4</v>
      </c>
      <c r="F13" s="1151">
        <v>0.3</v>
      </c>
      <c r="G13" s="1151">
        <v>0.2</v>
      </c>
      <c r="H13" s="1151">
        <v>0.1</v>
      </c>
      <c r="I13" s="1151">
        <v>0.25</v>
      </c>
      <c r="J13" s="1151">
        <v>0.25</v>
      </c>
      <c r="K13" s="1151">
        <v>0.25</v>
      </c>
      <c r="L13" s="1151">
        <v>0.25</v>
      </c>
      <c r="M13" s="1151">
        <v>0.25</v>
      </c>
      <c r="N13" s="1151">
        <v>0.25</v>
      </c>
      <c r="O13" s="1151">
        <v>0.25</v>
      </c>
      <c r="P13" s="1151">
        <v>0.25</v>
      </c>
      <c r="Q13" s="1151">
        <v>0.25</v>
      </c>
      <c r="R13" s="1151">
        <v>0.25</v>
      </c>
      <c r="S13" s="1151">
        <v>0.25</v>
      </c>
      <c r="T13" s="1151">
        <v>0.25</v>
      </c>
      <c r="U13" s="1151">
        <v>0.25</v>
      </c>
    </row>
    <row r="14" spans="1:22" x14ac:dyDescent="0.35">
      <c r="A14" s="1125"/>
      <c r="B14" s="1151"/>
      <c r="C14" s="1151"/>
      <c r="D14" s="1151"/>
      <c r="E14" s="1151"/>
      <c r="F14" s="1151"/>
      <c r="G14" s="1151"/>
      <c r="H14" s="1151"/>
      <c r="I14" s="1151"/>
      <c r="J14" s="1151"/>
      <c r="K14" s="1151"/>
      <c r="L14" s="1151"/>
      <c r="M14" s="1151"/>
      <c r="N14" s="1151"/>
      <c r="O14" s="1151"/>
      <c r="P14" s="1151"/>
      <c r="Q14" s="1151"/>
      <c r="R14" s="1151"/>
      <c r="S14" s="1151"/>
      <c r="T14" s="1151"/>
      <c r="U14" s="1151"/>
    </row>
    <row r="15" spans="1:22" ht="27" customHeight="1" x14ac:dyDescent="0.35">
      <c r="A15" s="1152" t="s">
        <v>827</v>
      </c>
      <c r="B15" s="1151">
        <v>1</v>
      </c>
      <c r="C15" s="1151">
        <v>2</v>
      </c>
      <c r="D15" s="1151">
        <v>3</v>
      </c>
      <c r="E15" s="1151">
        <v>4</v>
      </c>
      <c r="F15" s="1151">
        <v>5</v>
      </c>
      <c r="G15" s="1151">
        <v>6</v>
      </c>
      <c r="H15" s="1151">
        <v>7</v>
      </c>
      <c r="I15" s="1151">
        <v>8</v>
      </c>
      <c r="J15" s="1151">
        <v>9</v>
      </c>
      <c r="K15" s="1151">
        <v>10</v>
      </c>
      <c r="L15" s="1151">
        <v>11</v>
      </c>
      <c r="M15" s="1151">
        <v>12</v>
      </c>
      <c r="N15" s="1151">
        <v>13</v>
      </c>
      <c r="O15" s="1151">
        <v>14</v>
      </c>
      <c r="P15" s="1151">
        <v>15</v>
      </c>
      <c r="Q15" s="1151">
        <v>16</v>
      </c>
      <c r="R15" s="1151">
        <v>17</v>
      </c>
      <c r="S15" s="1151">
        <v>18</v>
      </c>
      <c r="T15" s="1151">
        <v>19</v>
      </c>
      <c r="U15" s="1151">
        <v>20</v>
      </c>
    </row>
    <row r="16" spans="1:22" x14ac:dyDescent="0.35">
      <c r="A16" s="1125" t="s">
        <v>828</v>
      </c>
      <c r="B16" s="1151">
        <v>7.0000000000000007E-2</v>
      </c>
      <c r="C16" s="1151">
        <v>7.0000000000000007E-2</v>
      </c>
      <c r="D16" s="1151">
        <v>4.9000000000000002E-2</v>
      </c>
      <c r="E16" s="1151">
        <v>4.9000000000000002E-2</v>
      </c>
      <c r="F16" s="1151">
        <v>4.9000000000000002E-2</v>
      </c>
      <c r="G16" s="1151">
        <v>4.9000000000000002E-2</v>
      </c>
      <c r="H16" s="1151">
        <v>4.9000000000000002E-2</v>
      </c>
      <c r="I16" s="1151">
        <v>4.9000000000000002E-2</v>
      </c>
      <c r="J16" s="1151">
        <v>4.9000000000000002E-2</v>
      </c>
      <c r="K16" s="1151">
        <v>4.9000000000000002E-2</v>
      </c>
      <c r="L16" s="1151">
        <v>4.9000000000000002E-2</v>
      </c>
      <c r="M16" s="1151">
        <v>4.9000000000000002E-2</v>
      </c>
      <c r="N16" s="1151">
        <f t="shared" ref="N16:T16" si="1">0.0475</f>
        <v>4.7500000000000001E-2</v>
      </c>
      <c r="O16" s="1151">
        <f t="shared" si="1"/>
        <v>4.7500000000000001E-2</v>
      </c>
      <c r="P16" s="1151">
        <f t="shared" si="1"/>
        <v>4.7500000000000001E-2</v>
      </c>
      <c r="Q16" s="1151">
        <f t="shared" si="1"/>
        <v>4.7500000000000001E-2</v>
      </c>
      <c r="R16" s="1151">
        <f t="shared" si="1"/>
        <v>4.7500000000000001E-2</v>
      </c>
      <c r="S16" s="1151">
        <f t="shared" si="1"/>
        <v>4.7500000000000001E-2</v>
      </c>
      <c r="T16" s="1151">
        <f t="shared" si="1"/>
        <v>4.7500000000000001E-2</v>
      </c>
      <c r="U16" s="1151">
        <f>0.0375</f>
        <v>3.7499999999999999E-2</v>
      </c>
      <c r="V16" s="1151">
        <f>SUM(B16:U16)</f>
        <v>0.99999999999999989</v>
      </c>
    </row>
    <row r="17" spans="1:23" ht="27" customHeight="1" x14ac:dyDescent="0.35">
      <c r="A17" s="1125"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51">
        <f>SUM(B17:U17)</f>
        <v>0.94000000000000006</v>
      </c>
      <c r="W17" t="s">
        <v>830</v>
      </c>
    </row>
    <row r="19" spans="1:23" x14ac:dyDescent="0.35">
      <c r="B19" s="1150" t="e">
        <f>'Federal and State Purchases'!#REF!</f>
        <v>#REF!</v>
      </c>
      <c r="C19" s="1150"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topLeftCell="A16" zoomScale="98" zoomScaleNormal="80" workbookViewId="0">
      <selection activeCell="I28" sqref="I28"/>
    </sheetView>
  </sheetViews>
  <sheetFormatPr defaultColWidth="11.453125" defaultRowHeight="14.5" x14ac:dyDescent="0.35"/>
  <cols>
    <col min="1" max="1" width="15.453125" customWidth="1"/>
    <col min="2" max="2" width="32.453125" customWidth="1"/>
  </cols>
  <sheetData>
    <row r="1" spans="1:23" x14ac:dyDescent="0.35">
      <c r="A1" s="1163" t="s">
        <v>831</v>
      </c>
      <c r="B1" s="1163" t="s">
        <v>741</v>
      </c>
      <c r="C1" s="1154">
        <v>2021</v>
      </c>
      <c r="D1" s="1154">
        <f>C1</f>
        <v>2021</v>
      </c>
      <c r="E1" s="1154">
        <f>D1</f>
        <v>2021</v>
      </c>
      <c r="F1" s="1154">
        <v>2022</v>
      </c>
      <c r="G1" s="1154">
        <v>2022</v>
      </c>
      <c r="H1" s="1154">
        <v>2022</v>
      </c>
      <c r="I1" s="1154">
        <v>2022</v>
      </c>
      <c r="J1" s="1154">
        <v>2023</v>
      </c>
      <c r="K1" s="1154">
        <v>2023</v>
      </c>
      <c r="L1" s="1154">
        <v>2023</v>
      </c>
      <c r="M1" s="1154">
        <v>2023</v>
      </c>
      <c r="N1" s="1154">
        <v>2024</v>
      </c>
      <c r="O1" s="1154">
        <v>2024</v>
      </c>
      <c r="P1" s="1154">
        <v>2024</v>
      </c>
      <c r="Q1" s="1154">
        <v>2024</v>
      </c>
      <c r="R1" s="1154">
        <v>2025</v>
      </c>
      <c r="S1" s="1154">
        <v>2025</v>
      </c>
      <c r="T1" s="1154">
        <v>2025</v>
      </c>
      <c r="U1" s="1154">
        <v>2025</v>
      </c>
      <c r="V1" s="1154">
        <v>2026</v>
      </c>
    </row>
    <row r="2" spans="1:23" x14ac:dyDescent="0.35">
      <c r="B2" s="1163" t="s">
        <v>832</v>
      </c>
      <c r="C2" s="85" t="s">
        <v>295</v>
      </c>
      <c r="D2" s="85" t="s">
        <v>296</v>
      </c>
      <c r="E2" s="85" t="s">
        <v>180</v>
      </c>
      <c r="F2" s="85" t="s">
        <v>181</v>
      </c>
      <c r="G2" s="85" t="s">
        <v>182</v>
      </c>
      <c r="H2" s="85" t="s">
        <v>183</v>
      </c>
      <c r="I2" s="85" t="s">
        <v>184</v>
      </c>
      <c r="J2" s="85" t="s">
        <v>185</v>
      </c>
      <c r="K2" s="85" t="s">
        <v>186</v>
      </c>
      <c r="L2" s="85" t="s">
        <v>187</v>
      </c>
      <c r="M2" s="85" t="s">
        <v>188</v>
      </c>
      <c r="N2" s="85" t="s">
        <v>189</v>
      </c>
      <c r="O2" s="85" t="s">
        <v>190</v>
      </c>
      <c r="P2" s="85" t="s">
        <v>191</v>
      </c>
      <c r="Q2" s="85" t="s">
        <v>175</v>
      </c>
      <c r="R2" s="85" t="s">
        <v>176</v>
      </c>
      <c r="S2" s="85" t="s">
        <v>177</v>
      </c>
      <c r="T2" s="85" t="s">
        <v>833</v>
      </c>
      <c r="U2" s="85" t="s">
        <v>834</v>
      </c>
      <c r="V2" s="85" t="s">
        <v>835</v>
      </c>
    </row>
    <row r="3" spans="1:23" x14ac:dyDescent="0.35">
      <c r="A3" s="1163">
        <v>3</v>
      </c>
      <c r="B3" s="1163" t="s">
        <v>596</v>
      </c>
      <c r="C3" s="1155">
        <f>4*'ARP Timing'!B6*VLOOKUP(C$1,'ARP Score'!$A$5:$M14,$A3)</f>
        <v>0</v>
      </c>
      <c r="D3" s="1155">
        <f>4*'ARP Timing'!C6*VLOOKUP(D$1,'ARP Score'!$A$5:$M14,$A3)</f>
        <v>336.60399999999998</v>
      </c>
      <c r="E3" s="1155">
        <f>4*'ARP Timing'!D6*VLOOKUP(E$1,'ARP Score'!$A$5:$M14,$A3)</f>
        <v>446.19599999999991</v>
      </c>
      <c r="F3" s="1155">
        <f>4*'ARP Timing'!E6*VLOOKUP(F$1,'ARP Score'!$A$5:$M14,$A3)</f>
        <v>10.1</v>
      </c>
      <c r="G3" s="1155">
        <f>4*'ARP Timing'!F6*VLOOKUP(G$1,'ARP Score'!$A$5:$M14,$A3)</f>
        <v>10.1</v>
      </c>
      <c r="H3" s="1155">
        <f>4*'ARP Timing'!G6*VLOOKUP(H$1,'ARP Score'!$A$5:$M14,$A3)</f>
        <v>10.1</v>
      </c>
      <c r="I3" s="1155">
        <f>4*'ARP Timing'!H6*VLOOKUP(I$1,'ARP Score'!$A$5:$M14,$A3)</f>
        <v>10.1</v>
      </c>
      <c r="J3" s="1155">
        <f>4*'ARP Timing'!I6*VLOOKUP(J$1,'ARP Score'!$A$5:$M14,$A3)</f>
        <v>0</v>
      </c>
      <c r="K3" s="1155">
        <f>4*'ARP Timing'!J6*VLOOKUP(K$1,'ARP Score'!$A$5:$M14,$A3)</f>
        <v>0</v>
      </c>
      <c r="L3" s="1155">
        <f>4*'ARP Timing'!K6*VLOOKUP(L$1,'ARP Score'!$A$5:$M14,$A3)</f>
        <v>0</v>
      </c>
      <c r="M3" s="1155">
        <f>4*'ARP Timing'!L6*VLOOKUP(M$1,'ARP Score'!$A$5:$M14,$A3)</f>
        <v>0</v>
      </c>
      <c r="N3" s="1155">
        <f>4*'ARP Timing'!M6*VLOOKUP(N$1,'ARP Score'!$A$5:$M14,$A3)</f>
        <v>0</v>
      </c>
      <c r="O3" s="1155">
        <f>4*'ARP Timing'!N6*VLOOKUP(O$1,'ARP Score'!$A$5:$M14,$A3)</f>
        <v>0</v>
      </c>
      <c r="P3" s="1155">
        <f>4*'ARP Timing'!O6*VLOOKUP(P$1,'ARP Score'!$A$5:$M14,$A3)</f>
        <v>0</v>
      </c>
      <c r="Q3" s="1155">
        <f>4*'ARP Timing'!P6*VLOOKUP(Q$1,'ARP Score'!$A$5:$M14,$A3)</f>
        <v>0</v>
      </c>
      <c r="R3" s="1155">
        <f>4*'ARP Timing'!Q6*VLOOKUP(R$1,'ARP Score'!$A$5:$M14,$A3)</f>
        <v>0</v>
      </c>
      <c r="S3" s="1155">
        <f>4*'ARP Timing'!R6*VLOOKUP(S$1,'ARP Score'!$A$5:$M14,$A3)</f>
        <v>0</v>
      </c>
      <c r="T3" s="1155">
        <f>4*'ARP Timing'!S6*VLOOKUP(T$1,'ARP Score'!$A$5:$M14,$A3)</f>
        <v>0</v>
      </c>
      <c r="U3" s="1155">
        <f>4*'ARP Timing'!T6*VLOOKUP(U$1,'ARP Score'!$A$5:$M14,$A3)</f>
        <v>0</v>
      </c>
      <c r="V3" s="1155">
        <f>4*'ARP Timing'!U6*VLOOKUP(V$1,'ARP Score'!$A$5:$M14,$A3)</f>
        <v>0</v>
      </c>
      <c r="W3" s="1155">
        <f>SUM(C3:U3)/4</f>
        <v>205.8</v>
      </c>
    </row>
    <row r="4" spans="1:23" x14ac:dyDescent="0.35">
      <c r="A4" s="1163">
        <v>5</v>
      </c>
      <c r="B4" s="1156" t="s">
        <v>743</v>
      </c>
      <c r="C4" s="1155">
        <f>4*'ARP Timing'!B7*VLOOKUP(C$1,'ARP Score'!$A$5:$M15,$A4)</f>
        <v>0</v>
      </c>
      <c r="D4" s="1155">
        <f>4*'ARP Timing'!C7*VLOOKUP(D$1,'ARP Score'!$A$5:$M15,$A4)</f>
        <v>0</v>
      </c>
      <c r="E4" s="1155">
        <f>4*'ARP Timing'!D7*VLOOKUP(E$1,'ARP Score'!$A$5:$M15,$A4)</f>
        <v>3.1040000000000418</v>
      </c>
      <c r="F4" s="1155">
        <f>4*'ARP Timing'!E7*VLOOKUP(F$1,'ARP Score'!$A$5:$M15,$A4)</f>
        <v>19.719000000000005</v>
      </c>
      <c r="G4" s="1155">
        <f>4*'ARP Timing'!F7*VLOOKUP(G$1,'ARP Score'!$A$5:$M15,$A4)</f>
        <v>19.719000000000005</v>
      </c>
      <c r="H4" s="1155">
        <f>4*'ARP Timing'!G7*VLOOKUP(H$1,'ARP Score'!$A$5:$M15,$A4)</f>
        <v>19.719000000000005</v>
      </c>
      <c r="I4" s="1155">
        <f>4*'ARP Timing'!H7*VLOOKUP(I$1,'ARP Score'!$A$5:$M15,$A4)</f>
        <v>19.719000000000005</v>
      </c>
      <c r="J4" s="1155">
        <f>4*'ARP Timing'!I7*VLOOKUP(J$1,'ARP Score'!$A$5:$M15,$A4)</f>
        <v>1.4159999999999999</v>
      </c>
      <c r="K4" s="1155">
        <f>4*'ARP Timing'!J7*VLOOKUP(K$1,'ARP Score'!$A$5:$M15,$A4)</f>
        <v>1.4159999999999999</v>
      </c>
      <c r="L4" s="1155">
        <f>4*'ARP Timing'!K7*VLOOKUP(L$1,'ARP Score'!$A$5:$M15,$A4)</f>
        <v>1.4159999999999999</v>
      </c>
      <c r="M4" s="1155">
        <f>4*'ARP Timing'!L7*VLOOKUP(M$1,'ARP Score'!$A$5:$M15,$A4)</f>
        <v>1.4159999999999999</v>
      </c>
      <c r="N4" s="1155">
        <f>4*'ARP Timing'!M7*VLOOKUP(N$1,'ARP Score'!$A$5:$M15,$A4)</f>
        <v>1.4790000000000001</v>
      </c>
      <c r="O4" s="1155">
        <f>4*'ARP Timing'!N7*VLOOKUP(O$1,'ARP Score'!$A$5:$M15,$A4)</f>
        <v>1.4790000000000001</v>
      </c>
      <c r="P4" s="1155">
        <f>4*'ARP Timing'!O7*VLOOKUP(P$1,'ARP Score'!$A$5:$M15,$A4)</f>
        <v>1.4790000000000001</v>
      </c>
      <c r="Q4" s="1155">
        <f>4*'ARP Timing'!P7*VLOOKUP(Q$1,'ARP Score'!$A$5:$M15,$A4)</f>
        <v>1.4790000000000001</v>
      </c>
      <c r="R4" s="1155">
        <f>4*'ARP Timing'!Q7*VLOOKUP(R$1,'ARP Score'!$A$5:$M15,$A4)</f>
        <v>1.63</v>
      </c>
      <c r="S4" s="1155">
        <f>4*'ARP Timing'!R7*VLOOKUP(S$1,'ARP Score'!$A$5:$M15,$A4)</f>
        <v>1.63</v>
      </c>
      <c r="T4" s="1155">
        <f>4*'ARP Timing'!S7*VLOOKUP(T$1,'ARP Score'!$A$5:$M15,$A4)</f>
        <v>1.63</v>
      </c>
      <c r="U4" s="1155">
        <f>4*'ARP Timing'!T7*VLOOKUP(U$1,'ARP Score'!$A$5:$M15,$A4)</f>
        <v>1.63</v>
      </c>
      <c r="V4" s="1155">
        <f>4*'ARP Timing'!U7*VLOOKUP(V$1,'ARP Score'!$A$5:$M15,$A4)</f>
        <v>1.671</v>
      </c>
      <c r="W4" s="1155">
        <f>SUM(C4:U4)/4</f>
        <v>25.020000000000007</v>
      </c>
    </row>
    <row r="5" spans="1:23" x14ac:dyDescent="0.35">
      <c r="A5" s="1163">
        <v>6</v>
      </c>
      <c r="B5" s="1156" t="s">
        <v>744</v>
      </c>
      <c r="C5" s="1155">
        <f>4*'ARP Timing'!B8*VLOOKUP(C$1,'ARP Score'!$A$5:$M16,$A5)</f>
        <v>0</v>
      </c>
      <c r="D5" s="1155">
        <f>4*'ARP Timing'!C8*VLOOKUP(D$1,'ARP Score'!$A$5:$M16,$A5)</f>
        <v>33.921840000000024</v>
      </c>
      <c r="E5" s="1155">
        <f>4*'ARP Timing'!D8*VLOOKUP(E$1,'ARP Score'!$A$5:$M16,$A5)</f>
        <v>44.966160000000031</v>
      </c>
      <c r="F5" s="1155">
        <f>4*'ARP Timing'!E8*VLOOKUP(F$1,'ARP Score'!$A$5:$M16,$A5)</f>
        <v>52.756999999999998</v>
      </c>
      <c r="G5" s="1155">
        <f>4*'ARP Timing'!F8*VLOOKUP(G$1,'ARP Score'!$A$5:$M16,$A5)</f>
        <v>52.756999999999998</v>
      </c>
      <c r="H5" s="1155">
        <f>4*'ARP Timing'!G8*VLOOKUP(H$1,'ARP Score'!$A$5:$M16,$A5)</f>
        <v>52.756999999999998</v>
      </c>
      <c r="I5" s="1155">
        <f>4*'ARP Timing'!H8*VLOOKUP(I$1,'ARP Score'!$A$5:$M16,$A5)</f>
        <v>52.756999999999998</v>
      </c>
      <c r="J5" s="1155">
        <f>4*'ARP Timing'!I8*VLOOKUP(J$1,'ARP Score'!$A$5:$M16,$A5)</f>
        <v>12</v>
      </c>
      <c r="K5" s="1155">
        <f>4*'ARP Timing'!J8*VLOOKUP(K$1,'ARP Score'!$A$5:$M16,$A5)</f>
        <v>12</v>
      </c>
      <c r="L5" s="1155">
        <f>4*'ARP Timing'!K8*VLOOKUP(L$1,'ARP Score'!$A$5:$M16,$A5)</f>
        <v>12</v>
      </c>
      <c r="M5" s="1155">
        <f>4*'ARP Timing'!L8*VLOOKUP(M$1,'ARP Score'!$A$5:$M16,$A5)</f>
        <v>12</v>
      </c>
      <c r="N5" s="1155">
        <f>4*'ARP Timing'!M8*VLOOKUP(N$1,'ARP Score'!$A$5:$M16,$A5)</f>
        <v>4.2219999999999995</v>
      </c>
      <c r="O5" s="1155">
        <f>4*'ARP Timing'!N8*VLOOKUP(O$1,'ARP Score'!$A$5:$M16,$A5)</f>
        <v>4.2219999999999995</v>
      </c>
      <c r="P5" s="1155">
        <f>4*'ARP Timing'!O8*VLOOKUP(P$1,'ARP Score'!$A$5:$M16,$A5)</f>
        <v>4.2219999999999995</v>
      </c>
      <c r="Q5" s="1155">
        <f>4*'ARP Timing'!P8*VLOOKUP(Q$1,'ARP Score'!$A$5:$M16,$A5)</f>
        <v>4.2219999999999995</v>
      </c>
      <c r="R5" s="1155">
        <f>4*'ARP Timing'!Q8*VLOOKUP(R$1,'ARP Score'!$A$5:$M16,$A5)</f>
        <v>2.3719999999999999</v>
      </c>
      <c r="S5" s="1155">
        <f>4*'ARP Timing'!R8*VLOOKUP(S$1,'ARP Score'!$A$5:$M16,$A5)</f>
        <v>2.3719999999999999</v>
      </c>
      <c r="T5" s="1155">
        <f>4*'ARP Timing'!S8*VLOOKUP(T$1,'ARP Score'!$A$5:$M16,$A5)</f>
        <v>2.3719999999999999</v>
      </c>
      <c r="U5" s="1155">
        <f>4*'ARP Timing'!T8*VLOOKUP(U$1,'ARP Score'!$A$5:$M16,$A5)</f>
        <v>2.3719999999999999</v>
      </c>
      <c r="V5" s="1155">
        <f>4*'ARP Timing'!U8*VLOOKUP(V$1,'ARP Score'!$A$5:$M16,$A5)</f>
        <v>0.49</v>
      </c>
      <c r="W5" s="1155">
        <f t="shared" ref="W5:W15" si="0">SUM(C5:U5)/4</f>
        <v>91.073000000000008</v>
      </c>
    </row>
    <row r="6" spans="1:23" x14ac:dyDescent="0.35">
      <c r="A6" s="1163">
        <v>7</v>
      </c>
      <c r="B6" s="1156" t="s">
        <v>836</v>
      </c>
      <c r="C6" s="1155">
        <f>4*'ARP Timing'!B9*VLOOKUP(C$1,'ARP Score'!$A$5:$M17,$A6)</f>
        <v>0</v>
      </c>
      <c r="D6" s="1155">
        <f>4*'ARP Timing'!C9*VLOOKUP(D$1,'ARP Score'!$A$5:$M17,$A6)</f>
        <v>58.782959999999989</v>
      </c>
      <c r="E6" s="1155">
        <f>4*'ARP Timing'!D9*VLOOKUP(E$1,'ARP Score'!$A$5:$M17,$A6)</f>
        <v>267.78904</v>
      </c>
      <c r="F6" s="1155">
        <f>4*'ARP Timing'!E9*VLOOKUP(F$1,'ARP Score'!$A$5:$M17,$A6)</f>
        <v>110.24799999999999</v>
      </c>
      <c r="G6" s="1155">
        <f>4*'ARP Timing'!F9*VLOOKUP(G$1,'ARP Score'!$A$5:$M17,$A6)</f>
        <v>110.24799999999999</v>
      </c>
      <c r="H6" s="1155">
        <f>4*'ARP Timing'!G9*VLOOKUP(H$1,'ARP Score'!$A$5:$M17,$A6)</f>
        <v>110.24799999999999</v>
      </c>
      <c r="I6" s="1155">
        <f>4*'ARP Timing'!H9*VLOOKUP(I$1,'ARP Score'!$A$5:$M17,$A6)</f>
        <v>110.24799999999999</v>
      </c>
      <c r="J6" s="1155">
        <f>4*'ARP Timing'!I9*VLOOKUP(J$1,'ARP Score'!$A$5:$M17,$A6)</f>
        <v>12.726000000000001</v>
      </c>
      <c r="K6" s="1155">
        <f>4*'ARP Timing'!J9*VLOOKUP(K$1,'ARP Score'!$A$5:$M17,$A6)</f>
        <v>12.726000000000001</v>
      </c>
      <c r="L6" s="1155">
        <f>4*'ARP Timing'!K9*VLOOKUP(L$1,'ARP Score'!$A$5:$M17,$A6)</f>
        <v>12.726000000000001</v>
      </c>
      <c r="M6" s="1155">
        <f>4*'ARP Timing'!L9*VLOOKUP(M$1,'ARP Score'!$A$5:$M17,$A6)</f>
        <v>12.726000000000001</v>
      </c>
      <c r="N6" s="1155">
        <f>4*'ARP Timing'!M9*VLOOKUP(N$1,'ARP Score'!$A$5:$M17,$A6)</f>
        <v>1.365</v>
      </c>
      <c r="O6" s="1155">
        <f>4*'ARP Timing'!N9*VLOOKUP(O$1,'ARP Score'!$A$5:$M17,$A6)</f>
        <v>1.365</v>
      </c>
      <c r="P6" s="1155">
        <f>4*'ARP Timing'!O9*VLOOKUP(P$1,'ARP Score'!$A$5:$M17,$A6)</f>
        <v>1.365</v>
      </c>
      <c r="Q6" s="1155">
        <f>4*'ARP Timing'!P9*VLOOKUP(Q$1,'ARP Score'!$A$5:$M17,$A6)</f>
        <v>1.365</v>
      </c>
      <c r="R6" s="1155">
        <f>4*'ARP Timing'!Q9*VLOOKUP(R$1,'ARP Score'!$A$5:$M17,$A6)</f>
        <v>-0.90100000000000025</v>
      </c>
      <c r="S6" s="1155">
        <f>4*'ARP Timing'!R9*VLOOKUP(S$1,'ARP Score'!$A$5:$M17,$A6)</f>
        <v>-0.90100000000000025</v>
      </c>
      <c r="T6" s="1155">
        <f>4*'ARP Timing'!S9*VLOOKUP(T$1,'ARP Score'!$A$5:$M17,$A6)</f>
        <v>-0.90100000000000025</v>
      </c>
      <c r="U6" s="1155">
        <f>4*'ARP Timing'!T9*VLOOKUP(U$1,'ARP Score'!$A$5:$M17,$A6)</f>
        <v>-0.90100000000000025</v>
      </c>
      <c r="V6" s="1155">
        <f>4*'ARP Timing'!U9*VLOOKUP(V$1,'ARP Score'!$A$5:$M17,$A6)</f>
        <v>-2.1500000000000004</v>
      </c>
      <c r="W6" s="1155">
        <f t="shared" si="0"/>
        <v>205.08100000000007</v>
      </c>
    </row>
    <row r="7" spans="1:23" x14ac:dyDescent="0.35">
      <c r="A7" s="1163">
        <v>8</v>
      </c>
      <c r="B7" s="1156" t="s">
        <v>131</v>
      </c>
      <c r="C7" s="1155">
        <f>4*'ARP Timing'!B10*VLOOKUP(C$1,'ARP Score'!$A$5:$M18,$A7)</f>
        <v>0</v>
      </c>
      <c r="D7" s="1155">
        <f>4*'ARP Timing'!C10*VLOOKUP(D$1,'ARP Score'!$A$5:$M18,$A7)</f>
        <v>15.596</v>
      </c>
      <c r="E7" s="1155">
        <f>4*'ARP Timing'!D10*VLOOKUP(E$1,'ARP Score'!$A$5:$M18,$A7)</f>
        <v>15.596</v>
      </c>
      <c r="F7" s="1155">
        <f>4*'ARP Timing'!E10*VLOOKUP(F$1,'ARP Score'!$A$5:$M18,$A7)</f>
        <v>7.9489999999999998</v>
      </c>
      <c r="G7" s="1155">
        <f>4*'ARP Timing'!F10*VLOOKUP(G$1,'ARP Score'!$A$5:$M18,$A7)</f>
        <v>7.9489999999999998</v>
      </c>
      <c r="H7" s="1155">
        <f>4*'ARP Timing'!G10*VLOOKUP(H$1,'ARP Score'!$A$5:$M18,$A7)</f>
        <v>7.9489999999999998</v>
      </c>
      <c r="I7" s="1155">
        <f>4*'ARP Timing'!H10*VLOOKUP(I$1,'ARP Score'!$A$5:$M18,$A7)</f>
        <v>7.9489999999999998</v>
      </c>
      <c r="J7" s="1155">
        <f>4*'ARP Timing'!I10*VLOOKUP(J$1,'ARP Score'!$A$5:$M18,$A7)</f>
        <v>4.7519999999999998</v>
      </c>
      <c r="K7" s="1155">
        <f>4*'ARP Timing'!J10*VLOOKUP(K$1,'ARP Score'!$A$5:$M18,$A7)</f>
        <v>4.7519999999999998</v>
      </c>
      <c r="L7" s="1155">
        <f>4*'ARP Timing'!K10*VLOOKUP(L$1,'ARP Score'!$A$5:$M18,$A7)</f>
        <v>4.7519999999999998</v>
      </c>
      <c r="M7" s="1155">
        <f>4*'ARP Timing'!L10*VLOOKUP(M$1,'ARP Score'!$A$5:$M18,$A7)</f>
        <v>4.7519999999999998</v>
      </c>
      <c r="N7" s="1155">
        <f>4*'ARP Timing'!M10*VLOOKUP(N$1,'ARP Score'!$A$5:$M18,$A7)</f>
        <v>4.637999999999999</v>
      </c>
      <c r="O7" s="1155">
        <f>4*'ARP Timing'!N10*VLOOKUP(O$1,'ARP Score'!$A$5:$M18,$A7)</f>
        <v>4.637999999999999</v>
      </c>
      <c r="P7" s="1155">
        <f>4*'ARP Timing'!O10*VLOOKUP(P$1,'ARP Score'!$A$5:$M18,$A7)</f>
        <v>4.637999999999999</v>
      </c>
      <c r="Q7" s="1155">
        <f>4*'ARP Timing'!P10*VLOOKUP(Q$1,'ARP Score'!$A$5:$M18,$A7)</f>
        <v>4.637999999999999</v>
      </c>
      <c r="R7" s="1155">
        <f>4*'ARP Timing'!Q10*VLOOKUP(R$1,'ARP Score'!$A$5:$M18,$A7)</f>
        <v>1.8800000000000001</v>
      </c>
      <c r="S7" s="1155">
        <f>4*'ARP Timing'!R10*VLOOKUP(S$1,'ARP Score'!$A$5:$M18,$A7)</f>
        <v>1.8800000000000001</v>
      </c>
      <c r="T7" s="1155">
        <f>4*'ARP Timing'!S10*VLOOKUP(T$1,'ARP Score'!$A$5:$M18,$A7)</f>
        <v>1.8800000000000001</v>
      </c>
      <c r="U7" s="1155">
        <f>4*'ARP Timing'!T10*VLOOKUP(U$1,'ARP Score'!$A$5:$M18,$A7)</f>
        <v>1.8800000000000001</v>
      </c>
      <c r="V7" s="1155">
        <f>4*'ARP Timing'!U10*VLOOKUP(V$1,'ARP Score'!$A$5:$M18,$A7)</f>
        <v>1.446</v>
      </c>
      <c r="W7" s="1155">
        <f t="shared" si="0"/>
        <v>27.016999999999996</v>
      </c>
    </row>
    <row r="8" spans="1:23" x14ac:dyDescent="0.35">
      <c r="A8" s="1163">
        <v>9</v>
      </c>
      <c r="B8" s="1158" t="s">
        <v>396</v>
      </c>
      <c r="C8" s="1155">
        <f>4*'ARP Timing'!B$11*VLOOKUP(C$1,'ARP Score'!$A$5:$M19,$A8)</f>
        <v>0</v>
      </c>
      <c r="D8" s="1155">
        <f>0.6*SUM('ARP Score'!B5:B7)*4</f>
        <v>989.16719999999987</v>
      </c>
      <c r="E8" s="1154">
        <v>0</v>
      </c>
      <c r="F8" s="1155">
        <v>0</v>
      </c>
      <c r="G8" s="1155">
        <v>0</v>
      </c>
      <c r="H8" s="1155">
        <f>D8*0.4/0.6</f>
        <v>659.44479999999999</v>
      </c>
      <c r="I8" s="1155">
        <v>0</v>
      </c>
      <c r="J8" s="1163">
        <v>0</v>
      </c>
      <c r="K8" s="1155">
        <v>0</v>
      </c>
      <c r="L8" s="1155">
        <v>0</v>
      </c>
      <c r="M8" s="1155">
        <v>0</v>
      </c>
      <c r="N8" s="1155">
        <v>0</v>
      </c>
      <c r="O8" s="1155">
        <v>0</v>
      </c>
      <c r="P8" s="1155">
        <v>0</v>
      </c>
      <c r="Q8" s="1155">
        <v>0</v>
      </c>
      <c r="R8" s="1155">
        <v>0</v>
      </c>
      <c r="S8" s="1155">
        <v>0</v>
      </c>
      <c r="T8" s="1155">
        <v>0</v>
      </c>
      <c r="U8" s="1155">
        <v>0</v>
      </c>
      <c r="V8" s="1155">
        <v>0</v>
      </c>
      <c r="W8" s="1155">
        <f t="shared" si="0"/>
        <v>412.15299999999996</v>
      </c>
    </row>
    <row r="9" spans="1:23" x14ac:dyDescent="0.35">
      <c r="A9" s="1163">
        <v>10</v>
      </c>
      <c r="B9" s="1158" t="s">
        <v>150</v>
      </c>
      <c r="C9" s="1155">
        <f>4*'ARP Timing'!B$11*VLOOKUP(C$1,'ARP Score'!$A$5:$M20,$A9)</f>
        <v>0</v>
      </c>
      <c r="D9" s="1155">
        <f>4*'ARP Timing'!C$11*VLOOKUP(D$1,'ARP Score'!$A$5:$M20,$A9)</f>
        <v>24.693999999999999</v>
      </c>
      <c r="E9" s="1155">
        <f>4*'ARP Timing'!D$11*VLOOKUP(E$1,'ARP Score'!$A$5:$M20,$A9)</f>
        <v>24.693999999999999</v>
      </c>
      <c r="F9" s="1155">
        <f>4*'ARP Timing'!E$11*VLOOKUP(F$1,'ARP Score'!$A$5:$M20,$A9)</f>
        <v>46.79</v>
      </c>
      <c r="G9" s="1155">
        <f>4*'ARP Timing'!F$11*VLOOKUP(G$1,'ARP Score'!$A$5:$M20,$A9)</f>
        <v>46.79</v>
      </c>
      <c r="H9" s="1155">
        <f>4*'ARP Timing'!G$11*VLOOKUP(H$1,'ARP Score'!$A$5:$M20,$A9)</f>
        <v>46.79</v>
      </c>
      <c r="I9" s="1155">
        <f>4*'ARP Timing'!H$11*VLOOKUP(I$1,'ARP Score'!$A$5:$M20,$A9)</f>
        <v>46.79</v>
      </c>
      <c r="J9" s="1155">
        <f>4*'ARP Timing'!I$11*VLOOKUP(J$1,'ARP Score'!$A$5:$M20,$A9)</f>
        <v>38.595999999999997</v>
      </c>
      <c r="K9" s="1155">
        <f>4*'ARP Timing'!J$11*VLOOKUP(K$1,'ARP Score'!$A$5:$M20,$A9)</f>
        <v>38.595999999999997</v>
      </c>
      <c r="L9" s="1155">
        <f>4*'ARP Timing'!K$11*VLOOKUP(L$1,'ARP Score'!$A$5:$M20,$A9)</f>
        <v>38.595999999999997</v>
      </c>
      <c r="M9" s="1155">
        <f>4*'ARP Timing'!L$11*VLOOKUP(M$1,'ARP Score'!$A$5:$M20,$A9)</f>
        <v>38.595999999999997</v>
      </c>
      <c r="N9" s="1155">
        <f>4*'ARP Timing'!M$11*VLOOKUP(N$1,'ARP Score'!$A$5:$M20,$A9)</f>
        <v>31.911000000000001</v>
      </c>
      <c r="O9" s="1155">
        <f>4*'ARP Timing'!N$11*VLOOKUP(O$1,'ARP Score'!$A$5:$M20,$A9)</f>
        <v>31.911000000000001</v>
      </c>
      <c r="P9" s="1155">
        <f>4*'ARP Timing'!O$11*VLOOKUP(P$1,'ARP Score'!$A$5:$M20,$A9)</f>
        <v>31.911000000000001</v>
      </c>
      <c r="Q9" s="1155">
        <f>4*'ARP Timing'!P$11*VLOOKUP(Q$1,'ARP Score'!$A$5:$M20,$A9)</f>
        <v>31.911000000000001</v>
      </c>
      <c r="R9" s="1155">
        <f>4*'ARP Timing'!Q$11*VLOOKUP(R$1,'ARP Score'!$A$5:$M20,$A9)</f>
        <v>23.099</v>
      </c>
      <c r="S9" s="1155">
        <f>4*'ARP Timing'!R$11*VLOOKUP(S$1,'ARP Score'!$A$5:$M20,$A9)</f>
        <v>23.099</v>
      </c>
      <c r="T9" s="1155">
        <f>4*'ARP Timing'!S$11*VLOOKUP(T$1,'ARP Score'!$A$5:$M20,$A9)</f>
        <v>23.099</v>
      </c>
      <c r="U9" s="1155">
        <f>4*'ARP Timing'!T$11*VLOOKUP(U$1,'ARP Score'!$A$5:$M20,$A9)</f>
        <v>23.099</v>
      </c>
      <c r="V9" s="1155">
        <f>4*'ARP Timing'!U$11*VLOOKUP(V$1,'ARP Score'!$A$5:$M20,$A9)</f>
        <v>10.766999999999999</v>
      </c>
      <c r="W9" s="1155">
        <f t="shared" si="0"/>
        <v>152.74300000000005</v>
      </c>
    </row>
    <row r="10" spans="1:23" x14ac:dyDescent="0.35">
      <c r="A10" s="1162">
        <v>11</v>
      </c>
      <c r="B10" s="1158" t="s">
        <v>412</v>
      </c>
      <c r="C10" s="1155">
        <f>4*'ARP Timing'!B$11*VLOOKUP(C$1,'ARP Score'!$A$5:$M22,$A10)</f>
        <v>0</v>
      </c>
      <c r="D10" s="1155">
        <f>4*'ARP Timing'!C$11*VLOOKUP(D$1,'ARP Score'!$A$5:$M22,$A10)</f>
        <v>59.256</v>
      </c>
      <c r="E10" s="1155">
        <f>4*'ARP Timing'!D$11*VLOOKUP(E$1,'ARP Score'!$A$5:$M22,$A10)</f>
        <v>59.256</v>
      </c>
      <c r="F10" s="1155">
        <f>4*'ARP Timing'!E$11*VLOOKUP(F$1,'ARP Score'!$A$5:$M22,$A10)</f>
        <v>35.671000000000006</v>
      </c>
      <c r="G10" s="1155">
        <f>4*'ARP Timing'!F$11*VLOOKUP(G$1,'ARP Score'!$A$5:$M22,$A10)</f>
        <v>35.671000000000006</v>
      </c>
      <c r="H10" s="1155">
        <f>4*'ARP Timing'!G$11*VLOOKUP(H$1,'ARP Score'!$A$5:$M22,$A10)</f>
        <v>35.671000000000006</v>
      </c>
      <c r="I10" s="1155">
        <f>4*'ARP Timing'!H$11*VLOOKUP(I$1,'ARP Score'!$A$5:$M22,$A10)</f>
        <v>35.671000000000006</v>
      </c>
      <c r="J10" s="1155">
        <f>4*'ARP Timing'!I$11*VLOOKUP(J$1,'ARP Score'!$A$5:$M22,$A10)</f>
        <v>24.216000000000001</v>
      </c>
      <c r="K10" s="1155">
        <f>4*'ARP Timing'!J$11*VLOOKUP(K$1,'ARP Score'!$A$5:$M22,$A10)</f>
        <v>24.216000000000001</v>
      </c>
      <c r="L10" s="1155">
        <f>4*'ARP Timing'!K$11*VLOOKUP(L$1,'ARP Score'!$A$5:$M22,$A10)</f>
        <v>24.216000000000001</v>
      </c>
      <c r="M10" s="1155">
        <f>4*'ARP Timing'!L$11*VLOOKUP(M$1,'ARP Score'!$A$5:$M22,$A10)</f>
        <v>24.216000000000001</v>
      </c>
      <c r="N10" s="1155">
        <f>4*'ARP Timing'!M$11*VLOOKUP(N$1,'ARP Score'!$A$5:$M22,$A10)</f>
        <v>9.6430000000000007</v>
      </c>
      <c r="O10" s="1155">
        <f>4*'ARP Timing'!N$11*VLOOKUP(O$1,'ARP Score'!$A$5:$M22,$A10)</f>
        <v>9.6430000000000007</v>
      </c>
      <c r="P10" s="1155">
        <f>4*'ARP Timing'!O$11*VLOOKUP(P$1,'ARP Score'!$A$5:$M22,$A10)</f>
        <v>9.6430000000000007</v>
      </c>
      <c r="Q10" s="1155">
        <f>4*'ARP Timing'!P$11*VLOOKUP(Q$1,'ARP Score'!$A$5:$M22,$A10)</f>
        <v>9.6430000000000007</v>
      </c>
      <c r="R10" s="1155">
        <f>4*'ARP Timing'!Q$11*VLOOKUP(R$1,'ARP Score'!$A$5:$M22,$A10)</f>
        <v>4.5789999999999997</v>
      </c>
      <c r="S10" s="1155">
        <f>4*'ARP Timing'!R$11*VLOOKUP(S$1,'ARP Score'!$A$5:$M22,$A10)</f>
        <v>4.5789999999999997</v>
      </c>
      <c r="T10" s="1155">
        <f>4*'ARP Timing'!S$11*VLOOKUP(T$1,'ARP Score'!$A$5:$M22,$A10)</f>
        <v>4.5789999999999997</v>
      </c>
      <c r="U10" s="1155">
        <f>4*'ARP Timing'!T$11*VLOOKUP(U$1,'ARP Score'!$A$5:$M22,$A10)</f>
        <v>4.5789999999999997</v>
      </c>
      <c r="V10" s="1155">
        <f>4*'ARP Timing'!U$11*VLOOKUP(V$1,'ARP Score'!$A$5:$M22,$A10)</f>
        <v>2.9130000000000003</v>
      </c>
      <c r="W10" s="1155">
        <f t="shared" si="0"/>
        <v>103.73700000000002</v>
      </c>
    </row>
    <row r="11" spans="1:23" x14ac:dyDescent="0.35">
      <c r="A11" s="1163">
        <v>12</v>
      </c>
      <c r="B11" s="14" t="s">
        <v>159</v>
      </c>
      <c r="C11" s="1155">
        <f>4*'ARP Timing'!B12*VLOOKUP(C$1,'ARP Score'!$A$5:$M20,$A11)</f>
        <v>103</v>
      </c>
      <c r="D11" s="1155">
        <f>4*'ARP Timing'!C12*VLOOKUP(D$1,'ARP Score'!$A$5:$M20,$A11)</f>
        <v>0</v>
      </c>
      <c r="E11" s="1155">
        <f>4*'ARP Timing'!D12*VLOOKUP(E$1,'ARP Score'!$A$5:$M20,$A11)</f>
        <v>0</v>
      </c>
      <c r="F11" s="1155">
        <f>4*'ARP Timing'!E12*VLOOKUP(F$1,'ARP Score'!$A$5:$M20,$A11)</f>
        <v>0</v>
      </c>
      <c r="G11" s="1155">
        <f>4*'ARP Timing'!F12*VLOOKUP(G$1,'ARP Score'!$A$5:$M20,$A11)</f>
        <v>0</v>
      </c>
      <c r="H11" s="1155">
        <f>4*'ARP Timing'!G12*VLOOKUP(H$1,'ARP Score'!$A$5:$M20,$A11)</f>
        <v>0</v>
      </c>
      <c r="I11" s="1155">
        <f>4*'ARP Timing'!H12*VLOOKUP(I$1,'ARP Score'!$A$5:$M20,$A11)</f>
        <v>0</v>
      </c>
      <c r="J11" s="1155">
        <f>4*'ARP Timing'!I12*VLOOKUP(J$1,'ARP Score'!$A$5:$M20,$A11)</f>
        <v>0</v>
      </c>
      <c r="K11" s="1155">
        <f>4*'ARP Timing'!J12*VLOOKUP(K$1,'ARP Score'!$A$5:$M20,$A11)</f>
        <v>0</v>
      </c>
      <c r="L11" s="1155">
        <f>4*'ARP Timing'!K12*VLOOKUP(L$1,'ARP Score'!$A$5:$M20,$A11)</f>
        <v>0</v>
      </c>
      <c r="M11" s="1155">
        <f>4*'ARP Timing'!L12*VLOOKUP(M$1,'ARP Score'!$A$5:$M20,$A11)</f>
        <v>0</v>
      </c>
      <c r="N11" s="1155">
        <f>4*'ARP Timing'!M12*VLOOKUP(N$1,'ARP Score'!$A$5:$M20,$A11)</f>
        <v>0</v>
      </c>
      <c r="O11" s="1155">
        <f>4*'ARP Timing'!N12*VLOOKUP(O$1,'ARP Score'!$A$5:$M20,$A11)</f>
        <v>0</v>
      </c>
      <c r="P11" s="1155">
        <f>4*'ARP Timing'!O12*VLOOKUP(P$1,'ARP Score'!$A$5:$M20,$A11)</f>
        <v>0</v>
      </c>
      <c r="Q11" s="1155">
        <f>4*'ARP Timing'!P12*VLOOKUP(Q$1,'ARP Score'!$A$5:$M20,$A11)</f>
        <v>0</v>
      </c>
      <c r="R11" s="1155">
        <f>4*'ARP Timing'!Q12*VLOOKUP(R$1,'ARP Score'!$A$5:$M20,$A11)</f>
        <v>0</v>
      </c>
      <c r="S11" s="1155">
        <f>4*'ARP Timing'!R12*VLOOKUP(S$1,'ARP Score'!$A$5:$M20,$A11)</f>
        <v>0</v>
      </c>
      <c r="T11" s="1155">
        <f>4*'ARP Timing'!S12*VLOOKUP(T$1,'ARP Score'!$A$5:$M20,$A11)</f>
        <v>0</v>
      </c>
      <c r="U11" s="1155">
        <f>4*'ARP Timing'!T12*VLOOKUP(U$1,'ARP Score'!$A$5:$M20,$A11)</f>
        <v>0</v>
      </c>
      <c r="V11" s="1155">
        <f>4*'ARP Timing'!U12*VLOOKUP(V$1,'ARP Score'!$A$5:$M20,$A11)</f>
        <v>0</v>
      </c>
      <c r="W11" s="1155">
        <f t="shared" si="0"/>
        <v>25.75</v>
      </c>
    </row>
    <row r="12" spans="1:23" x14ac:dyDescent="0.35">
      <c r="A12" s="1163">
        <v>13</v>
      </c>
      <c r="B12" s="1156" t="s">
        <v>109</v>
      </c>
      <c r="C12" s="1155">
        <f>4*'ARP Timing'!B13*VLOOKUP(C$1,'ARP Score'!$A$5:$M21,$A12)</f>
        <v>0</v>
      </c>
      <c r="D12" s="1155">
        <f>4*'ARP Timing'!C13*VLOOKUP(D$1,'ARP Score'!$A$5:$M21,$A12)</f>
        <v>51.102400000000003</v>
      </c>
      <c r="E12" s="1155">
        <f>4*'ARP Timing'!D13*VLOOKUP(E$1,'ARP Score'!$A$5:$M21,$A12)</f>
        <v>76.653599999999997</v>
      </c>
      <c r="F12" s="1155">
        <f>4*'ARP Timing'!E13*VLOOKUP(F$1,'ARP Score'!$A$5:$M21,$A12)</f>
        <v>90.260800000000003</v>
      </c>
      <c r="G12" s="1155">
        <f>4*'ARP Timing'!F13*VLOOKUP(G$1,'ARP Score'!$A$5:$M21,$A12)</f>
        <v>67.695599999999999</v>
      </c>
      <c r="H12" s="1155">
        <f>4*'ARP Timing'!G13*VLOOKUP(H$1,'ARP Score'!$A$5:$M21,$A12)</f>
        <v>45.130400000000002</v>
      </c>
      <c r="I12" s="1155">
        <f>4*'ARP Timing'!H13*VLOOKUP(I$1,'ARP Score'!$A$5:$M21,$A12)</f>
        <v>22.565200000000001</v>
      </c>
      <c r="J12" s="1155">
        <f>4*'ARP Timing'!I13*VLOOKUP(J$1,'ARP Score'!$A$5:$M21,$A12)</f>
        <v>15.652999999999999</v>
      </c>
      <c r="K12" s="1155">
        <f>4*'ARP Timing'!J13*VLOOKUP(K$1,'ARP Score'!$A$5:$M21,$A12)</f>
        <v>15.652999999999999</v>
      </c>
      <c r="L12" s="1155">
        <f>4*'ARP Timing'!K13*VLOOKUP(L$1,'ARP Score'!$A$5:$M21,$A12)</f>
        <v>15.652999999999999</v>
      </c>
      <c r="M12" s="1155">
        <f>4*'ARP Timing'!L13*VLOOKUP(M$1,'ARP Score'!$A$5:$M21,$A12)</f>
        <v>15.652999999999999</v>
      </c>
      <c r="N12" s="1155">
        <f>4*'ARP Timing'!M13*VLOOKUP(N$1,'ARP Score'!$A$5:$M21,$A12)</f>
        <v>3.9320000000000004</v>
      </c>
      <c r="O12" s="1155">
        <f>4*'ARP Timing'!N13*VLOOKUP(O$1,'ARP Score'!$A$5:$M21,$A12)</f>
        <v>3.9320000000000004</v>
      </c>
      <c r="P12" s="1155">
        <f>4*'ARP Timing'!O13*VLOOKUP(P$1,'ARP Score'!$A$5:$M21,$A12)</f>
        <v>3.9320000000000004</v>
      </c>
      <c r="Q12" s="1155">
        <f>4*'ARP Timing'!P13*VLOOKUP(Q$1,'ARP Score'!$A$5:$M21,$A12)</f>
        <v>3.9320000000000004</v>
      </c>
      <c r="R12" s="1155">
        <f>4*'ARP Timing'!Q13*VLOOKUP(R$1,'ARP Score'!$A$5:$M21,$A12)</f>
        <v>-0.74299999999999988</v>
      </c>
      <c r="S12" s="1155">
        <f>4*'ARP Timing'!R13*VLOOKUP(S$1,'ARP Score'!$A$5:$M21,$A12)</f>
        <v>-0.74299999999999988</v>
      </c>
      <c r="T12" s="1155">
        <f>4*'ARP Timing'!S13*VLOOKUP(T$1,'ARP Score'!$A$5:$M21,$A12)</f>
        <v>-0.74299999999999988</v>
      </c>
      <c r="U12" s="1155">
        <f>4*'ARP Timing'!T13*VLOOKUP(U$1,'ARP Score'!$A$5:$M21,$A12)</f>
        <v>-0.74299999999999988</v>
      </c>
      <c r="V12" s="1155">
        <f>4*'ARP Timing'!U13*VLOOKUP(V$1,'ARP Score'!$A$5:$M21,$A12)</f>
        <v>-21.606000000000002</v>
      </c>
      <c r="W12" s="1155">
        <f t="shared" si="0"/>
        <v>107.19400000000005</v>
      </c>
    </row>
    <row r="13" spans="1:23" x14ac:dyDescent="0.35">
      <c r="A13" s="1163">
        <v>15</v>
      </c>
      <c r="B13" s="1163" t="s">
        <v>837</v>
      </c>
      <c r="C13" s="1155">
        <f>0.3*'ARP Score'!$N5*4*'ARP Timing'!B6</f>
        <v>0</v>
      </c>
      <c r="D13" s="1155">
        <f>0.3*'ARP Score'!$N5*4*'ARP Timing'!C6</f>
        <v>1.7544</v>
      </c>
      <c r="E13" s="1155">
        <f>0.3*'ARP Score'!$N5*4*'ARP Timing'!D6</f>
        <v>2.3255999999999997</v>
      </c>
      <c r="F13" s="1155">
        <f>0.3*'ARP Score'!$N6*4*'ARP Timing'!E6</f>
        <v>1.5299999999999998</v>
      </c>
      <c r="G13" s="1155">
        <f>0.3*'ARP Score'!$N6*4*'ARP Timing'!F6</f>
        <v>1.5299999999999998</v>
      </c>
      <c r="H13" s="1155">
        <f>0.3*'ARP Score'!$N6*4*'ARP Timing'!G6</f>
        <v>1.5299999999999998</v>
      </c>
      <c r="I13" s="1155">
        <f>0.3*'ARP Score'!$N6*4*'ARP Timing'!H6</f>
        <v>1.5299999999999998</v>
      </c>
      <c r="J13" s="1155">
        <f>0.3*'ARP Score'!$N7*4*'ARP Timing'!I6</f>
        <v>0</v>
      </c>
      <c r="K13" s="1155">
        <f>0.3*'ARP Score'!$N7*4*'ARP Timing'!J6</f>
        <v>0</v>
      </c>
      <c r="L13" s="1155">
        <f>0.3*'ARP Score'!$N7*4*'ARP Timing'!K6</f>
        <v>0</v>
      </c>
      <c r="M13" s="1155">
        <f>0.3*'ARP Score'!$N7*4*'ARP Timing'!L6</f>
        <v>0</v>
      </c>
      <c r="N13" s="1155">
        <f>0.3*'ARP Score'!$N7*4*'ARP Timing'!M6</f>
        <v>0</v>
      </c>
      <c r="O13" s="1155">
        <f>0.3*'ARP Score'!$N7*4*'ARP Timing'!N6</f>
        <v>0</v>
      </c>
      <c r="P13" s="1155">
        <f>0.3*'ARP Score'!$N7*4*'ARP Timing'!O6</f>
        <v>0</v>
      </c>
      <c r="Q13" s="1155">
        <f>0.3*'ARP Score'!$N7*4*'ARP Timing'!P6</f>
        <v>0</v>
      </c>
      <c r="R13" s="1155">
        <f>0.3*'ARP Score'!$N7*4*'ARP Timing'!Q6</f>
        <v>0</v>
      </c>
      <c r="S13" s="1155">
        <f>0.3*'ARP Score'!$N7*4*'ARP Timing'!R6</f>
        <v>0</v>
      </c>
      <c r="T13" s="1155">
        <f>0.3*'ARP Score'!$N7*4*'ARP Timing'!S6</f>
        <v>0</v>
      </c>
      <c r="U13" s="1155">
        <f>0.3*'ARP Score'!$N7*4*'ARP Timing'!T6</f>
        <v>0</v>
      </c>
      <c r="V13" s="1155">
        <f>0.3*'ARP Score'!$N7*4*'ARP Timing'!U6</f>
        <v>0</v>
      </c>
      <c r="W13" s="1155">
        <f t="shared" si="0"/>
        <v>2.5499999999999994</v>
      </c>
    </row>
    <row r="14" spans="1:23" x14ac:dyDescent="0.35">
      <c r="A14" s="1163">
        <v>14</v>
      </c>
      <c r="B14" s="1163" t="s">
        <v>838</v>
      </c>
      <c r="C14" s="1155">
        <f>C13/0.3*0.2</f>
        <v>0</v>
      </c>
      <c r="D14" s="1155">
        <f t="shared" ref="D14:F14" si="1">D13/0.3*0.2</f>
        <v>1.1696</v>
      </c>
      <c r="E14" s="1155">
        <f t="shared" si="1"/>
        <v>1.5503999999999998</v>
      </c>
      <c r="F14" s="1155">
        <f t="shared" si="1"/>
        <v>1.02</v>
      </c>
      <c r="G14" s="1155">
        <f t="shared" ref="G14" si="2">G13/0.3*0.2</f>
        <v>1.02</v>
      </c>
      <c r="H14" s="1155">
        <f t="shared" ref="H14" si="3">H13/0.3*0.2</f>
        <v>1.02</v>
      </c>
      <c r="I14" s="1155">
        <f t="shared" ref="I14" si="4">I13/0.3*0.2</f>
        <v>1.02</v>
      </c>
      <c r="J14" s="1155">
        <f t="shared" ref="J14" si="5">J13/0.3*0.2</f>
        <v>0</v>
      </c>
      <c r="K14" s="1155">
        <f t="shared" ref="K14" si="6">K13/0.3*0.2</f>
        <v>0</v>
      </c>
      <c r="L14" s="1155">
        <f t="shared" ref="L14" si="7">L13/0.3*0.2</f>
        <v>0</v>
      </c>
      <c r="M14" s="1155">
        <f t="shared" ref="M14" si="8">M13/0.3*0.2</f>
        <v>0</v>
      </c>
      <c r="N14" s="1155">
        <f t="shared" ref="N14" si="9">N13/0.3*0.2</f>
        <v>0</v>
      </c>
      <c r="O14" s="1155">
        <f t="shared" ref="O14" si="10">O13/0.3*0.2</f>
        <v>0</v>
      </c>
      <c r="P14" s="1155">
        <f t="shared" ref="P14" si="11">P13/0.3*0.2</f>
        <v>0</v>
      </c>
      <c r="Q14" s="1155">
        <f t="shared" ref="Q14" si="12">Q13/0.3*0.2</f>
        <v>0</v>
      </c>
      <c r="R14" s="1155">
        <f t="shared" ref="R14" si="13">R13/0.3*0.2</f>
        <v>0</v>
      </c>
      <c r="S14" s="1155">
        <f t="shared" ref="S14" si="14">S13/0.3*0.2</f>
        <v>0</v>
      </c>
      <c r="T14" s="1155">
        <f t="shared" ref="T14" si="15">T13/0.3*0.2</f>
        <v>0</v>
      </c>
      <c r="U14" s="1155">
        <f t="shared" ref="U14" si="16">U13/0.3*0.2</f>
        <v>0</v>
      </c>
      <c r="V14" s="1155">
        <f t="shared" ref="V14" si="17">V13/0.3*0.2</f>
        <v>0</v>
      </c>
      <c r="W14" s="1155">
        <f t="shared" si="0"/>
        <v>1.6999999999999997</v>
      </c>
    </row>
    <row r="15" spans="1:23" x14ac:dyDescent="0.35">
      <c r="A15" s="1163">
        <v>14</v>
      </c>
      <c r="B15" s="1163" t="s">
        <v>533</v>
      </c>
      <c r="C15" s="1155">
        <f>C14/0.2*0.5</f>
        <v>0</v>
      </c>
      <c r="D15" s="1155">
        <f t="shared" ref="D15:F15" si="18">D14/0.2*0.5</f>
        <v>2.9239999999999999</v>
      </c>
      <c r="E15" s="1155">
        <f t="shared" si="18"/>
        <v>3.8759999999999994</v>
      </c>
      <c r="F15" s="1155">
        <f t="shared" si="18"/>
        <v>2.5499999999999998</v>
      </c>
      <c r="G15" s="1155">
        <f t="shared" ref="G15" si="19">G14/0.2*0.5</f>
        <v>2.5499999999999998</v>
      </c>
      <c r="H15" s="1155">
        <f t="shared" ref="H15" si="20">H14/0.2*0.5</f>
        <v>2.5499999999999998</v>
      </c>
      <c r="I15" s="1155">
        <f t="shared" ref="I15" si="21">I14/0.2*0.5</f>
        <v>2.5499999999999998</v>
      </c>
      <c r="J15" s="1155">
        <f t="shared" ref="J15" si="22">J14/0.2*0.5</f>
        <v>0</v>
      </c>
      <c r="K15" s="1155">
        <f t="shared" ref="K15" si="23">K14/0.2*0.5</f>
        <v>0</v>
      </c>
      <c r="L15" s="1155">
        <f t="shared" ref="L15" si="24">L14/0.2*0.5</f>
        <v>0</v>
      </c>
      <c r="M15" s="1155">
        <f t="shared" ref="M15" si="25">M14/0.2*0.5</f>
        <v>0</v>
      </c>
      <c r="N15" s="1155">
        <f t="shared" ref="N15" si="26">N14/0.2*0.5</f>
        <v>0</v>
      </c>
      <c r="O15" s="1155">
        <f t="shared" ref="O15" si="27">O14/0.2*0.5</f>
        <v>0</v>
      </c>
      <c r="P15" s="1155">
        <f t="shared" ref="P15" si="28">P14/0.2*0.5</f>
        <v>0</v>
      </c>
      <c r="Q15" s="1155">
        <f t="shared" ref="Q15" si="29">Q14/0.2*0.5</f>
        <v>0</v>
      </c>
      <c r="R15" s="1155">
        <f t="shared" ref="R15" si="30">R14/0.2*0.5</f>
        <v>0</v>
      </c>
      <c r="S15" s="1155">
        <f t="shared" ref="S15" si="31">S14/0.2*0.5</f>
        <v>0</v>
      </c>
      <c r="T15" s="1155">
        <f t="shared" ref="T15" si="32">T14/0.2*0.5</f>
        <v>0</v>
      </c>
      <c r="U15" s="1155">
        <f t="shared" ref="U15" si="33">U14/0.2*0.5</f>
        <v>0</v>
      </c>
      <c r="V15" s="1155">
        <f t="shared" ref="V15" si="34">V14/0.2*0.5</f>
        <v>0</v>
      </c>
      <c r="W15" s="1155">
        <f t="shared" si="0"/>
        <v>4.25</v>
      </c>
    </row>
    <row r="16" spans="1:23" x14ac:dyDescent="0.35">
      <c r="C16" s="1155"/>
      <c r="D16" s="1155"/>
      <c r="E16" s="1155"/>
      <c r="F16" s="1155"/>
      <c r="G16" s="1155"/>
      <c r="H16" s="1155"/>
      <c r="I16" s="1155"/>
      <c r="J16" s="1155"/>
      <c r="K16" s="1155"/>
      <c r="L16" s="1155"/>
      <c r="M16" s="1155"/>
      <c r="N16" s="1155"/>
      <c r="O16" s="1155"/>
      <c r="P16" s="1155"/>
      <c r="Q16" s="1155"/>
      <c r="R16" s="1155"/>
      <c r="S16" s="1155"/>
      <c r="T16" s="1155"/>
      <c r="U16" s="1155"/>
      <c r="V16" s="1155"/>
      <c r="W16" s="1155"/>
    </row>
    <row r="17" spans="1:23" x14ac:dyDescent="0.35">
      <c r="A17" s="1163" t="s">
        <v>839</v>
      </c>
      <c r="C17" s="1155"/>
      <c r="D17" s="1155"/>
      <c r="E17" s="1155"/>
      <c r="F17" s="1155"/>
      <c r="G17" s="1155"/>
      <c r="H17" s="1155"/>
      <c r="I17" s="1155"/>
      <c r="J17" s="1155"/>
      <c r="K17" s="1155"/>
      <c r="L17" s="1155"/>
      <c r="M17" s="1155"/>
      <c r="N17" s="1155"/>
      <c r="O17" s="1155"/>
      <c r="P17" s="1155"/>
      <c r="Q17" s="1155"/>
      <c r="R17" s="1155"/>
      <c r="S17" s="1155"/>
      <c r="T17" s="1155"/>
      <c r="U17" s="1155"/>
      <c r="V17" s="1155"/>
      <c r="W17" s="1155"/>
    </row>
    <row r="18" spans="1:23" x14ac:dyDescent="0.35">
      <c r="B18" s="594" t="s">
        <v>143</v>
      </c>
      <c r="C18" s="1155">
        <f>'ARP Score'!$BG5/'ARP Score'!$G5*C6</f>
        <v>0</v>
      </c>
      <c r="D18" s="1155">
        <f>'ARP Score'!$BG5/'ARP Score'!$G5*D6</f>
        <v>2.2132800000000001</v>
      </c>
      <c r="E18" s="1155">
        <f>'ARP Score'!$BG5/'ARP Score'!$G5*E6</f>
        <v>10.082720000000002</v>
      </c>
      <c r="F18" s="1155">
        <f>'ARP Score'!$BG6/'ARP Score'!$G6*F6</f>
        <v>7.1439999999999992</v>
      </c>
      <c r="G18" s="1155">
        <f>'ARP Score'!$BG6/'ARP Score'!$G6*G6</f>
        <v>7.1439999999999992</v>
      </c>
      <c r="H18" s="1155">
        <f>'ARP Score'!$BG6/'ARP Score'!$G6*H6</f>
        <v>7.1439999999999992</v>
      </c>
      <c r="I18" s="1155">
        <f>'ARP Score'!$BG6/'ARP Score'!$G6*I6</f>
        <v>7.1439999999999992</v>
      </c>
      <c r="J18" s="1155">
        <f>'ARP Score'!$BG7/'ARP Score'!$G7*J6</f>
        <v>0</v>
      </c>
      <c r="K18" s="1155">
        <f>'ARP Score'!$BG7/'ARP Score'!$G7*K6</f>
        <v>0</v>
      </c>
      <c r="L18" s="1155">
        <f>'ARP Score'!$BG7/'ARP Score'!$G7*L6</f>
        <v>0</v>
      </c>
      <c r="M18" s="1155">
        <f>'ARP Score'!$BG7/'ARP Score'!$G7*M6</f>
        <v>0</v>
      </c>
      <c r="N18" s="1155"/>
      <c r="O18" s="1155"/>
      <c r="P18" s="1155"/>
      <c r="Q18" s="1155"/>
      <c r="R18" s="1155"/>
      <c r="S18" s="1155"/>
      <c r="T18" s="1155"/>
      <c r="U18" s="1155"/>
      <c r="V18" s="1155"/>
      <c r="W18" s="1155"/>
    </row>
    <row r="19" spans="1:23" x14ac:dyDescent="0.35">
      <c r="B19" s="594" t="s">
        <v>840</v>
      </c>
      <c r="C19" s="1155">
        <f>'ARP Score'!$BI5/'ARP Score'!$G5*C6</f>
        <v>0</v>
      </c>
      <c r="D19" s="1155">
        <f>'ARP Score'!$BI5/'ARP Score'!$G5*D6</f>
        <v>15.128640000000001</v>
      </c>
      <c r="E19" s="1155">
        <f>'ARP Score'!$BI5/'ARP Score'!$G5*E6</f>
        <v>68.919360000000012</v>
      </c>
      <c r="F19" s="1155">
        <f>'ARP Score'!$BI6/'ARP Score'!$G6*F6</f>
        <v>5.6120000000000001</v>
      </c>
      <c r="G19" s="1155">
        <f>'ARP Score'!$BI6/'ARP Score'!$G6*G6</f>
        <v>5.6120000000000001</v>
      </c>
      <c r="H19" s="1155">
        <f>'ARP Score'!$BI6/'ARP Score'!$G6*H6</f>
        <v>5.6120000000000001</v>
      </c>
      <c r="I19" s="1155">
        <f>'ARP Score'!$BI6/'ARP Score'!$G6*I6</f>
        <v>5.6120000000000001</v>
      </c>
      <c r="J19" s="1155">
        <f>'ARP Score'!$B7/'ARP Score'!$G7*J6</f>
        <v>0.48599999999999993</v>
      </c>
      <c r="K19" s="1155">
        <f>'ARP Score'!$B7/'ARP Score'!$G7*K6</f>
        <v>0.48599999999999993</v>
      </c>
      <c r="L19" s="1155">
        <f>'ARP Score'!$B7/'ARP Score'!$G7*L6</f>
        <v>0.48599999999999993</v>
      </c>
      <c r="M19" s="1155">
        <f>'ARP Score'!$B7/'ARP Score'!$G7*M6</f>
        <v>0.48599999999999993</v>
      </c>
      <c r="N19" s="1155">
        <f>'ARP Score'!$B8/'ARP Score'!$G8*N6</f>
        <v>0</v>
      </c>
      <c r="O19" s="1155"/>
      <c r="P19" s="1155"/>
      <c r="Q19" s="1155"/>
      <c r="R19" s="1155"/>
      <c r="S19" s="1155"/>
      <c r="T19" s="1155"/>
      <c r="U19" s="1155"/>
      <c r="V19" s="1155"/>
      <c r="W19" s="1155"/>
    </row>
    <row r="20" spans="1:23" x14ac:dyDescent="0.35">
      <c r="B20" s="594" t="s">
        <v>148</v>
      </c>
      <c r="C20" s="1155">
        <f>'ARP Score'!$BF5/'ARP Score'!$G5*C6</f>
        <v>0</v>
      </c>
      <c r="D20" s="1155">
        <f>'ARP Score'!$BF5/'ARP Score'!$G5*D6</f>
        <v>3.2479199999999997</v>
      </c>
      <c r="E20" s="1155">
        <f>'ARP Score'!$BF5/'ARP Score'!$G5*E6</f>
        <v>14.796080000000002</v>
      </c>
      <c r="F20" s="1155">
        <f>'ARP Score'!$BF6/'ARP Score'!$G6*F6</f>
        <v>1.7329999999999999</v>
      </c>
      <c r="G20" s="1155">
        <f>'ARP Score'!$BF6/'ARP Score'!$G6*G6</f>
        <v>1.7329999999999999</v>
      </c>
      <c r="H20" s="1155">
        <f>'ARP Score'!$BF6/'ARP Score'!$G6*H6</f>
        <v>1.7329999999999999</v>
      </c>
      <c r="I20" s="1155">
        <f>'ARP Score'!$BF6/'ARP Score'!$G6*I6</f>
        <v>1.7329999999999999</v>
      </c>
      <c r="J20" s="1155">
        <f>'ARP Score'!$BF7/'ARP Score'!$G7*J6</f>
        <v>0</v>
      </c>
      <c r="K20" s="1155">
        <f>'ARP Score'!$BF7/'ARP Score'!$G7*K6</f>
        <v>0</v>
      </c>
      <c r="L20" s="1155">
        <f>'ARP Score'!$BF7/'ARP Score'!$G7*L6</f>
        <v>0</v>
      </c>
      <c r="M20" s="1155">
        <f>'ARP Score'!$BF7/'ARP Score'!$G7*M6</f>
        <v>0</v>
      </c>
      <c r="N20" s="1155"/>
      <c r="O20" s="1155"/>
      <c r="P20" s="1155"/>
      <c r="Q20" s="1155"/>
      <c r="R20" s="1155"/>
      <c r="S20" s="1155"/>
      <c r="T20" s="1155"/>
      <c r="U20" s="1155"/>
      <c r="V20" s="1155"/>
      <c r="W20" s="1155"/>
    </row>
    <row r="21" spans="1:23" x14ac:dyDescent="0.35">
      <c r="B21" s="1164" t="s">
        <v>475</v>
      </c>
      <c r="C21" s="1155">
        <f>15/40*(C6*'ARP Score'!$BD5/'ARP Score'!$G5)</f>
        <v>0</v>
      </c>
      <c r="D21" s="1155">
        <f>15/40*(D6*('ARP Score'!$BD5+'ARP Score'!$BE5)/'ARP Score'!$G5)</f>
        <v>13.2921</v>
      </c>
      <c r="E21" s="1155">
        <f>15/40*(E6*('ARP Score'!$BD5+'ARP Score'!$BE5)/'ARP Score'!$G5)</f>
        <v>60.552900000000008</v>
      </c>
      <c r="F21" s="1155">
        <f>15/40*(F6*('ARP Score'!$BD6+'ARP Score'!$BE6)/'ARP Score'!$G6)</f>
        <v>1.0687500000000001</v>
      </c>
      <c r="G21" s="1155">
        <f>15/40*(G6*('ARP Score'!$BD6+'ARP Score'!$BE6)/'ARP Score'!$G6)</f>
        <v>1.0687500000000001</v>
      </c>
      <c r="H21" s="1155">
        <f>15/40*(H6*('ARP Score'!$BD6+'ARP Score'!$BE6)/'ARP Score'!$G6)</f>
        <v>1.0687500000000001</v>
      </c>
      <c r="I21" s="1155">
        <f>15/40*(I6*('ARP Score'!$BD6+'ARP Score'!$BE6)/'ARP Score'!$G6)</f>
        <v>1.0687500000000001</v>
      </c>
      <c r="J21" s="1155">
        <f>15/40*(J6*('ARP Score'!$BD7+'ARP Score'!$BE7)/'ARP Score'!$G7)</f>
        <v>0.78750000000000009</v>
      </c>
      <c r="K21" s="1155">
        <f>15/40*(K6*('ARP Score'!$BD7+'ARP Score'!$BE7)/'ARP Score'!$G7)</f>
        <v>0.78750000000000009</v>
      </c>
      <c r="L21" s="1155">
        <f>15/40*(L6*('ARP Score'!$BD7+'ARP Score'!$BE7)/'ARP Score'!$G7)</f>
        <v>0.78750000000000009</v>
      </c>
      <c r="M21" s="1155">
        <f>15/40*(M6*('ARP Score'!$BD7+'ARP Score'!$BE7)/'ARP Score'!$G7)</f>
        <v>0.78750000000000009</v>
      </c>
      <c r="N21" s="1155"/>
      <c r="O21" s="1155"/>
      <c r="P21" s="1155"/>
      <c r="Q21" s="1155"/>
      <c r="R21" s="1155"/>
      <c r="S21" s="1155"/>
      <c r="T21" s="1155"/>
      <c r="U21" s="1155"/>
      <c r="V21" s="1155"/>
      <c r="W21" s="1155"/>
    </row>
    <row r="22" spans="1:23" x14ac:dyDescent="0.35">
      <c r="B22" s="1164" t="s">
        <v>841</v>
      </c>
      <c r="C22" s="1155"/>
      <c r="D22" s="1155">
        <f>D21/15*25</f>
        <v>22.153499999999998</v>
      </c>
      <c r="E22" s="1155">
        <f>E21/15*25</f>
        <v>100.92150000000002</v>
      </c>
      <c r="F22" s="1155">
        <f>F21/15*25</f>
        <v>1.7812500000000002</v>
      </c>
      <c r="G22" s="1155">
        <f>G21/15*25</f>
        <v>1.7812500000000002</v>
      </c>
      <c r="H22" s="1155">
        <f t="shared" ref="H22:J22" si="35">H21/15*25</f>
        <v>1.7812500000000002</v>
      </c>
      <c r="I22" s="1155">
        <f t="shared" si="35"/>
        <v>1.7812500000000002</v>
      </c>
      <c r="J22" s="1155">
        <f t="shared" si="35"/>
        <v>1.3125000000000002</v>
      </c>
      <c r="K22" s="1155">
        <f t="shared" ref="K22" si="36">K21/15*25</f>
        <v>1.3125000000000002</v>
      </c>
      <c r="L22" s="1155">
        <f t="shared" ref="L22" si="37">L21/15*25</f>
        <v>1.3125000000000002</v>
      </c>
      <c r="M22" s="1155">
        <f t="shared" ref="M22" si="38">M21/15*25</f>
        <v>1.3125000000000002</v>
      </c>
      <c r="N22" s="1155"/>
      <c r="O22" s="1155"/>
      <c r="P22" s="1155"/>
      <c r="Q22" s="1155"/>
      <c r="R22" s="1155"/>
      <c r="S22" s="1155"/>
      <c r="T22" s="1155"/>
      <c r="U22" s="1155"/>
      <c r="V22" s="1155"/>
      <c r="W22" s="1155"/>
    </row>
    <row r="23" spans="1:23" x14ac:dyDescent="0.35">
      <c r="B23" s="594" t="s">
        <v>487</v>
      </c>
      <c r="C23" s="1155">
        <f>'ARP Score'!$BB5/'ARP Score'!$G5*C6</f>
        <v>0</v>
      </c>
      <c r="D23" s="1155">
        <f>'ARP Score'!$BB5/'ARP Score'!$G5*D6</f>
        <v>2.9519999999999995</v>
      </c>
      <c r="E23" s="1155">
        <f>'ARP Score'!$BB5/'ARP Score'!$G5*E6</f>
        <v>13.448</v>
      </c>
      <c r="F23" s="1155">
        <f>'ARP Score'!$BB6/'ARP Score'!$G6*F6</f>
        <v>11.3</v>
      </c>
      <c r="G23" s="1155">
        <f>'ARP Score'!$BB6/'ARP Score'!$G6*G6</f>
        <v>11.3</v>
      </c>
      <c r="H23" s="1155">
        <f>'ARP Score'!$BB6/'ARP Score'!$G6*H6</f>
        <v>11.3</v>
      </c>
      <c r="I23" s="1155">
        <f>'ARP Score'!$BB6/'ARP Score'!$G6*I6</f>
        <v>11.3</v>
      </c>
      <c r="J23" s="1155">
        <f>'ARP Score'!$BB7/'ARP Score'!$G7*J6</f>
        <v>8.4</v>
      </c>
      <c r="K23" s="1155">
        <f>'ARP Score'!$BB7/'ARP Score'!$G7*K6</f>
        <v>8.4</v>
      </c>
      <c r="L23" s="1155">
        <f>'ARP Score'!$BB7/'ARP Score'!$G7*L6</f>
        <v>8.4</v>
      </c>
      <c r="M23" s="1155">
        <f>'ARP Score'!$BB7/'ARP Score'!$G7*M6</f>
        <v>8.4</v>
      </c>
      <c r="N23" s="1155">
        <f>'ARP Score'!$BB8/'ARP Score'!$G8*N6</f>
        <v>0.2</v>
      </c>
      <c r="O23" s="1155">
        <f>'ARP Score'!$BB8/'ARP Score'!$G8*O6</f>
        <v>0.2</v>
      </c>
      <c r="P23" s="1155">
        <f>'ARP Score'!$BB8/'ARP Score'!$G8*P6</f>
        <v>0.2</v>
      </c>
      <c r="Q23" s="1155">
        <f>'ARP Score'!$BB8/'ARP Score'!$G8*Q6</f>
        <v>0.2</v>
      </c>
      <c r="R23" s="1155"/>
      <c r="S23" s="1155"/>
      <c r="T23" s="1155"/>
      <c r="U23" s="1155"/>
      <c r="V23" s="1155"/>
      <c r="W23" s="1155"/>
    </row>
    <row r="24" spans="1:23" x14ac:dyDescent="0.35">
      <c r="B24" s="594" t="s">
        <v>488</v>
      </c>
      <c r="C24" s="1155">
        <f>'ARP Score'!$BH5/'ARP Score'!$G5*C6</f>
        <v>0</v>
      </c>
      <c r="D24" s="1155">
        <f>'ARP Score'!$BH5/'ARP Score'!$G5*D6</f>
        <v>-0.20447999999999997</v>
      </c>
      <c r="E24" s="1155">
        <f>'ARP Score'!$BH5/'ARP Score'!$G5*E6</f>
        <v>-0.93152000000000001</v>
      </c>
      <c r="F24" s="1155">
        <f>'ARP Score'!$BH6/'ARP Score'!$G6*F6</f>
        <v>81.608999999999995</v>
      </c>
      <c r="G24" s="1155">
        <f>'ARP Score'!$BH6/'ARP Score'!$G6*G6</f>
        <v>81.608999999999995</v>
      </c>
      <c r="H24" s="1155">
        <f>'ARP Score'!$BH6/'ARP Score'!$G6*H6</f>
        <v>81.608999999999995</v>
      </c>
      <c r="I24" s="1155">
        <f>'ARP Score'!$BH6/'ARP Score'!$G6*I6</f>
        <v>81.608999999999995</v>
      </c>
      <c r="J24" s="1155">
        <f>'ARP Score'!$BH7/'ARP Score'!$G7*J6</f>
        <v>1.3759999999999999</v>
      </c>
      <c r="K24" s="1155">
        <f>'ARP Score'!$BH7/'ARP Score'!$G7*K6</f>
        <v>1.3759999999999999</v>
      </c>
      <c r="L24" s="1155">
        <f>'ARP Score'!$BH7/'ARP Score'!$G7*L6</f>
        <v>1.3759999999999999</v>
      </c>
      <c r="M24" s="1155">
        <f>'ARP Score'!$BH7/'ARP Score'!$G7*M6</f>
        <v>1.3759999999999999</v>
      </c>
      <c r="N24" s="1155">
        <f>'ARP Score'!$BH8/'ARP Score'!$G8*N6</f>
        <v>-0.87500000000000011</v>
      </c>
      <c r="O24" s="1155">
        <f>'ARP Score'!$BH8/'ARP Score'!$G8*O6</f>
        <v>-0.87500000000000011</v>
      </c>
      <c r="P24" s="1155">
        <f>'ARP Score'!$BH8/'ARP Score'!$G8*P6</f>
        <v>-0.87500000000000011</v>
      </c>
      <c r="Q24" s="1155">
        <f>'ARP Score'!$BH8/'ARP Score'!$G8*Q6</f>
        <v>-0.87500000000000011</v>
      </c>
      <c r="R24" s="1155"/>
      <c r="S24" s="1155"/>
      <c r="T24" s="1155"/>
      <c r="U24" s="1155"/>
      <c r="V24" s="1155"/>
      <c r="W24" s="1155"/>
    </row>
    <row r="25" spans="1:23" x14ac:dyDescent="0.35">
      <c r="B25" s="594" t="s">
        <v>360</v>
      </c>
      <c r="C25" s="1155">
        <f>SUM(C18:C24)</f>
        <v>0</v>
      </c>
      <c r="D25" s="1155">
        <f t="shared" ref="D25:Q25" si="39">SUM(D18:D24)</f>
        <v>58.782959999999996</v>
      </c>
      <c r="E25" s="1155">
        <f t="shared" si="39"/>
        <v>267.78904000000006</v>
      </c>
      <c r="F25" s="1155">
        <f t="shared" si="39"/>
        <v>110.24799999999999</v>
      </c>
      <c r="G25" s="1155">
        <f t="shared" si="39"/>
        <v>110.24799999999999</v>
      </c>
      <c r="H25" s="1155">
        <f t="shared" si="39"/>
        <v>110.24799999999999</v>
      </c>
      <c r="I25" s="1155">
        <f t="shared" si="39"/>
        <v>110.24799999999999</v>
      </c>
      <c r="J25" s="1155">
        <f t="shared" si="39"/>
        <v>12.362</v>
      </c>
      <c r="K25" s="1155">
        <f t="shared" si="39"/>
        <v>12.362</v>
      </c>
      <c r="L25" s="1155">
        <f t="shared" si="39"/>
        <v>12.362</v>
      </c>
      <c r="M25" s="1155">
        <f t="shared" si="39"/>
        <v>12.362</v>
      </c>
      <c r="N25" s="1155">
        <f t="shared" si="39"/>
        <v>-0.67500000000000004</v>
      </c>
      <c r="O25" s="1155">
        <f t="shared" si="39"/>
        <v>-0.67500000000000004</v>
      </c>
      <c r="P25" s="1155">
        <f t="shared" si="39"/>
        <v>-0.67500000000000004</v>
      </c>
      <c r="Q25" s="1155">
        <f t="shared" si="39"/>
        <v>-0.67500000000000004</v>
      </c>
      <c r="R25" s="1155"/>
      <c r="S25" s="1155"/>
      <c r="T25" s="1155"/>
      <c r="U25" s="1155"/>
      <c r="V25" s="1155"/>
      <c r="W25" s="1155"/>
    </row>
    <row r="26" spans="1:23" x14ac:dyDescent="0.35">
      <c r="D26" s="1157">
        <f>D6-D25</f>
        <v>0</v>
      </c>
      <c r="E26" s="1157">
        <f t="shared" ref="E26:M26" si="40">E6-E25</f>
        <v>0</v>
      </c>
      <c r="F26" s="1157">
        <f t="shared" si="40"/>
        <v>0</v>
      </c>
      <c r="G26" s="1157">
        <f t="shared" si="40"/>
        <v>0</v>
      </c>
      <c r="H26" s="1157">
        <f t="shared" si="40"/>
        <v>0</v>
      </c>
      <c r="I26" s="1157">
        <f t="shared" si="40"/>
        <v>0</v>
      </c>
      <c r="J26" s="1157">
        <f t="shared" si="40"/>
        <v>0.36400000000000077</v>
      </c>
      <c r="K26" s="1157">
        <f t="shared" si="40"/>
        <v>0.36400000000000077</v>
      </c>
      <c r="L26" s="1157">
        <f t="shared" si="40"/>
        <v>0.36400000000000077</v>
      </c>
      <c r="M26" s="1157">
        <f t="shared" si="40"/>
        <v>0.36400000000000077</v>
      </c>
    </row>
    <row r="27" spans="1:23" x14ac:dyDescent="0.35">
      <c r="B27" s="1163" t="s">
        <v>842</v>
      </c>
      <c r="D27" s="85" t="s">
        <v>296</v>
      </c>
      <c r="E27" s="85" t="s">
        <v>180</v>
      </c>
      <c r="F27" s="85" t="s">
        <v>181</v>
      </c>
      <c r="G27" s="85" t="s">
        <v>182</v>
      </c>
      <c r="H27" s="85" t="s">
        <v>183</v>
      </c>
      <c r="I27" s="85" t="s">
        <v>184</v>
      </c>
      <c r="J27" s="85" t="s">
        <v>185</v>
      </c>
      <c r="K27" s="85" t="s">
        <v>186</v>
      </c>
      <c r="L27" s="85" t="s">
        <v>187</v>
      </c>
      <c r="M27" s="85" t="s">
        <v>188</v>
      </c>
      <c r="N27" s="85" t="s">
        <v>189</v>
      </c>
      <c r="O27" s="85" t="s">
        <v>190</v>
      </c>
      <c r="P27" s="85" t="s">
        <v>191</v>
      </c>
      <c r="Q27" s="85" t="s">
        <v>175</v>
      </c>
      <c r="R27" s="85" t="s">
        <v>176</v>
      </c>
      <c r="S27" s="85" t="s">
        <v>177</v>
      </c>
      <c r="T27" s="85" t="s">
        <v>833</v>
      </c>
      <c r="U27" s="85" t="s">
        <v>834</v>
      </c>
      <c r="V27" s="85" t="s">
        <v>835</v>
      </c>
    </row>
    <row r="28" spans="1:23" x14ac:dyDescent="0.35">
      <c r="B28" s="1156"/>
      <c r="C28" s="1157" t="s">
        <v>360</v>
      </c>
      <c r="D28" s="1159">
        <f>SUM(D29:D43)</f>
        <v>5.8765000000000009</v>
      </c>
      <c r="E28" s="1159">
        <f t="shared" ref="E28:V28" si="41">SUM(E29:E43)</f>
        <v>11.753000000000002</v>
      </c>
      <c r="F28" s="1159">
        <f t="shared" si="41"/>
        <v>15.762320000000003</v>
      </c>
      <c r="G28" s="1159">
        <f t="shared" si="41"/>
        <v>19.771640000000005</v>
      </c>
      <c r="H28" s="1159">
        <f t="shared" si="41"/>
        <v>23.812229000000006</v>
      </c>
      <c r="I28" s="1159">
        <f t="shared" si="41"/>
        <v>27.852818000000006</v>
      </c>
      <c r="J28" s="1159">
        <f t="shared" si="41"/>
        <v>30.517977000000005</v>
      </c>
      <c r="K28" s="1159">
        <f t="shared" si="41"/>
        <v>33.183136000000005</v>
      </c>
      <c r="L28" s="1159">
        <f t="shared" si="41"/>
        <v>36.260924000000003</v>
      </c>
      <c r="M28" s="1159">
        <f t="shared" si="41"/>
        <v>39.338711999999994</v>
      </c>
      <c r="N28" s="1159">
        <f t="shared" si="41"/>
        <v>40.928439999999995</v>
      </c>
      <c r="O28" s="1159">
        <f t="shared" si="41"/>
        <v>42.518167999999996</v>
      </c>
      <c r="P28" s="1159">
        <f t="shared" si="41"/>
        <v>44.428388999999996</v>
      </c>
      <c r="Q28" s="1159">
        <f t="shared" si="41"/>
        <v>46.338610000000003</v>
      </c>
      <c r="R28" s="1159">
        <f t="shared" si="41"/>
        <v>47.279744500000007</v>
      </c>
      <c r="S28" s="1159">
        <f t="shared" si="41"/>
        <v>46.283419000000009</v>
      </c>
      <c r="T28" s="1159">
        <f t="shared" si="41"/>
        <v>45.578489500000011</v>
      </c>
      <c r="U28" s="1159">
        <f t="shared" si="41"/>
        <v>45.454798000000011</v>
      </c>
      <c r="V28" s="1159">
        <f t="shared" si="41"/>
        <v>45.360580000000013</v>
      </c>
    </row>
    <row r="29" spans="1:23" x14ac:dyDescent="0.35">
      <c r="A29" s="1163">
        <v>2021</v>
      </c>
      <c r="B29" s="1156" t="s">
        <v>843</v>
      </c>
      <c r="C29" s="1157"/>
      <c r="D29" s="1163">
        <f>($D$9+$D$10)*'ARP Timing'!B$16</f>
        <v>5.8765000000000009</v>
      </c>
      <c r="E29" s="1163">
        <f>($D$9+$D$10)*'ARP Timing'!C$16</f>
        <v>5.8765000000000009</v>
      </c>
      <c r="F29" s="1163">
        <f>($D$9+$D$10)*'ARP Timing'!D$16</f>
        <v>4.11355</v>
      </c>
      <c r="G29" s="1163">
        <f>($D$9+$D$10)*'ARP Timing'!E$16</f>
        <v>4.11355</v>
      </c>
      <c r="H29" s="1163">
        <f>($D$9+$D$10)*'ARP Timing'!F$16</f>
        <v>4.11355</v>
      </c>
      <c r="I29" s="1163">
        <f>($D$9+$D$10)*'ARP Timing'!G$16</f>
        <v>4.11355</v>
      </c>
      <c r="J29" s="1163">
        <f>($D$9+$D$10)*'ARP Timing'!H$16</f>
        <v>4.11355</v>
      </c>
      <c r="K29" s="1163">
        <f>($D$9+$D$10)*'ARP Timing'!I$16</f>
        <v>4.11355</v>
      </c>
      <c r="L29" s="1163">
        <f>($D$9+$D$10)*'ARP Timing'!J$16</f>
        <v>4.11355</v>
      </c>
      <c r="M29" s="1163">
        <f>($D$9+$D$10)*'ARP Timing'!K$16</f>
        <v>4.11355</v>
      </c>
      <c r="N29" s="1163">
        <f>($D$9+$D$10)*'ARP Timing'!L$16</f>
        <v>4.11355</v>
      </c>
      <c r="O29" s="1163">
        <f>($D$9+$D$10)*'ARP Timing'!M$16</f>
        <v>4.11355</v>
      </c>
      <c r="P29" s="1163">
        <f>($D$9+$D$10)*'ARP Timing'!N$16</f>
        <v>3.987625</v>
      </c>
      <c r="Q29" s="1163">
        <f>($D$9+$D$10)*'ARP Timing'!O$16</f>
        <v>3.987625</v>
      </c>
      <c r="R29" s="1163">
        <f>($D$9+$D$10)*'ARP Timing'!P$16</f>
        <v>3.987625</v>
      </c>
      <c r="S29" s="1163">
        <f>($D$9+$D$10)*'ARP Timing'!Q$16</f>
        <v>3.987625</v>
      </c>
      <c r="T29" s="1163">
        <f>($D$9+$D$10)*'ARP Timing'!R$16</f>
        <v>3.987625</v>
      </c>
      <c r="U29" s="1163">
        <f>($D$9+$D$10)*'ARP Timing'!S$16</f>
        <v>3.987625</v>
      </c>
      <c r="V29" s="1163">
        <f>($D$9+$D$10)*'ARP Timing'!T$16</f>
        <v>3.987625</v>
      </c>
    </row>
    <row r="30" spans="1:23" x14ac:dyDescent="0.35">
      <c r="B30" s="1156" t="s">
        <v>379</v>
      </c>
      <c r="C30" s="1157"/>
      <c r="E30" s="1163">
        <f>($E$9+$E$10)*'ARP Timing'!B$16</f>
        <v>5.8765000000000009</v>
      </c>
      <c r="F30" s="1163">
        <f>($E$9+$E$10)*'ARP Timing'!C$16</f>
        <v>5.8765000000000009</v>
      </c>
      <c r="G30" s="1163">
        <f>($E$9+$E$10)*'ARP Timing'!D$16</f>
        <v>4.11355</v>
      </c>
      <c r="H30" s="1163">
        <f>($E$9+$E$10)*'ARP Timing'!E$16</f>
        <v>4.11355</v>
      </c>
      <c r="I30" s="1163">
        <f>($E$9+$E$10)*'ARP Timing'!F$16</f>
        <v>4.11355</v>
      </c>
      <c r="J30" s="1163">
        <f>($E$9+$E$10)*'ARP Timing'!G$16</f>
        <v>4.11355</v>
      </c>
      <c r="K30" s="1163">
        <f>($E$9+$E$10)*'ARP Timing'!H$16</f>
        <v>4.11355</v>
      </c>
      <c r="L30" s="1163">
        <f>($E$9+$E$10)*'ARP Timing'!I$16</f>
        <v>4.11355</v>
      </c>
      <c r="M30" s="1163">
        <f>($E$9+$E$10)*'ARP Timing'!J$16</f>
        <v>4.11355</v>
      </c>
      <c r="N30" s="1163">
        <f>($E$9+$E$10)*'ARP Timing'!K$16</f>
        <v>4.11355</v>
      </c>
      <c r="O30" s="1163">
        <f>($E$9+$E$10)*'ARP Timing'!L$16</f>
        <v>4.11355</v>
      </c>
      <c r="P30" s="1163">
        <f>($E$9+$E$10)*'ARP Timing'!M$16</f>
        <v>4.11355</v>
      </c>
      <c r="Q30" s="1163">
        <f>($E$9+$E$10)*'ARP Timing'!N$16</f>
        <v>3.987625</v>
      </c>
      <c r="R30" s="1163">
        <f>($E$9+$E$10)*'ARP Timing'!O$16</f>
        <v>3.987625</v>
      </c>
      <c r="S30" s="1163">
        <f>($E$9+$E$10)*'ARP Timing'!P$16</f>
        <v>3.987625</v>
      </c>
      <c r="T30" s="1163">
        <f>($E$9+$E$10)*'ARP Timing'!Q$16</f>
        <v>3.987625</v>
      </c>
      <c r="U30" s="1163">
        <f>($E$9+$E$10)*'ARP Timing'!R$16</f>
        <v>3.987625</v>
      </c>
      <c r="V30" s="1163">
        <f>($E$9+$E$10)*'ARP Timing'!S$16</f>
        <v>3.987625</v>
      </c>
    </row>
    <row r="31" spans="1:23" x14ac:dyDescent="0.35">
      <c r="B31" s="1156" t="s">
        <v>844</v>
      </c>
      <c r="C31" s="1157"/>
      <c r="F31" s="1163">
        <f>($F$9+$F$10)*'ARP Timing'!B$16</f>
        <v>5.7722700000000016</v>
      </c>
      <c r="G31" s="1163">
        <f>($F$9+$F$10)*'ARP Timing'!C$16</f>
        <v>5.7722700000000016</v>
      </c>
      <c r="H31" s="1163">
        <f>($F$9+$F$10)*'ARP Timing'!D$16</f>
        <v>4.0405890000000007</v>
      </c>
      <c r="I31" s="1163">
        <f>($F$9+$F$10)*'ARP Timing'!E$16</f>
        <v>4.0405890000000007</v>
      </c>
      <c r="J31" s="1163">
        <f>($F$9+$F$10)*'ARP Timing'!F$16</f>
        <v>4.0405890000000007</v>
      </c>
      <c r="K31" s="1163">
        <f>($F$9+$F$10)*'ARP Timing'!G$16</f>
        <v>4.0405890000000007</v>
      </c>
      <c r="L31" s="1163">
        <f>($F$9+$F$10)*'ARP Timing'!H$16</f>
        <v>4.0405890000000007</v>
      </c>
      <c r="M31" s="1163">
        <f>($F$9+$F$10)*'ARP Timing'!I$16</f>
        <v>4.0405890000000007</v>
      </c>
      <c r="N31" s="1163">
        <f>($F$9+$F$10)*'ARP Timing'!J$16</f>
        <v>4.0405890000000007</v>
      </c>
      <c r="O31" s="1163">
        <f>($F$9+$F$10)*'ARP Timing'!K$16</f>
        <v>4.0405890000000007</v>
      </c>
      <c r="P31" s="1163">
        <f>($F$9+$F$10)*'ARP Timing'!L$16</f>
        <v>4.0405890000000007</v>
      </c>
      <c r="Q31" s="1163">
        <f>($F$9+$F$10)*'ARP Timing'!M$16</f>
        <v>4.0405890000000007</v>
      </c>
      <c r="R31" s="1163">
        <f>($F$9+$F$10)*'ARP Timing'!N$16</f>
        <v>3.9168975000000006</v>
      </c>
      <c r="S31" s="1163">
        <f>($F$9+$F$10)*'ARP Timing'!O$16</f>
        <v>3.9168975000000006</v>
      </c>
      <c r="T31" s="1163">
        <f>($F$9+$F$10)*'ARP Timing'!P$16</f>
        <v>3.9168975000000006</v>
      </c>
      <c r="U31" s="1163">
        <f>($F$9+$F$10)*'ARP Timing'!Q$16</f>
        <v>3.9168975000000006</v>
      </c>
      <c r="V31" s="1163">
        <f>($F$9+$F$10)*'ARP Timing'!R$16</f>
        <v>3.9168975000000006</v>
      </c>
    </row>
    <row r="32" spans="1:23" x14ac:dyDescent="0.35">
      <c r="A32" s="1163">
        <v>2022</v>
      </c>
      <c r="B32" s="1156" t="s">
        <v>247</v>
      </c>
      <c r="C32" s="1157"/>
      <c r="G32" s="1163">
        <f>($G$9+$G$10)*'ARP Timing'!B$16</f>
        <v>5.7722700000000016</v>
      </c>
      <c r="H32" s="1163">
        <f>($G$9+$G$10)*'ARP Timing'!C$16</f>
        <v>5.7722700000000016</v>
      </c>
      <c r="I32" s="1163">
        <f>($G$9+$G$10)*'ARP Timing'!D$16</f>
        <v>4.0405890000000007</v>
      </c>
      <c r="J32" s="1163">
        <f>($G$9+$G$10)*'ARP Timing'!E$16</f>
        <v>4.0405890000000007</v>
      </c>
      <c r="K32" s="1163">
        <f>($G$9+$G$10)*'ARP Timing'!F$16</f>
        <v>4.0405890000000007</v>
      </c>
      <c r="L32" s="1163">
        <f>($G$9+$G$10)*'ARP Timing'!G$16</f>
        <v>4.0405890000000007</v>
      </c>
      <c r="M32" s="1163">
        <f>($G$9+$G$10)*'ARP Timing'!H$16</f>
        <v>4.0405890000000007</v>
      </c>
      <c r="N32" s="1163">
        <f>($G$9+$G$10)*'ARP Timing'!I$16</f>
        <v>4.0405890000000007</v>
      </c>
      <c r="O32" s="1163">
        <f>($G$9+$G$10)*'ARP Timing'!J$16</f>
        <v>4.0405890000000007</v>
      </c>
      <c r="P32" s="1163">
        <f>($G$9+$G$10)*'ARP Timing'!K$16</f>
        <v>4.0405890000000007</v>
      </c>
      <c r="Q32" s="1163">
        <f>($G$9+$G$10)*'ARP Timing'!L$16</f>
        <v>4.0405890000000007</v>
      </c>
      <c r="R32" s="1163">
        <f>($G$9+$G$10)*'ARP Timing'!M$16</f>
        <v>4.0405890000000007</v>
      </c>
      <c r="S32" s="1163">
        <f>($G$9+$G$10)*'ARP Timing'!N$16</f>
        <v>3.9168975000000006</v>
      </c>
      <c r="T32" s="1163">
        <f>($G$9+$G$10)*'ARP Timing'!O$16</f>
        <v>3.9168975000000006</v>
      </c>
      <c r="U32" s="1163">
        <f>($G$9+$G$10)*'ARP Timing'!P$16</f>
        <v>3.9168975000000006</v>
      </c>
      <c r="V32" s="1163">
        <f>($G$9+$G$10)*'ARP Timing'!Q$16</f>
        <v>3.9168975000000006</v>
      </c>
    </row>
    <row r="33" spans="1:23" x14ac:dyDescent="0.35">
      <c r="B33" s="1156" t="s">
        <v>248</v>
      </c>
      <c r="C33" s="1157"/>
      <c r="H33" s="1163">
        <f>($H$9+$H$10)*'ARP Timing'!B$16</f>
        <v>5.7722700000000016</v>
      </c>
      <c r="I33" s="1163">
        <f>($H$9+$H$10)*'ARP Timing'!C$16</f>
        <v>5.7722700000000016</v>
      </c>
      <c r="J33" s="1163">
        <f>($H$9+$H$10)*'ARP Timing'!D$16</f>
        <v>4.0405890000000007</v>
      </c>
      <c r="K33" s="1163">
        <f>($H$9+$H$10)*'ARP Timing'!E$16</f>
        <v>4.0405890000000007</v>
      </c>
      <c r="L33" s="1163">
        <f>($H$9+$H$10)*'ARP Timing'!F$16</f>
        <v>4.0405890000000007</v>
      </c>
      <c r="M33" s="1163">
        <f>($H$9+$H$10)*'ARP Timing'!G$16</f>
        <v>4.0405890000000007</v>
      </c>
      <c r="N33" s="1163">
        <f>($H$9+$H$10)*'ARP Timing'!H$16</f>
        <v>4.0405890000000007</v>
      </c>
      <c r="O33" s="1163">
        <f>($H$9+$H$10)*'ARP Timing'!I$16</f>
        <v>4.0405890000000007</v>
      </c>
      <c r="P33" s="1163">
        <f>($H$9+$H$10)*'ARP Timing'!J$16</f>
        <v>4.0405890000000007</v>
      </c>
      <c r="Q33" s="1163">
        <f>($H$9+$H$10)*'ARP Timing'!K$16</f>
        <v>4.0405890000000007</v>
      </c>
      <c r="R33" s="1163">
        <f>($H$9+$H$10)*'ARP Timing'!L$16</f>
        <v>4.0405890000000007</v>
      </c>
      <c r="S33" s="1163">
        <f>($H$9+$H$10)*'ARP Timing'!M$16</f>
        <v>4.0405890000000007</v>
      </c>
      <c r="T33" s="1163">
        <f>($H$9+$H$10)*'ARP Timing'!N$16</f>
        <v>3.9168975000000006</v>
      </c>
      <c r="U33" s="1163">
        <f>($H$9+$H$10)*'ARP Timing'!O$16</f>
        <v>3.9168975000000006</v>
      </c>
      <c r="V33" s="1163">
        <f>($H$9+$H$10)*'ARP Timing'!P$16</f>
        <v>3.9168975000000006</v>
      </c>
    </row>
    <row r="34" spans="1:23" x14ac:dyDescent="0.35">
      <c r="B34" s="1156" t="s">
        <v>379</v>
      </c>
      <c r="C34" s="1157"/>
      <c r="H34" s="1157"/>
      <c r="I34" s="1163">
        <f>($I$9+$I10)*'ARP Timing'!B$16</f>
        <v>5.7722700000000016</v>
      </c>
      <c r="J34" s="1163">
        <f>($I$9+$I10)*'ARP Timing'!C$16</f>
        <v>5.7722700000000016</v>
      </c>
      <c r="K34" s="1163">
        <f>($I$9+$I10)*'ARP Timing'!D$16</f>
        <v>4.0405890000000007</v>
      </c>
      <c r="L34" s="1163">
        <f>($I$9+$I10)*'ARP Timing'!E$16</f>
        <v>4.0405890000000007</v>
      </c>
      <c r="M34" s="1163">
        <f>($I$9+$I10)*'ARP Timing'!F$16</f>
        <v>4.0405890000000007</v>
      </c>
      <c r="N34" s="1163">
        <f>($I$9+$I10)*'ARP Timing'!G$16</f>
        <v>4.0405890000000007</v>
      </c>
      <c r="O34" s="1163">
        <f>($I$9+$I10)*'ARP Timing'!H$16</f>
        <v>4.0405890000000007</v>
      </c>
      <c r="P34" s="1163">
        <f>($I$9+$I10)*'ARP Timing'!I$16</f>
        <v>4.0405890000000007</v>
      </c>
      <c r="Q34" s="1163">
        <f>($I$9+$I10)*'ARP Timing'!J$16</f>
        <v>4.0405890000000007</v>
      </c>
      <c r="R34" s="1163">
        <f>($I$9+$I10)*'ARP Timing'!K$16</f>
        <v>4.0405890000000007</v>
      </c>
      <c r="S34" s="1163">
        <f>($I$9+$I10)*'ARP Timing'!L$16</f>
        <v>4.0405890000000007</v>
      </c>
      <c r="T34" s="1163">
        <f>($I$9+$I10)*'ARP Timing'!M$16</f>
        <v>4.0405890000000007</v>
      </c>
      <c r="U34" s="1163">
        <f>($I$9+$I10)*'ARP Timing'!N$16</f>
        <v>3.9168975000000006</v>
      </c>
      <c r="V34" s="1163">
        <f>($I$9+$I10)*'ARP Timing'!O$16</f>
        <v>3.9168975000000006</v>
      </c>
    </row>
    <row r="35" spans="1:23" x14ac:dyDescent="0.35">
      <c r="B35" s="1156" t="s">
        <v>844</v>
      </c>
      <c r="C35" s="1157"/>
      <c r="H35" s="1157"/>
      <c r="J35" s="1163">
        <f>($J$9+$J$10)*'ARP Timing'!B$16</f>
        <v>4.3968400000000001</v>
      </c>
      <c r="K35" s="1163">
        <f>($J$9+$J$10)*'ARP Timing'!C$16</f>
        <v>4.3968400000000001</v>
      </c>
      <c r="L35" s="1163">
        <f>($J$9+$J$10)*'ARP Timing'!D$16</f>
        <v>3.077788</v>
      </c>
      <c r="M35" s="1163">
        <f>($J$9+$J$10)*'ARP Timing'!E$16</f>
        <v>3.077788</v>
      </c>
      <c r="N35" s="1163">
        <f>($J$9+$J$10)*'ARP Timing'!F$16</f>
        <v>3.077788</v>
      </c>
      <c r="O35" s="1163">
        <f>($J$9+$J$10)*'ARP Timing'!G$16</f>
        <v>3.077788</v>
      </c>
      <c r="P35" s="1163">
        <f>($J$9+$J$10)*'ARP Timing'!H$16</f>
        <v>3.077788</v>
      </c>
      <c r="Q35" s="1163">
        <f>($J$9+$J$10)*'ARP Timing'!I$16</f>
        <v>3.077788</v>
      </c>
      <c r="R35" s="1163">
        <f>($J$9+$J$10)*'ARP Timing'!J$16</f>
        <v>3.077788</v>
      </c>
      <c r="S35" s="1163">
        <f>($J$9+$J$10)*'ARP Timing'!K$16</f>
        <v>3.077788</v>
      </c>
      <c r="T35" s="1163">
        <f>($J$9+$J$10)*'ARP Timing'!L$16</f>
        <v>3.077788</v>
      </c>
      <c r="U35" s="1163">
        <f>($J$9+$J$10)*'ARP Timing'!M$16</f>
        <v>3.077788</v>
      </c>
      <c r="V35" s="1163">
        <f>($J$9+$J$10)*'ARP Timing'!N$16</f>
        <v>2.9835699999999998</v>
      </c>
    </row>
    <row r="36" spans="1:23" x14ac:dyDescent="0.35">
      <c r="A36" s="1163">
        <v>2023</v>
      </c>
      <c r="B36" s="1156" t="s">
        <v>247</v>
      </c>
      <c r="C36" s="1157"/>
      <c r="H36" s="1157"/>
      <c r="K36" s="1163">
        <f>($K$9+$K$10)*'ARP Timing'!B$16</f>
        <v>4.3968400000000001</v>
      </c>
      <c r="L36" s="1163">
        <f>($K$9+$K$10)*'ARP Timing'!C$16</f>
        <v>4.3968400000000001</v>
      </c>
      <c r="M36" s="1163">
        <f>($K$9+$K$10)*'ARP Timing'!D$16</f>
        <v>3.077788</v>
      </c>
      <c r="N36" s="1163">
        <f>($K$9+$K$10)*'ARP Timing'!E$16</f>
        <v>3.077788</v>
      </c>
      <c r="O36" s="1163">
        <f>($K$9+$K$10)*'ARP Timing'!F$16</f>
        <v>3.077788</v>
      </c>
      <c r="P36" s="1163">
        <f>($K$9+$K$10)*'ARP Timing'!G$16</f>
        <v>3.077788</v>
      </c>
      <c r="Q36" s="1163">
        <f>($K$9+$K$10)*'ARP Timing'!H$16</f>
        <v>3.077788</v>
      </c>
      <c r="R36" s="1163">
        <f>($K$9+$K$10)*'ARP Timing'!I$16</f>
        <v>3.077788</v>
      </c>
      <c r="S36" s="1163">
        <f>($K$9+$K$10)*'ARP Timing'!J$16</f>
        <v>3.077788</v>
      </c>
      <c r="T36" s="1163">
        <f>($K$9+$K$10)*'ARP Timing'!K$16</f>
        <v>3.077788</v>
      </c>
      <c r="U36" s="1163">
        <f>($K$9+$K$10)*'ARP Timing'!L$16</f>
        <v>3.077788</v>
      </c>
      <c r="V36" s="1163">
        <f>($K$9+$K$10)*'ARP Timing'!M$16</f>
        <v>3.077788</v>
      </c>
    </row>
    <row r="37" spans="1:23" x14ac:dyDescent="0.35">
      <c r="B37" s="1156" t="s">
        <v>248</v>
      </c>
      <c r="C37" s="1157"/>
      <c r="H37" s="1157"/>
      <c r="L37" s="1163">
        <f>($L$9+$L$10)*'ARP Timing'!B$16</f>
        <v>4.3968400000000001</v>
      </c>
      <c r="M37" s="1163">
        <f>($L$9+$L$10)*'ARP Timing'!C$16</f>
        <v>4.3968400000000001</v>
      </c>
      <c r="N37" s="1163">
        <f>($L$9+$L$10)*'ARP Timing'!D$16</f>
        <v>3.077788</v>
      </c>
      <c r="O37" s="1163">
        <f>($L$9+$L$10)*'ARP Timing'!E$16</f>
        <v>3.077788</v>
      </c>
      <c r="P37" s="1163">
        <f>($L$9+$L$10)*'ARP Timing'!F$16</f>
        <v>3.077788</v>
      </c>
      <c r="Q37" s="1163">
        <f>($L$9+$L$10)*'ARP Timing'!G$16</f>
        <v>3.077788</v>
      </c>
      <c r="R37" s="1163">
        <f>($L$9+$L$10)*'ARP Timing'!H$16</f>
        <v>3.077788</v>
      </c>
      <c r="S37" s="1163">
        <f>($L$9+$L$10)*'ARP Timing'!I$16</f>
        <v>3.077788</v>
      </c>
      <c r="T37" s="1163">
        <f>($L$9+$L$10)*'ARP Timing'!J$16</f>
        <v>3.077788</v>
      </c>
      <c r="U37" s="1163">
        <f>($L$9+$L$10)*'ARP Timing'!K$16</f>
        <v>3.077788</v>
      </c>
      <c r="V37" s="1163">
        <f>($L$9+$L$10)*'ARP Timing'!L$16</f>
        <v>3.077788</v>
      </c>
    </row>
    <row r="38" spans="1:23" x14ac:dyDescent="0.35">
      <c r="B38" s="1156" t="s">
        <v>379</v>
      </c>
      <c r="C38" s="1157"/>
      <c r="H38" s="1157"/>
      <c r="M38" s="1163">
        <f>($M$9+$M$10)*'ARP Timing'!B$16</f>
        <v>4.3968400000000001</v>
      </c>
      <c r="N38" s="1163">
        <f>($M$9+$M$10)*'ARP Timing'!C$16</f>
        <v>4.3968400000000001</v>
      </c>
      <c r="O38" s="1163">
        <f>($M$9+$M$10)*'ARP Timing'!D$16</f>
        <v>3.077788</v>
      </c>
      <c r="P38" s="1163">
        <f>($M$9+$M$10)*'ARP Timing'!E$16</f>
        <v>3.077788</v>
      </c>
      <c r="Q38" s="1163">
        <f>($M$9+$M$10)*'ARP Timing'!F$16</f>
        <v>3.077788</v>
      </c>
      <c r="R38" s="1163">
        <f>($M$9+$M$10)*'ARP Timing'!G$16</f>
        <v>3.077788</v>
      </c>
      <c r="S38" s="1163">
        <f>($M$9+$M$10)*'ARP Timing'!H$16</f>
        <v>3.077788</v>
      </c>
      <c r="T38" s="1163">
        <f>($M$9+$M$10)*'ARP Timing'!I$16</f>
        <v>3.077788</v>
      </c>
      <c r="U38" s="1163">
        <f>($M$9+$M$10)*'ARP Timing'!J$16</f>
        <v>3.077788</v>
      </c>
      <c r="V38" s="1163">
        <f>($M$9+$M$10)*'ARP Timing'!K$16</f>
        <v>3.077788</v>
      </c>
    </row>
    <row r="39" spans="1:23" x14ac:dyDescent="0.35">
      <c r="B39" s="1156" t="s">
        <v>844</v>
      </c>
      <c r="C39" s="1157"/>
      <c r="H39" s="1157"/>
      <c r="N39" s="1163">
        <f>($N$9+$N$10)*'ARP Timing'!B$16</f>
        <v>2.9087800000000006</v>
      </c>
      <c r="O39" s="1163">
        <f>($N$9+$N$10)*'ARP Timing'!C$16</f>
        <v>2.9087800000000006</v>
      </c>
      <c r="P39" s="1163">
        <f>($N$9+$N$10)*'ARP Timing'!D$16</f>
        <v>2.036146</v>
      </c>
      <c r="Q39" s="1163">
        <f>($N$9+$N$10)*'ARP Timing'!E$16</f>
        <v>2.036146</v>
      </c>
      <c r="R39" s="1163">
        <f>($N$9+$N$10)*'ARP Timing'!F$16</f>
        <v>2.036146</v>
      </c>
      <c r="S39" s="1163">
        <f>($N$9+$N$10)*'ARP Timing'!G$16</f>
        <v>2.036146</v>
      </c>
      <c r="T39" s="1163">
        <f>($N$9+$N$10)*'ARP Timing'!H$16</f>
        <v>2.036146</v>
      </c>
      <c r="U39" s="1163">
        <f>($N$9+$N$10)*'ARP Timing'!I$16</f>
        <v>2.036146</v>
      </c>
      <c r="V39" s="1163">
        <f>($N$9+$N$10)*'ARP Timing'!J$16</f>
        <v>2.036146</v>
      </c>
    </row>
    <row r="40" spans="1:23" x14ac:dyDescent="0.35">
      <c r="A40" s="1163">
        <v>2024</v>
      </c>
      <c r="B40" s="1156" t="s">
        <v>247</v>
      </c>
      <c r="C40" s="1157"/>
      <c r="H40" s="1157"/>
      <c r="O40" s="1163">
        <f>($O$9+$O$10)*'ARP Timing'!B$16</f>
        <v>2.9087800000000006</v>
      </c>
      <c r="P40" s="1163">
        <f>($O$9+$O$10)*'ARP Timing'!C$16</f>
        <v>2.9087800000000006</v>
      </c>
      <c r="Q40" s="1163">
        <f>($O$9+$O$10)*'ARP Timing'!D$16</f>
        <v>2.036146</v>
      </c>
      <c r="R40" s="1163">
        <f>($O$9+$O$10)*'ARP Timing'!E$16</f>
        <v>2.036146</v>
      </c>
      <c r="S40" s="1163">
        <f>($O$9+$O$10)*'ARP Timing'!F$16</f>
        <v>2.036146</v>
      </c>
      <c r="T40" s="1163">
        <f>($O$9+$O$10)*'ARP Timing'!G$16</f>
        <v>2.036146</v>
      </c>
      <c r="U40" s="1163">
        <f>($O$9+$O$10)*'ARP Timing'!H$16</f>
        <v>2.036146</v>
      </c>
      <c r="V40" s="1163">
        <f>($O$9+$O$10)*'ARP Timing'!I$16</f>
        <v>2.036146</v>
      </c>
    </row>
    <row r="41" spans="1:23" x14ac:dyDescent="0.35">
      <c r="B41" s="1156" t="s">
        <v>248</v>
      </c>
      <c r="C41" s="1157"/>
      <c r="H41" s="1157"/>
      <c r="P41" s="1163">
        <f>($P$9+$P$10)*'ARP Timing'!B$16</f>
        <v>2.9087800000000006</v>
      </c>
      <c r="Q41" s="1163">
        <f>($P$9+$P$10)*'ARP Timing'!C$16</f>
        <v>2.9087800000000006</v>
      </c>
      <c r="R41" s="1163">
        <f>($P$9+$P$10)*'ARP Timing'!D$16</f>
        <v>2.036146</v>
      </c>
      <c r="S41" s="1163">
        <f>($P$9+$P$10)*'ARP Timing'!E$16</f>
        <v>2.036146</v>
      </c>
      <c r="T41" s="1163">
        <f>($P$9+$P$10)*'ARP Timing'!F$16</f>
        <v>2.036146</v>
      </c>
      <c r="U41" s="1163">
        <f>($P$9+$P$10)*'ARP Timing'!G$16</f>
        <v>2.036146</v>
      </c>
      <c r="V41" s="1163">
        <f>($P$9+$P$10)*'ARP Timing'!H$16</f>
        <v>2.036146</v>
      </c>
    </row>
    <row r="42" spans="1:23" x14ac:dyDescent="0.35">
      <c r="B42" s="1156" t="s">
        <v>379</v>
      </c>
      <c r="C42" s="1157"/>
      <c r="H42" s="1157"/>
      <c r="Q42" s="1163">
        <f>($Q$9+$Q$10)*'ARP Timing'!B$16</f>
        <v>2.9087800000000006</v>
      </c>
      <c r="R42" s="1163">
        <f>($Q$9+$Q$10)*'ARP Timing'!C$16</f>
        <v>2.9087800000000006</v>
      </c>
      <c r="S42" s="1163">
        <f>($Q$9+$Q$10)*'ARP Timing'!D$16</f>
        <v>2.036146</v>
      </c>
      <c r="T42" s="1163">
        <f>($Q$9+$Q$10)*'ARP Timing'!E$16</f>
        <v>2.036146</v>
      </c>
      <c r="U42" s="1163">
        <f>($Q$9+$Q$10)*'ARP Timing'!F$16</f>
        <v>2.036146</v>
      </c>
      <c r="V42" s="1163">
        <f>($Q$9+$Q$10)*'ARP Timing'!G$16</f>
        <v>2.036146</v>
      </c>
    </row>
    <row r="43" spans="1:23" x14ac:dyDescent="0.35">
      <c r="B43" s="1156" t="s">
        <v>844</v>
      </c>
      <c r="C43" s="1157"/>
      <c r="H43" s="1157"/>
      <c r="R43" s="1163">
        <f>($R$9+$R$10)*'ARP Timing'!B$16</f>
        <v>1.9374600000000002</v>
      </c>
      <c r="S43" s="1163">
        <f>($R$9+$R$10)*'ARP Timing'!C$16</f>
        <v>1.9374600000000002</v>
      </c>
      <c r="T43" s="1163">
        <f>($R$9+$R$10)*'ARP Timing'!D$16</f>
        <v>1.356222</v>
      </c>
      <c r="U43" s="1163">
        <f>($R$9+$R$10)*'ARP Timing'!E$16</f>
        <v>1.356222</v>
      </c>
      <c r="V43" s="1163">
        <f>($R$9+$R$10)*'ARP Timing'!F$16</f>
        <v>1.356222</v>
      </c>
    </row>
    <row r="44" spans="1:23" x14ac:dyDescent="0.35">
      <c r="S44" s="1163">
        <f>($S$9+$S$10)*'ARP Timing'!B$16</f>
        <v>1.9374600000000002</v>
      </c>
      <c r="T44" s="1163">
        <f>($S$9+$S$10)*'ARP Timing'!C$16</f>
        <v>1.9374600000000002</v>
      </c>
      <c r="U44" s="1163">
        <f>($S$9+$S$10)*'ARP Timing'!D$16</f>
        <v>1.356222</v>
      </c>
      <c r="V44" s="1163">
        <f>($S$9+$S$10)*'ARP Timing'!E$16</f>
        <v>1.356222</v>
      </c>
    </row>
    <row r="46" spans="1:23" x14ac:dyDescent="0.35">
      <c r="B46" s="1163" t="s">
        <v>845</v>
      </c>
      <c r="D46" s="85" t="s">
        <v>296</v>
      </c>
      <c r="E46" s="85" t="s">
        <v>180</v>
      </c>
      <c r="F46" s="85" t="s">
        <v>181</v>
      </c>
      <c r="G46" s="85" t="s">
        <v>182</v>
      </c>
      <c r="H46" s="85" t="s">
        <v>183</v>
      </c>
      <c r="I46" s="85" t="s">
        <v>184</v>
      </c>
      <c r="J46" s="85" t="s">
        <v>185</v>
      </c>
      <c r="K46" s="85" t="s">
        <v>186</v>
      </c>
      <c r="L46" s="85" t="s">
        <v>187</v>
      </c>
      <c r="M46" s="85" t="s">
        <v>188</v>
      </c>
      <c r="N46" s="85" t="s">
        <v>189</v>
      </c>
      <c r="O46" s="85" t="s">
        <v>190</v>
      </c>
      <c r="P46" s="85" t="s">
        <v>191</v>
      </c>
      <c r="Q46" s="85" t="s">
        <v>175</v>
      </c>
      <c r="R46" s="85" t="s">
        <v>176</v>
      </c>
      <c r="S46" s="85" t="s">
        <v>177</v>
      </c>
      <c r="T46" s="85" t="s">
        <v>833</v>
      </c>
      <c r="U46" s="85" t="s">
        <v>834</v>
      </c>
      <c r="V46" s="85" t="s">
        <v>835</v>
      </c>
    </row>
    <row r="47" spans="1:23" x14ac:dyDescent="0.35">
      <c r="B47" s="1156"/>
      <c r="C47" s="1157" t="s">
        <v>360</v>
      </c>
      <c r="D47" s="1159">
        <f t="shared" ref="D47:U47" si="42">SUM(D48:D66)</f>
        <v>0</v>
      </c>
      <c r="E47" s="1159">
        <f t="shared" si="42"/>
        <v>0</v>
      </c>
      <c r="F47" s="1159">
        <f t="shared" si="42"/>
        <v>34.620851999999999</v>
      </c>
      <c r="G47" s="1159">
        <f t="shared" si="42"/>
        <v>50.996274799999995</v>
      </c>
      <c r="H47" s="1159">
        <f t="shared" si="42"/>
        <v>69.350031999999999</v>
      </c>
      <c r="I47" s="1159">
        <f t="shared" si="42"/>
        <v>79.295867999999999</v>
      </c>
      <c r="J47" s="1159">
        <f t="shared" si="42"/>
        <v>80.538927999999999</v>
      </c>
      <c r="K47" s="1159">
        <f t="shared" si="42"/>
        <v>80.122543199999996</v>
      </c>
      <c r="L47" s="1159">
        <f t="shared" si="42"/>
        <v>88.916719999999998</v>
      </c>
      <c r="M47" s="1159">
        <f t="shared" si="42"/>
        <v>92.213943999999998</v>
      </c>
      <c r="N47" s="1159">
        <f t="shared" si="42"/>
        <v>92.213943999999998</v>
      </c>
      <c r="O47" s="1159">
        <f t="shared" si="42"/>
        <v>94.213943999999998</v>
      </c>
      <c r="P47" s="1159">
        <f t="shared" si="42"/>
        <v>98.916719999999998</v>
      </c>
      <c r="Q47" s="1159">
        <f t="shared" si="42"/>
        <v>98.916719999999998</v>
      </c>
      <c r="R47" s="1159">
        <f t="shared" si="42"/>
        <v>99.081581199999988</v>
      </c>
      <c r="S47" s="1159">
        <f t="shared" si="42"/>
        <v>93.146578000000005</v>
      </c>
      <c r="T47" s="1159">
        <f t="shared" si="42"/>
        <v>86.552129999999991</v>
      </c>
      <c r="U47" s="1159">
        <f t="shared" si="42"/>
        <v>86.552129999999991</v>
      </c>
      <c r="V47" s="1159">
        <f>SUM(V48:V66)</f>
        <v>82.265738799999994</v>
      </c>
      <c r="W47" s="1163">
        <f>SUM(G47:V47)/4</f>
        <v>343.32344900000004</v>
      </c>
    </row>
    <row r="48" spans="1:23" x14ac:dyDescent="0.35">
      <c r="A48" s="1163">
        <v>2021</v>
      </c>
      <c r="B48" s="1156" t="s">
        <v>843</v>
      </c>
      <c r="C48" s="1157"/>
      <c r="D48" s="1163">
        <f>($D$8)*'ARP Timing'!B17</f>
        <v>0</v>
      </c>
      <c r="E48" s="1163">
        <f>($D$8)*'ARP Timing'!C17</f>
        <v>0</v>
      </c>
      <c r="F48" s="1163">
        <f>($D$8)*'ARP Timing'!D17</f>
        <v>34.620851999999999</v>
      </c>
      <c r="G48" s="1163">
        <f>($D$8)*'ARP Timing'!E17</f>
        <v>45.996274799999995</v>
      </c>
      <c r="H48" s="1163">
        <f>($D$8)*'ARP Timing'!F17</f>
        <v>59.350031999999992</v>
      </c>
      <c r="I48" s="1163">
        <f>($D$8)*'ARP Timing'!G17</f>
        <v>64.295867999999999</v>
      </c>
      <c r="J48" s="1163">
        <f>($D$8)*'ARP Timing'!H17</f>
        <v>49.458359999999999</v>
      </c>
      <c r="K48" s="1163">
        <f>($D$8)*'ARP Timing'!I17</f>
        <v>49.458359999999999</v>
      </c>
      <c r="L48" s="1163">
        <f>($D$8)*'ARP Timing'!J17</f>
        <v>59.350031999999992</v>
      </c>
      <c r="M48" s="1163">
        <f>($D$8)*'ARP Timing'!K17</f>
        <v>59.350031999999992</v>
      </c>
      <c r="N48" s="1163">
        <f>($D$8)*'ARP Timing'!L17</f>
        <v>69.241703999999999</v>
      </c>
      <c r="O48" s="1163">
        <f>($D$8)*'ARP Timing'!M17</f>
        <v>69.241703999999999</v>
      </c>
      <c r="P48" s="1163">
        <f>($D$8)*'ARP Timing'!N17</f>
        <v>59.350031999999992</v>
      </c>
      <c r="Q48" s="1163">
        <f>($D$8)*'ARP Timing'!O17</f>
        <v>59.350031999999992</v>
      </c>
      <c r="R48" s="1163">
        <f>($D$8)*'ARP Timing'!P17</f>
        <v>52.920445199999989</v>
      </c>
      <c r="S48" s="1163">
        <f>($D$8)*'ARP Timing'!Q17</f>
        <v>46.985441999999992</v>
      </c>
      <c r="T48" s="1163">
        <f>($D$8)*'ARP Timing'!R17</f>
        <v>46.985441999999992</v>
      </c>
      <c r="U48" s="1163">
        <f>($D$8)*'ARP Timing'!S17</f>
        <v>46.985441999999992</v>
      </c>
      <c r="V48" s="1163">
        <f>($D$8)*'ARP Timing'!T17</f>
        <v>46.985441999999992</v>
      </c>
    </row>
    <row r="49" spans="1:22" x14ac:dyDescent="0.35">
      <c r="B49" s="1156" t="s">
        <v>379</v>
      </c>
      <c r="C49" s="1157"/>
      <c r="E49" s="1163">
        <f>($E$8)*'ARP Timing'!B$17</f>
        <v>0</v>
      </c>
      <c r="F49" s="1163">
        <f>($E$8)*'ARP Timing'!C$16</f>
        <v>0</v>
      </c>
      <c r="G49" s="1163">
        <f>($E$8)*'ARP Timing'!D$16</f>
        <v>0</v>
      </c>
      <c r="H49" s="1163">
        <f>($E$8)*'ARP Timing'!E$16</f>
        <v>0</v>
      </c>
      <c r="I49" s="1163">
        <f>($E$8)*'ARP Timing'!F$16</f>
        <v>0</v>
      </c>
      <c r="J49" s="1163">
        <f>($E$8)*'ARP Timing'!G$16</f>
        <v>0</v>
      </c>
      <c r="K49" s="1163">
        <f>($E$8)*'ARP Timing'!H$16</f>
        <v>0</v>
      </c>
      <c r="L49" s="1163">
        <f>($E$8)*'ARP Timing'!I$16</f>
        <v>0</v>
      </c>
      <c r="M49" s="1163">
        <f>($E$8)*'ARP Timing'!J$16</f>
        <v>0</v>
      </c>
      <c r="N49" s="1163">
        <f>($E$8)*'ARP Timing'!K$16</f>
        <v>0</v>
      </c>
      <c r="O49" s="1163">
        <f>($E$8)*'ARP Timing'!L$16</f>
        <v>0</v>
      </c>
      <c r="P49" s="1163">
        <f>($E$8)*'ARP Timing'!M$16</f>
        <v>0</v>
      </c>
      <c r="Q49" s="1163">
        <f>($E$8)*'ARP Timing'!N$16</f>
        <v>0</v>
      </c>
      <c r="R49" s="1163">
        <f>($E$8)*'ARP Timing'!O$16</f>
        <v>0</v>
      </c>
      <c r="S49" s="1163">
        <f>($E$8)*'ARP Timing'!P$16</f>
        <v>0</v>
      </c>
      <c r="T49" s="1163">
        <f>($E$8)*'ARP Timing'!Q$16</f>
        <v>0</v>
      </c>
      <c r="U49" s="1163">
        <f>($E$8)*'ARP Timing'!R$16</f>
        <v>0</v>
      </c>
      <c r="V49" s="1163">
        <f>($E$8)*'ARP Timing'!S$16</f>
        <v>0</v>
      </c>
    </row>
    <row r="50" spans="1:22" x14ac:dyDescent="0.35">
      <c r="B50" s="1156" t="s">
        <v>844</v>
      </c>
      <c r="C50" s="1157"/>
      <c r="F50" s="1163">
        <f>($F$8)*'ARP Timing'!C$17</f>
        <v>0</v>
      </c>
      <c r="G50" s="1163">
        <f>($F$8)*'ARP Timing'!D$17</f>
        <v>0</v>
      </c>
      <c r="H50" s="1163">
        <f>($F$8)*'ARP Timing'!E$17</f>
        <v>0</v>
      </c>
      <c r="I50" s="1163">
        <f>($F$8)*'ARP Timing'!F$17</f>
        <v>0</v>
      </c>
      <c r="J50" s="1163">
        <f>($F$8)*'ARP Timing'!G$17</f>
        <v>0</v>
      </c>
      <c r="K50" s="1163">
        <f>($F$8)*'ARP Timing'!H$17</f>
        <v>0</v>
      </c>
      <c r="L50" s="1163">
        <f>($F$8)*'ARP Timing'!I$17</f>
        <v>0</v>
      </c>
      <c r="M50" s="1163">
        <f>($F$8)*'ARP Timing'!J$17</f>
        <v>0</v>
      </c>
      <c r="N50" s="1163">
        <f>($F$8)*'ARP Timing'!K$17</f>
        <v>0</v>
      </c>
      <c r="O50" s="1163">
        <f>($F$8)*'ARP Timing'!L$17</f>
        <v>0</v>
      </c>
      <c r="P50" s="1163">
        <f>($F$8)*'ARP Timing'!M$17</f>
        <v>0</v>
      </c>
      <c r="Q50" s="1163">
        <f>($F$8)*'ARP Timing'!N$17</f>
        <v>0</v>
      </c>
      <c r="R50" s="1163">
        <f>($F$8)*'ARP Timing'!O$17</f>
        <v>0</v>
      </c>
      <c r="S50" s="1163">
        <f>($F$8)*'ARP Timing'!P$17</f>
        <v>0</v>
      </c>
      <c r="T50" s="1163">
        <f>($F$8)*'ARP Timing'!Q$17</f>
        <v>0</v>
      </c>
      <c r="U50" s="1163">
        <f>($F$8)*'ARP Timing'!R$17</f>
        <v>0</v>
      </c>
      <c r="V50" s="1163">
        <f>($F$8)*'ARP Timing'!S$17</f>
        <v>0</v>
      </c>
    </row>
    <row r="51" spans="1:22" x14ac:dyDescent="0.35">
      <c r="A51" s="1163">
        <v>2022</v>
      </c>
      <c r="B51" s="1156" t="s">
        <v>247</v>
      </c>
      <c r="C51" s="1157"/>
      <c r="G51" s="1163">
        <f>($G$8)*'ARP Timing'!D$17</f>
        <v>0</v>
      </c>
      <c r="H51" s="1163">
        <f>($G$8)*'ARP Timing'!E$17</f>
        <v>0</v>
      </c>
      <c r="I51" s="1163">
        <f>($G$8)*'ARP Timing'!F$17</f>
        <v>0</v>
      </c>
      <c r="J51" s="1163">
        <f>($G$8)*'ARP Timing'!G$17</f>
        <v>0</v>
      </c>
      <c r="K51" s="1163">
        <f>($G$8)*'ARP Timing'!H$17</f>
        <v>0</v>
      </c>
      <c r="L51" s="1163">
        <f>($G$8)*'ARP Timing'!I$17</f>
        <v>0</v>
      </c>
      <c r="M51" s="1163">
        <f>($G$8)*'ARP Timing'!J$17</f>
        <v>0</v>
      </c>
      <c r="N51" s="1163">
        <f>($G$8)*'ARP Timing'!K$17</f>
        <v>0</v>
      </c>
      <c r="O51" s="1163">
        <f>($G$8)*'ARP Timing'!L$17</f>
        <v>0</v>
      </c>
      <c r="P51" s="1163">
        <f>($G$8)*'ARP Timing'!M$17</f>
        <v>0</v>
      </c>
      <c r="Q51" s="1163">
        <f>($G$8)*'ARP Timing'!N$17</f>
        <v>0</v>
      </c>
      <c r="R51" s="1163">
        <f>($G$8)*'ARP Timing'!O$17</f>
        <v>0</v>
      </c>
      <c r="S51" s="1163">
        <f>($G$8)*'ARP Timing'!P$17</f>
        <v>0</v>
      </c>
      <c r="T51" s="1163">
        <f>($G$8)*'ARP Timing'!Q$17</f>
        <v>0</v>
      </c>
      <c r="U51" s="1163">
        <f>($G$8)*'ARP Timing'!R$17</f>
        <v>0</v>
      </c>
      <c r="V51" s="1163">
        <f>($G$8)*'ARP Timing'!S$17</f>
        <v>0</v>
      </c>
    </row>
    <row r="52" spans="1:22" x14ac:dyDescent="0.35">
      <c r="B52" s="1156" t="s">
        <v>248</v>
      </c>
      <c r="C52" s="1157"/>
      <c r="H52" s="1163">
        <f>($H$8)*'ARP Timing'!B$17</f>
        <v>0</v>
      </c>
      <c r="I52" s="1163">
        <f>($H$8)*'ARP Timing'!C$17</f>
        <v>0</v>
      </c>
      <c r="J52" s="1163">
        <f>($H$8)*'ARP Timing'!D$17</f>
        <v>23.080568000000003</v>
      </c>
      <c r="K52" s="1163">
        <f>($H$8)*'ARP Timing'!E$17</f>
        <v>30.6641832</v>
      </c>
      <c r="L52" s="1163">
        <f>($H$8)*'ARP Timing'!F$17</f>
        <v>39.566687999999999</v>
      </c>
      <c r="M52" s="1163">
        <f>($H$8)*'ARP Timing'!G$17</f>
        <v>42.863911999999999</v>
      </c>
      <c r="N52" s="1163">
        <f>($H$8)*'ARP Timing'!H$17</f>
        <v>32.972239999999999</v>
      </c>
      <c r="O52" s="1163">
        <f>($H$8)*'ARP Timing'!I$17</f>
        <v>32.972239999999999</v>
      </c>
      <c r="P52" s="1163">
        <f>($H$8)*'ARP Timing'!J$17</f>
        <v>39.566687999999999</v>
      </c>
      <c r="Q52" s="1163">
        <f>($H$8)*'ARP Timing'!K$17</f>
        <v>39.566687999999999</v>
      </c>
      <c r="R52" s="1163">
        <f>($H$8)*'ARP Timing'!L$17</f>
        <v>46.161136000000006</v>
      </c>
      <c r="S52" s="1163">
        <f>($H$8)*'ARP Timing'!M$17</f>
        <v>46.161136000000006</v>
      </c>
      <c r="T52" s="1163">
        <f>($H$8)*'ARP Timing'!N$17</f>
        <v>39.566687999999999</v>
      </c>
      <c r="U52" s="1163">
        <f>($H$8)*'ARP Timing'!O$17</f>
        <v>39.566687999999999</v>
      </c>
      <c r="V52" s="1163">
        <f>($H$8)*'ARP Timing'!P$17</f>
        <v>35.280296800000002</v>
      </c>
    </row>
    <row r="53" spans="1:22" x14ac:dyDescent="0.35">
      <c r="B53" s="1156" t="s">
        <v>379</v>
      </c>
      <c r="C53" s="1157"/>
      <c r="H53" s="1157"/>
      <c r="I53" s="1163">
        <f>($I$8)*'ARP Timing'!B$17</f>
        <v>0</v>
      </c>
      <c r="J53" s="1163">
        <f>($I$8)*'ARP Timing'!C$17</f>
        <v>0</v>
      </c>
      <c r="K53" s="1163">
        <f>($I$8)*'ARP Timing'!D$17</f>
        <v>0</v>
      </c>
      <c r="L53" s="1163">
        <f>($I$8)*'ARP Timing'!E$17</f>
        <v>0</v>
      </c>
      <c r="M53" s="1163">
        <f>($I$8)*'ARP Timing'!F$17</f>
        <v>0</v>
      </c>
      <c r="N53" s="1163">
        <f>($I$8)*'ARP Timing'!G$17</f>
        <v>0</v>
      </c>
      <c r="O53" s="1163">
        <f>($I$8)*'ARP Timing'!H$17</f>
        <v>0</v>
      </c>
      <c r="P53" s="1163">
        <f>($I$8)*'ARP Timing'!I$17</f>
        <v>0</v>
      </c>
      <c r="Q53" s="1163">
        <f>($I$8)*'ARP Timing'!J$17</f>
        <v>0</v>
      </c>
      <c r="R53" s="1163">
        <f>($I$8)*'ARP Timing'!K$17</f>
        <v>0</v>
      </c>
      <c r="S53" s="1163">
        <f>($I$8)*'ARP Timing'!L$17</f>
        <v>0</v>
      </c>
      <c r="T53" s="1163">
        <f>($I$8)*'ARP Timing'!M$17</f>
        <v>0</v>
      </c>
      <c r="U53" s="1163">
        <f>($I$8)*'ARP Timing'!N$17</f>
        <v>0</v>
      </c>
      <c r="V53" s="1163">
        <f>($I$8)*'ARP Timing'!O$17</f>
        <v>0</v>
      </c>
    </row>
    <row r="54" spans="1:22" x14ac:dyDescent="0.35">
      <c r="B54" s="1156" t="s">
        <v>844</v>
      </c>
      <c r="C54" s="1157"/>
      <c r="H54" s="1157"/>
    </row>
    <row r="55" spans="1:22" x14ac:dyDescent="0.35">
      <c r="A55" s="1163">
        <v>2023</v>
      </c>
      <c r="B55" s="1156" t="s">
        <v>247</v>
      </c>
      <c r="C55" s="1157"/>
      <c r="H55" s="1157"/>
    </row>
    <row r="56" spans="1:22" x14ac:dyDescent="0.35">
      <c r="B56" s="1156" t="s">
        <v>248</v>
      </c>
      <c r="C56" s="1157"/>
      <c r="H56" s="1157"/>
    </row>
    <row r="57" spans="1:22" x14ac:dyDescent="0.35">
      <c r="B57" s="1156" t="s">
        <v>379</v>
      </c>
      <c r="C57" s="1157"/>
      <c r="H57" s="1157"/>
    </row>
    <row r="58" spans="1:22" x14ac:dyDescent="0.35">
      <c r="B58" s="1156" t="s">
        <v>844</v>
      </c>
      <c r="C58" s="1157"/>
      <c r="H58" s="1157"/>
    </row>
    <row r="59" spans="1:22" x14ac:dyDescent="0.35">
      <c r="A59" s="1163">
        <v>2024</v>
      </c>
      <c r="B59" s="1156" t="s">
        <v>247</v>
      </c>
      <c r="C59" s="1157"/>
      <c r="H59" s="1157"/>
    </row>
    <row r="60" spans="1:22" x14ac:dyDescent="0.35">
      <c r="B60" s="1156" t="s">
        <v>248</v>
      </c>
      <c r="C60" s="1157"/>
      <c r="H60" s="1157"/>
    </row>
    <row r="61" spans="1:22" x14ac:dyDescent="0.35">
      <c r="B61" s="1156" t="s">
        <v>379</v>
      </c>
      <c r="C61" s="1157"/>
      <c r="H61" s="1157"/>
    </row>
    <row r="62" spans="1:22" x14ac:dyDescent="0.35">
      <c r="B62" s="1156" t="s">
        <v>844</v>
      </c>
      <c r="C62" s="1157"/>
      <c r="H62" s="1157"/>
    </row>
    <row r="63" spans="1:22" x14ac:dyDescent="0.35">
      <c r="A63" t="s">
        <v>971</v>
      </c>
      <c r="B63" s="1156"/>
      <c r="C63" s="1157"/>
      <c r="G63">
        <v>5</v>
      </c>
      <c r="H63" s="1157">
        <v>10</v>
      </c>
      <c r="I63">
        <v>15</v>
      </c>
      <c r="J63">
        <v>8</v>
      </c>
      <c r="K63">
        <v>0</v>
      </c>
      <c r="L63">
        <v>-10</v>
      </c>
      <c r="M63">
        <v>-10</v>
      </c>
      <c r="N63">
        <v>-10</v>
      </c>
      <c r="O63">
        <v>-8</v>
      </c>
    </row>
    <row r="64" spans="1:22" x14ac:dyDescent="0.35">
      <c r="B64" s="1156"/>
      <c r="C64" s="1157"/>
      <c r="H64" s="1157"/>
    </row>
    <row r="65" spans="2:24" x14ac:dyDescent="0.35">
      <c r="B65" s="1156"/>
      <c r="C65" s="1157"/>
      <c r="H65" s="1157"/>
    </row>
    <row r="66" spans="2:24" x14ac:dyDescent="0.35">
      <c r="B66" s="1156"/>
      <c r="C66" s="1157"/>
      <c r="H66" s="1157"/>
    </row>
    <row r="67" spans="2:24" x14ac:dyDescent="0.35">
      <c r="B67" s="1156"/>
      <c r="C67" s="1157"/>
      <c r="H67" s="1157"/>
    </row>
    <row r="68" spans="2:24" x14ac:dyDescent="0.35">
      <c r="B68" s="1156"/>
      <c r="C68" s="1157"/>
      <c r="H68" s="1157"/>
    </row>
    <row r="69" spans="2:24" x14ac:dyDescent="0.35">
      <c r="B69" s="1156"/>
      <c r="C69" s="1157"/>
      <c r="H69" s="1157"/>
    </row>
    <row r="70" spans="2:24" x14ac:dyDescent="0.35">
      <c r="B70" s="1156"/>
      <c r="C70" s="1157"/>
      <c r="H70" s="1157"/>
    </row>
    <row r="71" spans="2:24" x14ac:dyDescent="0.35">
      <c r="B71" s="1156"/>
      <c r="C71" s="1157"/>
      <c r="H71" s="1157"/>
    </row>
    <row r="72" spans="2:24" x14ac:dyDescent="0.35">
      <c r="B72" s="1156"/>
      <c r="C72" s="1157"/>
      <c r="H72" s="1157"/>
    </row>
    <row r="73" spans="2:24" x14ac:dyDescent="0.35">
      <c r="B73" s="1156" t="s">
        <v>846</v>
      </c>
      <c r="C73" s="1154">
        <v>2021</v>
      </c>
      <c r="D73" s="1154">
        <v>2022</v>
      </c>
      <c r="E73" s="1154">
        <v>2023</v>
      </c>
      <c r="F73" s="1154">
        <v>2024</v>
      </c>
      <c r="G73" s="1154">
        <v>2025</v>
      </c>
      <c r="H73" s="1157"/>
    </row>
    <row r="74" spans="2:24" x14ac:dyDescent="0.35">
      <c r="B74" s="1156" t="s">
        <v>743</v>
      </c>
      <c r="C74" s="1160">
        <f t="shared" ref="C74:C85" si="43">SUM(C4:E4)/4</f>
        <v>0.77600000000001046</v>
      </c>
      <c r="D74" s="1160">
        <f t="shared" ref="D74:D85" si="44">SUM(F4:I4)/4</f>
        <v>19.719000000000005</v>
      </c>
      <c r="E74" s="1160">
        <f t="shared" ref="E74:E85" si="45">SUM(J4:M4)/4</f>
        <v>1.4159999999999999</v>
      </c>
      <c r="F74" s="1160">
        <f t="shared" ref="F74:F85" si="46">SUM(N4:Q4)/4</f>
        <v>1.4790000000000001</v>
      </c>
      <c r="G74" s="1160">
        <f t="shared" ref="G74:G85" si="47">SUM(R4:U4)/4</f>
        <v>1.63</v>
      </c>
    </row>
    <row r="75" spans="2:24" x14ac:dyDescent="0.35">
      <c r="B75" s="1156" t="s">
        <v>744</v>
      </c>
      <c r="C75" s="1160">
        <f t="shared" si="43"/>
        <v>19.722000000000016</v>
      </c>
      <c r="D75" s="1160">
        <f t="shared" si="44"/>
        <v>52.756999999999998</v>
      </c>
      <c r="E75" s="1160">
        <f t="shared" si="45"/>
        <v>12</v>
      </c>
      <c r="F75" s="1160">
        <f t="shared" si="46"/>
        <v>4.2219999999999995</v>
      </c>
      <c r="G75" s="1160">
        <f t="shared" si="47"/>
        <v>2.3719999999999999</v>
      </c>
      <c r="H75" s="1157"/>
    </row>
    <row r="76" spans="2:24" x14ac:dyDescent="0.35">
      <c r="B76" s="1156" t="s">
        <v>52</v>
      </c>
      <c r="C76" s="1160">
        <f t="shared" si="43"/>
        <v>81.643000000000001</v>
      </c>
      <c r="D76" s="1160">
        <f t="shared" si="44"/>
        <v>110.24799999999999</v>
      </c>
      <c r="E76" s="1160">
        <f t="shared" si="45"/>
        <v>12.726000000000001</v>
      </c>
      <c r="F76" s="1160">
        <f t="shared" si="46"/>
        <v>1.365</v>
      </c>
      <c r="G76" s="1160">
        <f t="shared" si="47"/>
        <v>-0.90100000000000025</v>
      </c>
      <c r="H76" s="1157"/>
      <c r="O76" s="1156"/>
      <c r="P76" s="1156"/>
      <c r="Q76" s="1156"/>
      <c r="R76" s="1156"/>
      <c r="S76" s="1161"/>
      <c r="T76" s="1161"/>
      <c r="U76" s="1161"/>
      <c r="V76" s="14"/>
      <c r="W76" s="1156"/>
      <c r="X76" s="1156"/>
    </row>
    <row r="77" spans="2:24" x14ac:dyDescent="0.35">
      <c r="B77" s="1156" t="s">
        <v>131</v>
      </c>
      <c r="C77" s="1160">
        <f t="shared" si="43"/>
        <v>7.798</v>
      </c>
      <c r="D77" s="1160">
        <f t="shared" si="44"/>
        <v>7.9489999999999998</v>
      </c>
      <c r="E77" s="1160">
        <f t="shared" si="45"/>
        <v>4.7519999999999998</v>
      </c>
      <c r="F77" s="1160">
        <f t="shared" si="46"/>
        <v>4.637999999999999</v>
      </c>
      <c r="G77" s="1160">
        <f t="shared" si="47"/>
        <v>1.8800000000000001</v>
      </c>
      <c r="H77" s="1157"/>
    </row>
    <row r="78" spans="2:24" x14ac:dyDescent="0.35">
      <c r="B78" s="1158" t="s">
        <v>396</v>
      </c>
      <c r="C78" s="1160">
        <f t="shared" si="43"/>
        <v>247.29179999999997</v>
      </c>
      <c r="D78" s="1160">
        <f t="shared" si="44"/>
        <v>164.8612</v>
      </c>
      <c r="E78" s="1160">
        <f t="shared" si="45"/>
        <v>0</v>
      </c>
      <c r="F78" s="1160">
        <f t="shared" si="46"/>
        <v>0</v>
      </c>
      <c r="G78" s="1160">
        <f t="shared" si="47"/>
        <v>0</v>
      </c>
      <c r="H78" s="1157"/>
      <c r="R78" s="1126"/>
      <c r="S78" s="1126"/>
    </row>
    <row r="79" spans="2:24" x14ac:dyDescent="0.35">
      <c r="B79" s="1158" t="s">
        <v>150</v>
      </c>
      <c r="C79" s="1160">
        <f t="shared" si="43"/>
        <v>12.347</v>
      </c>
      <c r="D79" s="1160">
        <f t="shared" si="44"/>
        <v>46.79</v>
      </c>
      <c r="E79" s="1160">
        <f t="shared" si="45"/>
        <v>38.595999999999997</v>
      </c>
      <c r="F79" s="1160">
        <f t="shared" si="46"/>
        <v>31.911000000000001</v>
      </c>
      <c r="G79" s="1160">
        <f t="shared" si="47"/>
        <v>23.099</v>
      </c>
      <c r="H79" s="1157"/>
      <c r="R79" s="1126"/>
      <c r="S79" s="1126"/>
    </row>
    <row r="80" spans="2:24" x14ac:dyDescent="0.35">
      <c r="B80" s="1158" t="s">
        <v>412</v>
      </c>
      <c r="C80" s="1160">
        <f t="shared" si="43"/>
        <v>29.628</v>
      </c>
      <c r="D80" s="1160">
        <f t="shared" si="44"/>
        <v>35.671000000000006</v>
      </c>
      <c r="E80" s="1160">
        <f t="shared" si="45"/>
        <v>24.216000000000001</v>
      </c>
      <c r="F80" s="1160">
        <f t="shared" si="46"/>
        <v>9.6430000000000007</v>
      </c>
      <c r="G80" s="1160">
        <f t="shared" si="47"/>
        <v>4.5789999999999997</v>
      </c>
      <c r="H80" s="1157"/>
      <c r="R80" s="1126"/>
      <c r="S80" s="1126"/>
    </row>
    <row r="81" spans="2:19" x14ac:dyDescent="0.35">
      <c r="B81" s="14" t="s">
        <v>159</v>
      </c>
      <c r="C81" s="1160">
        <f t="shared" si="43"/>
        <v>25.75</v>
      </c>
      <c r="D81" s="1160">
        <f t="shared" si="44"/>
        <v>0</v>
      </c>
      <c r="E81" s="1160">
        <f t="shared" si="45"/>
        <v>0</v>
      </c>
      <c r="F81" s="1160">
        <f t="shared" si="46"/>
        <v>0</v>
      </c>
      <c r="G81" s="1160">
        <f t="shared" si="47"/>
        <v>0</v>
      </c>
      <c r="H81" s="1157"/>
      <c r="R81" s="1126"/>
      <c r="S81" s="1126"/>
    </row>
    <row r="82" spans="2:19" x14ac:dyDescent="0.35">
      <c r="B82" s="1156" t="s">
        <v>109</v>
      </c>
      <c r="C82" s="1160">
        <f t="shared" si="43"/>
        <v>31.939</v>
      </c>
      <c r="D82" s="1160">
        <f t="shared" si="44"/>
        <v>56.413000000000004</v>
      </c>
      <c r="E82" s="1160">
        <f t="shared" si="45"/>
        <v>15.652999999999999</v>
      </c>
      <c r="F82" s="1160">
        <f t="shared" si="46"/>
        <v>3.9320000000000004</v>
      </c>
      <c r="G82" s="1160">
        <f t="shared" si="47"/>
        <v>-0.74299999999999988</v>
      </c>
      <c r="R82" s="1126"/>
      <c r="S82" s="1126"/>
    </row>
    <row r="83" spans="2:19" x14ac:dyDescent="0.35">
      <c r="B83" s="1163" t="s">
        <v>837</v>
      </c>
      <c r="C83" s="1160">
        <f t="shared" si="43"/>
        <v>1.02</v>
      </c>
      <c r="D83" s="1160">
        <f t="shared" si="44"/>
        <v>1.5299999999999998</v>
      </c>
      <c r="E83" s="1160">
        <f t="shared" si="45"/>
        <v>0</v>
      </c>
      <c r="F83" s="1160">
        <f t="shared" si="46"/>
        <v>0</v>
      </c>
      <c r="G83" s="1160">
        <f t="shared" si="47"/>
        <v>0</v>
      </c>
      <c r="R83" s="1126"/>
      <c r="S83" s="1126"/>
    </row>
    <row r="84" spans="2:19" x14ac:dyDescent="0.35">
      <c r="B84" s="1163" t="s">
        <v>838</v>
      </c>
      <c r="C84" s="1160">
        <f t="shared" si="43"/>
        <v>0.67999999999999994</v>
      </c>
      <c r="D84" s="1160">
        <f t="shared" si="44"/>
        <v>1.02</v>
      </c>
      <c r="E84" s="1160">
        <f t="shared" si="45"/>
        <v>0</v>
      </c>
      <c r="F84" s="1160">
        <f t="shared" si="46"/>
        <v>0</v>
      </c>
      <c r="G84" s="1160">
        <f t="shared" si="47"/>
        <v>0</v>
      </c>
      <c r="R84" s="1126"/>
      <c r="S84" s="1126"/>
    </row>
    <row r="85" spans="2:19" x14ac:dyDescent="0.35">
      <c r="B85" s="1163" t="s">
        <v>533</v>
      </c>
      <c r="C85" s="1160">
        <f t="shared" si="43"/>
        <v>1.6999999999999997</v>
      </c>
      <c r="D85" s="1160">
        <f t="shared" si="44"/>
        <v>2.5499999999999998</v>
      </c>
      <c r="E85" s="1160">
        <f t="shared" si="45"/>
        <v>0</v>
      </c>
      <c r="F85" s="1160">
        <f t="shared" si="46"/>
        <v>0</v>
      </c>
      <c r="G85" s="1160">
        <f t="shared" si="47"/>
        <v>0</v>
      </c>
      <c r="R85" s="1126"/>
      <c r="S85" s="1126"/>
    </row>
    <row r="86" spans="2:19" x14ac:dyDescent="0.35">
      <c r="C86" s="1154">
        <v>2021</v>
      </c>
      <c r="D86" s="1154">
        <v>2022</v>
      </c>
      <c r="E86" s="1154">
        <v>2023</v>
      </c>
      <c r="F86" s="1154">
        <v>2024</v>
      </c>
      <c r="G86" s="1154">
        <v>2025</v>
      </c>
      <c r="R86" s="1126"/>
      <c r="S86" s="1126"/>
    </row>
    <row r="87" spans="2:19" x14ac:dyDescent="0.35">
      <c r="B87" s="1163" t="s">
        <v>847</v>
      </c>
      <c r="C87" s="1159">
        <f>SUM(C83:C85)</f>
        <v>3.3999999999999995</v>
      </c>
      <c r="D87" s="1159">
        <f t="shared" ref="D87:G87" si="48">SUM(D83:D85)</f>
        <v>5.0999999999999996</v>
      </c>
      <c r="E87" s="1159">
        <f t="shared" si="48"/>
        <v>0</v>
      </c>
      <c r="F87" s="1159">
        <f t="shared" si="48"/>
        <v>0</v>
      </c>
      <c r="G87" s="1159">
        <f t="shared" si="48"/>
        <v>0</v>
      </c>
      <c r="R87" s="1126"/>
      <c r="S87" s="1126"/>
    </row>
    <row r="90" spans="2:19" x14ac:dyDescent="0.35">
      <c r="B90" s="1163" t="s">
        <v>743</v>
      </c>
      <c r="C90" s="1160">
        <v>26.636000000000024</v>
      </c>
      <c r="D90" s="1160">
        <v>98.978999999999999</v>
      </c>
      <c r="E90" s="1160">
        <v>2.1159999999999997</v>
      </c>
      <c r="F90" s="1160">
        <v>2.1789999999999998</v>
      </c>
      <c r="G90" s="1160">
        <v>2.33</v>
      </c>
      <c r="H90" s="1160"/>
      <c r="I90" s="1160"/>
      <c r="J90" s="1160"/>
      <c r="K90" s="1160"/>
      <c r="L90" s="1160"/>
      <c r="M90" s="1160"/>
    </row>
    <row r="91" spans="2:19" x14ac:dyDescent="0.35">
      <c r="B91" s="1163" t="s">
        <v>744</v>
      </c>
      <c r="C91" s="1160">
        <v>47.722000000000016</v>
      </c>
      <c r="D91" s="1160">
        <v>52.756999999999998</v>
      </c>
      <c r="E91" s="1160">
        <v>12</v>
      </c>
      <c r="F91" s="1160">
        <v>4.2219999999999995</v>
      </c>
      <c r="G91" s="1160">
        <v>2.3719999999999999</v>
      </c>
      <c r="H91" s="1160"/>
      <c r="I91" s="1160"/>
      <c r="J91" s="1160"/>
      <c r="K91" s="1160"/>
      <c r="L91" s="1160"/>
      <c r="M91" s="1160"/>
    </row>
    <row r="92" spans="2:19" x14ac:dyDescent="0.35">
      <c r="B92" s="1163" t="s">
        <v>52</v>
      </c>
      <c r="C92" s="1160">
        <v>81.842999999999989</v>
      </c>
      <c r="D92" s="1160">
        <v>110.24799999999999</v>
      </c>
      <c r="E92" s="1160">
        <v>12.726000000000001</v>
      </c>
      <c r="F92" s="1160">
        <v>1.365</v>
      </c>
      <c r="G92" s="1160">
        <v>-0.90100000000000025</v>
      </c>
      <c r="H92" s="1160"/>
      <c r="I92" s="1160"/>
      <c r="J92" s="1160"/>
      <c r="K92" s="1160"/>
      <c r="L92" s="1160"/>
      <c r="M92" s="1160"/>
    </row>
    <row r="93" spans="2:19" x14ac:dyDescent="0.35">
      <c r="B93" s="1163" t="s">
        <v>131</v>
      </c>
      <c r="C93" s="1160">
        <v>7.798</v>
      </c>
      <c r="D93" s="1160">
        <v>7.9489999999999998</v>
      </c>
      <c r="E93" s="1160">
        <v>4.7519999999999998</v>
      </c>
      <c r="F93" s="1160">
        <v>4.637999999999999</v>
      </c>
      <c r="G93" s="1160">
        <v>1.8800000000000001</v>
      </c>
      <c r="H93" s="1160"/>
      <c r="I93" s="1160"/>
      <c r="J93" s="1160"/>
      <c r="K93" s="1160"/>
      <c r="L93" s="1160"/>
      <c r="M93" s="1160"/>
    </row>
    <row r="94" spans="2:19" x14ac:dyDescent="0.35">
      <c r="B94" s="1163" t="s">
        <v>396</v>
      </c>
      <c r="C94" s="1160">
        <v>283.95749999999998</v>
      </c>
      <c r="D94" s="1160">
        <v>77.092500000000001</v>
      </c>
      <c r="E94" s="1160">
        <v>1</v>
      </c>
      <c r="F94" s="1160">
        <v>0</v>
      </c>
      <c r="G94" s="1160">
        <v>0</v>
      </c>
      <c r="H94" s="1160"/>
      <c r="I94" s="1160"/>
      <c r="J94" s="1160"/>
      <c r="K94" s="1160"/>
      <c r="L94" s="1160"/>
      <c r="M94" s="1160"/>
    </row>
    <row r="95" spans="2:19" x14ac:dyDescent="0.35">
      <c r="B95" s="1163" t="s">
        <v>150</v>
      </c>
      <c r="C95" s="1160">
        <v>12.347</v>
      </c>
      <c r="D95" s="1160">
        <v>46.79</v>
      </c>
      <c r="E95" s="1160">
        <v>38.595999999999997</v>
      </c>
      <c r="F95" s="1160">
        <v>31.911000000000001</v>
      </c>
      <c r="G95" s="1160">
        <v>23.099</v>
      </c>
      <c r="H95" s="1160"/>
      <c r="I95" s="1160"/>
      <c r="J95" s="1160"/>
      <c r="K95" s="1160"/>
      <c r="L95" s="1160"/>
      <c r="M95" s="1160"/>
    </row>
    <row r="96" spans="2:19" x14ac:dyDescent="0.35">
      <c r="B96" s="1163" t="s">
        <v>412</v>
      </c>
      <c r="C96" s="1160">
        <v>2.286</v>
      </c>
      <c r="D96" s="1160">
        <v>4.6049999999999995</v>
      </c>
      <c r="E96" s="1160">
        <v>1.349</v>
      </c>
      <c r="F96" s="1160">
        <v>0.441</v>
      </c>
      <c r="G96" s="1160">
        <v>0.313</v>
      </c>
      <c r="H96" s="1160"/>
      <c r="I96" s="1160"/>
      <c r="J96" s="1160"/>
      <c r="K96" s="1160"/>
      <c r="L96" s="1160"/>
      <c r="M96" s="1160"/>
    </row>
    <row r="97" spans="2:13" x14ac:dyDescent="0.35">
      <c r="B97" s="1163" t="s">
        <v>159</v>
      </c>
      <c r="C97" s="1160">
        <v>25.75</v>
      </c>
      <c r="D97" s="1160">
        <v>0</v>
      </c>
      <c r="E97" s="1160">
        <v>0</v>
      </c>
      <c r="F97" s="1160">
        <v>0</v>
      </c>
      <c r="G97" s="1160">
        <v>0</v>
      </c>
      <c r="H97" s="1160"/>
      <c r="I97" s="1160"/>
      <c r="J97" s="1160"/>
      <c r="K97" s="1160"/>
      <c r="L97" s="1160"/>
      <c r="M97" s="1160"/>
    </row>
    <row r="98" spans="2:13" x14ac:dyDescent="0.35">
      <c r="B98" s="1163" t="s">
        <v>109</v>
      </c>
      <c r="C98" s="1160">
        <v>60.441000000000003</v>
      </c>
      <c r="D98" s="1160">
        <v>91.678999999999988</v>
      </c>
      <c r="E98" s="1160">
        <v>41.220000000000006</v>
      </c>
      <c r="F98" s="1160">
        <v>14.004000000000003</v>
      </c>
      <c r="G98" s="1160">
        <v>3.8530000000000006</v>
      </c>
      <c r="H98" s="1160"/>
      <c r="I98" s="1160"/>
      <c r="J98" s="1160"/>
      <c r="K98" s="1160"/>
      <c r="L98" s="1160"/>
      <c r="M98" s="1160"/>
    </row>
    <row r="99" spans="2:13" x14ac:dyDescent="0.35">
      <c r="C99" s="1154">
        <v>3.4</v>
      </c>
      <c r="D99" s="1154">
        <v>5.0999999999999996</v>
      </c>
      <c r="E99" s="1154">
        <v>0</v>
      </c>
      <c r="F99" s="1154">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AH1" zoomScaleNormal="100" workbookViewId="0">
      <pane ySplit="1" topLeftCell="A4" activePane="bottomLeft" state="frozen"/>
      <selection pane="bottomLeft" activeCell="C9" sqref="C9"/>
    </sheetView>
  </sheetViews>
  <sheetFormatPr defaultColWidth="11.453125" defaultRowHeight="14.5" x14ac:dyDescent="0.35"/>
  <cols>
    <col min="1" max="1" width="30.7265625" customWidth="1"/>
    <col min="2" max="2" width="109.453125" customWidth="1"/>
    <col min="3" max="3" width="47" customWidth="1"/>
    <col min="4" max="4" width="18.7265625" customWidth="1"/>
    <col min="5" max="5" width="58.7265625" customWidth="1"/>
    <col min="6" max="6" width="33.1796875" customWidth="1"/>
  </cols>
  <sheetData>
    <row r="1" spans="1:6" ht="47.65" customHeight="1" x14ac:dyDescent="0.35">
      <c r="A1" s="25" t="s">
        <v>33</v>
      </c>
      <c r="B1" s="26" t="s">
        <v>34</v>
      </c>
      <c r="C1" s="26" t="s">
        <v>35</v>
      </c>
      <c r="D1" s="27" t="s">
        <v>36</v>
      </c>
      <c r="E1" s="30"/>
      <c r="F1" s="30"/>
    </row>
    <row r="2" spans="1:6" ht="16.5" customHeight="1" x14ac:dyDescent="0.35">
      <c r="A2" s="1215" t="s">
        <v>37</v>
      </c>
      <c r="B2" s="1216"/>
      <c r="C2" s="1216"/>
      <c r="D2" s="1217"/>
      <c r="E2" s="30"/>
      <c r="F2" s="30"/>
    </row>
    <row r="3" spans="1:6" ht="148.15" customHeight="1" x14ac:dyDescent="0.35">
      <c r="A3" s="18" t="s">
        <v>928</v>
      </c>
      <c r="B3" s="14" t="s">
        <v>927</v>
      </c>
      <c r="C3" s="14" t="s">
        <v>926</v>
      </c>
      <c r="D3" s="22" t="s">
        <v>1020</v>
      </c>
    </row>
    <row r="4" spans="1:6" ht="148.15" customHeight="1" x14ac:dyDescent="0.35">
      <c r="A4" s="18" t="s">
        <v>79</v>
      </c>
      <c r="B4" s="14" t="s">
        <v>40</v>
      </c>
      <c r="C4" s="14" t="s">
        <v>1001</v>
      </c>
      <c r="D4" s="22" t="s">
        <v>1020</v>
      </c>
      <c r="E4" s="14"/>
      <c r="F4" s="14"/>
    </row>
    <row r="5" spans="1:6" ht="61.5" customHeight="1" x14ac:dyDescent="0.35">
      <c r="A5" s="18" t="s">
        <v>73</v>
      </c>
      <c r="B5" s="14" t="s">
        <v>74</v>
      </c>
      <c r="C5" s="32" t="s">
        <v>44</v>
      </c>
      <c r="D5" s="22" t="s">
        <v>1020</v>
      </c>
    </row>
    <row r="6" spans="1:6" ht="78" customHeight="1" x14ac:dyDescent="0.35">
      <c r="A6" s="18" t="s">
        <v>45</v>
      </c>
      <c r="B6" s="14" t="s">
        <v>46</v>
      </c>
      <c r="C6" s="14" t="s">
        <v>945</v>
      </c>
      <c r="D6" s="22" t="s">
        <v>1017</v>
      </c>
      <c r="E6" s="14"/>
      <c r="F6" s="14"/>
    </row>
    <row r="7" spans="1:6" ht="50.65" customHeight="1" x14ac:dyDescent="0.35">
      <c r="A7" s="18" t="s">
        <v>887</v>
      </c>
      <c r="B7" s="14" t="s">
        <v>899</v>
      </c>
      <c r="C7" s="14" t="s">
        <v>959</v>
      </c>
      <c r="D7" s="22" t="s">
        <v>1017</v>
      </c>
      <c r="E7" s="15"/>
      <c r="F7" s="14"/>
    </row>
    <row r="8" spans="1:6" ht="29.65" customHeight="1" x14ac:dyDescent="0.35">
      <c r="A8" s="18" t="s">
        <v>75</v>
      </c>
      <c r="B8" s="14" t="s">
        <v>76</v>
      </c>
      <c r="C8" s="14" t="s">
        <v>77</v>
      </c>
      <c r="D8" s="22" t="s">
        <v>1017</v>
      </c>
      <c r="E8" s="15"/>
      <c r="F8" s="14"/>
    </row>
    <row r="9" spans="1:6" ht="48.4" customHeight="1" x14ac:dyDescent="0.35">
      <c r="A9" s="18" t="s">
        <v>47</v>
      </c>
      <c r="B9" s="14" t="s">
        <v>48</v>
      </c>
      <c r="C9" s="14" t="s">
        <v>919</v>
      </c>
      <c r="D9" s="22" t="s">
        <v>1017</v>
      </c>
      <c r="E9" s="15"/>
      <c r="F9" s="14"/>
    </row>
    <row r="10" spans="1:6" ht="22.5" customHeight="1" x14ac:dyDescent="0.35">
      <c r="A10" s="1215" t="s">
        <v>920</v>
      </c>
      <c r="B10" s="1216"/>
      <c r="C10" s="1216"/>
      <c r="D10" s="1217"/>
      <c r="E10" s="15"/>
      <c r="F10" s="14"/>
    </row>
    <row r="11" spans="1:6" ht="22.5" customHeight="1" x14ac:dyDescent="0.35">
      <c r="A11" s="19" t="s">
        <v>75</v>
      </c>
      <c r="B11" s="1228" t="s">
        <v>930</v>
      </c>
      <c r="C11" s="1229"/>
      <c r="D11" s="31"/>
      <c r="E11" s="15"/>
      <c r="F11" s="14"/>
    </row>
    <row r="12" spans="1:6" ht="33" customHeight="1" x14ac:dyDescent="0.35">
      <c r="A12" s="19" t="s">
        <v>929</v>
      </c>
      <c r="B12" s="1221" t="s">
        <v>931</v>
      </c>
      <c r="C12" s="1221"/>
      <c r="D12" s="22"/>
      <c r="E12" s="14"/>
      <c r="F12" s="14"/>
    </row>
    <row r="13" spans="1:6" ht="39.4" customHeight="1" x14ac:dyDescent="0.35">
      <c r="A13" s="17" t="s">
        <v>921</v>
      </c>
      <c r="B13" s="1221" t="s">
        <v>932</v>
      </c>
      <c r="C13" s="1221"/>
      <c r="D13" s="22"/>
    </row>
    <row r="14" spans="1:6" ht="38.65" customHeight="1" x14ac:dyDescent="0.35">
      <c r="A14" s="17" t="s">
        <v>923</v>
      </c>
      <c r="B14" s="1221" t="s">
        <v>924</v>
      </c>
      <c r="C14" s="1221"/>
      <c r="D14" s="22"/>
    </row>
    <row r="15" spans="1:6" ht="19.899999999999999" customHeight="1" x14ac:dyDescent="0.35">
      <c r="A15" s="1218" t="s">
        <v>59</v>
      </c>
      <c r="B15" s="1219"/>
      <c r="C15" s="1219"/>
      <c r="D15" s="1220"/>
    </row>
    <row r="16" spans="1:6" ht="24.4" customHeight="1" x14ac:dyDescent="0.35">
      <c r="A16" s="1222" t="s">
        <v>895</v>
      </c>
      <c r="B16" s="1223"/>
      <c r="C16" s="1224"/>
      <c r="D16" s="22"/>
    </row>
    <row r="17" spans="1:7" ht="101.65" customHeight="1" x14ac:dyDescent="0.35">
      <c r="A17" s="33" t="s">
        <v>60</v>
      </c>
      <c r="B17" s="34" t="s">
        <v>946</v>
      </c>
      <c r="C17" s="34" t="s">
        <v>953</v>
      </c>
      <c r="D17" s="35"/>
      <c r="E17" s="34"/>
      <c r="F17" s="34"/>
      <c r="G17" s="34"/>
    </row>
    <row r="18" spans="1:7" ht="100.9" customHeight="1" x14ac:dyDescent="0.35">
      <c r="A18" s="33" t="s">
        <v>61</v>
      </c>
      <c r="B18" s="34" t="s">
        <v>947</v>
      </c>
      <c r="C18" s="34" t="s">
        <v>948</v>
      </c>
      <c r="D18" s="35"/>
      <c r="E18" s="34"/>
      <c r="F18" s="34"/>
      <c r="G18" s="34"/>
    </row>
    <row r="19" spans="1:7" ht="57.65" customHeight="1" x14ac:dyDescent="0.35">
      <c r="A19" s="33" t="s">
        <v>949</v>
      </c>
      <c r="B19" s="34" t="s">
        <v>950</v>
      </c>
      <c r="C19" s="34" t="s">
        <v>951</v>
      </c>
      <c r="D19" s="35"/>
      <c r="E19" s="34"/>
      <c r="F19" s="34"/>
      <c r="G19" s="34"/>
    </row>
    <row r="20" spans="1:7" ht="37.5" customHeight="1" x14ac:dyDescent="0.35">
      <c r="A20" s="1225" t="s">
        <v>894</v>
      </c>
      <c r="B20" s="1226"/>
      <c r="C20" s="1227"/>
      <c r="D20" s="22"/>
    </row>
    <row r="21" spans="1:7" x14ac:dyDescent="0.35">
      <c r="A21" s="1218" t="s">
        <v>62</v>
      </c>
      <c r="B21" s="1219"/>
      <c r="C21" s="1219"/>
      <c r="D21" s="1220"/>
    </row>
    <row r="22" spans="1:7" ht="28.9" customHeight="1" x14ac:dyDescent="0.35">
      <c r="A22" s="18" t="s">
        <v>63</v>
      </c>
      <c r="B22" s="14" t="s">
        <v>78</v>
      </c>
      <c r="C22" s="14" t="s">
        <v>64</v>
      </c>
      <c r="D22" s="22"/>
    </row>
    <row r="23" spans="1:7" ht="72" customHeight="1" x14ac:dyDescent="0.35">
      <c r="A23" s="18" t="s">
        <v>65</v>
      </c>
      <c r="B23" s="14" t="s">
        <v>66</v>
      </c>
      <c r="C23" s="14" t="s">
        <v>67</v>
      </c>
      <c r="D23" s="22"/>
    </row>
    <row r="24" spans="1:7" ht="28.9" customHeight="1" x14ac:dyDescent="0.35">
      <c r="A24" s="18" t="s">
        <v>68</v>
      </c>
      <c r="B24" s="14" t="s">
        <v>69</v>
      </c>
      <c r="C24" s="14" t="s">
        <v>938</v>
      </c>
      <c r="D24" s="22"/>
    </row>
    <row r="25" spans="1:7" ht="100.9"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6" activePane="bottomRight" state="frozen"/>
      <selection pane="topRight" activeCell="C1" sqref="C1"/>
      <selection pane="bottomLeft" activeCell="A2" sqref="A2"/>
      <selection pane="bottomRight" activeCell="G240" sqref="G240"/>
    </sheetView>
  </sheetViews>
  <sheetFormatPr defaultColWidth="11.453125" defaultRowHeight="14.5" x14ac:dyDescent="0.35"/>
  <cols>
    <col min="1" max="2" width="12" customWidth="1"/>
    <col min="3" max="12" width="26.54296875" customWidth="1"/>
  </cols>
  <sheetData>
    <row r="1" spans="1:12" ht="28.9" customHeight="1" x14ac:dyDescent="0.35">
      <c r="A1" s="1165" t="str">
        <f>Deflators_original!K1</f>
        <v>date</v>
      </c>
      <c r="B1" s="1165" t="str">
        <f>Deflators_original!L1</f>
        <v>id</v>
      </c>
      <c r="C1" s="1166" t="str">
        <f>Deflators_original!A1</f>
        <v>gdp_deflator</v>
      </c>
      <c r="D1" s="1166" t="str">
        <f>Deflators_original!B1</f>
        <v>gdp_growth</v>
      </c>
      <c r="E1" s="1166" t="str">
        <f>Deflators_original!C1</f>
        <v>consumption_deflator</v>
      </c>
      <c r="F1" s="1166" t="str">
        <f>Deflators_original!D1</f>
        <v>consumption_deflator_growth</v>
      </c>
      <c r="G1" s="1166" t="str">
        <f>Deflators_original!E1</f>
        <v>federal_purchases_deflator</v>
      </c>
      <c r="H1" s="1166" t="str">
        <f>Deflators_original!F1</f>
        <v>federal_purchases_deflator_growth</v>
      </c>
      <c r="I1" s="1166" t="str">
        <f>Deflators_original!G1</f>
        <v>consumption_grants_deflator</v>
      </c>
      <c r="J1" s="1166" t="str">
        <f>Deflators_original!H1</f>
        <v>consumption_grants_deflator_growth</v>
      </c>
      <c r="K1" s="1166" t="str">
        <f>Deflators_original!I1</f>
        <v>investment_grants_deflator</v>
      </c>
      <c r="L1" s="1166" t="str">
        <f>Deflators_original!J1</f>
        <v>investment_grants_deflator_growth</v>
      </c>
    </row>
    <row r="2" spans="1:12" x14ac:dyDescent="0.35">
      <c r="A2" s="1165" t="str">
        <f>Deflators_original!K2</f>
        <v>1970 Q1</v>
      </c>
      <c r="B2" s="1165" t="str">
        <f>Deflators_original!L2</f>
        <v>historical</v>
      </c>
      <c r="C2" s="1167">
        <f>Deflators_original!A2</f>
        <v>21.271999999999998</v>
      </c>
      <c r="D2" s="1167">
        <f>Deflators_original!B2</f>
        <v>0</v>
      </c>
      <c r="E2" s="1167">
        <f>Deflators_original!C2</f>
        <v>20.57</v>
      </c>
      <c r="F2" s="1167">
        <f>Deflators_original!D2</f>
        <v>1.1084103062712699E-2</v>
      </c>
      <c r="G2" s="1167">
        <f>Deflators_original!E2</f>
        <v>18.704000000000001</v>
      </c>
      <c r="H2" s="1167">
        <f>Deflators_original!F2</f>
        <v>1.32057313943541E-2</v>
      </c>
      <c r="I2" s="1167">
        <f>Deflators_original!G2</f>
        <v>13.106999999999999</v>
      </c>
      <c r="J2" s="1167">
        <f>Deflators_original!H2</f>
        <v>1.9913023575188999E-2</v>
      </c>
      <c r="K2" s="1167">
        <f>Deflators_original!I2</f>
        <v>16.824999999999999</v>
      </c>
      <c r="L2" s="1167">
        <f>Deflators_original!J2</f>
        <v>2.51411589895989E-2</v>
      </c>
    </row>
    <row r="3" spans="1:12" x14ac:dyDescent="0.35">
      <c r="A3" s="1165" t="str">
        <f>Deflators_original!K3</f>
        <v>1970 Q2</v>
      </c>
      <c r="B3" s="1165" t="str">
        <f>Deflators_original!L3</f>
        <v>historical</v>
      </c>
      <c r="C3" s="1167">
        <f>Deflators_original!A3</f>
        <v>21.579000000000001</v>
      </c>
      <c r="D3" s="1167">
        <f>Deflators_original!B3</f>
        <v>0</v>
      </c>
      <c r="E3" s="1167">
        <f>Deflators_original!C3</f>
        <v>20.797999999999998</v>
      </c>
      <c r="F3" s="1167">
        <f>Deflators_original!D3</f>
        <v>1.1084103062712699E-2</v>
      </c>
      <c r="G3" s="1167">
        <f>Deflators_original!E3</f>
        <v>18.951000000000001</v>
      </c>
      <c r="H3" s="1167">
        <f>Deflators_original!F3</f>
        <v>1.32057313943541E-2</v>
      </c>
      <c r="I3" s="1167">
        <f>Deflators_original!G3</f>
        <v>13.368</v>
      </c>
      <c r="J3" s="1167">
        <f>Deflators_original!H3</f>
        <v>1.9913023575188999E-2</v>
      </c>
      <c r="K3" s="1167">
        <f>Deflators_original!I3</f>
        <v>17.248000000000001</v>
      </c>
      <c r="L3" s="1167">
        <f>Deflators_original!J3</f>
        <v>2.51411589895989E-2</v>
      </c>
    </row>
    <row r="4" spans="1:12" x14ac:dyDescent="0.35">
      <c r="A4" s="1165" t="str">
        <f>Deflators_original!K4</f>
        <v>1970 Q3</v>
      </c>
      <c r="B4" s="1165" t="str">
        <f>Deflators_original!L4</f>
        <v>historical</v>
      </c>
      <c r="C4" s="1167">
        <f>Deflators_original!A4</f>
        <v>21.756</v>
      </c>
      <c r="D4" s="1167">
        <f>Deflators_original!B4</f>
        <v>0</v>
      </c>
      <c r="E4" s="1167">
        <f>Deflators_original!C4</f>
        <v>21</v>
      </c>
      <c r="F4" s="1167">
        <f>Deflators_original!D4</f>
        <v>9.7124723531110107E-3</v>
      </c>
      <c r="G4" s="1167">
        <f>Deflators_original!E4</f>
        <v>19.274000000000001</v>
      </c>
      <c r="H4" s="1167">
        <f>Deflators_original!F4</f>
        <v>1.7043955464091501E-2</v>
      </c>
      <c r="I4" s="1167">
        <f>Deflators_original!G4</f>
        <v>13.603999999999999</v>
      </c>
      <c r="J4" s="1167">
        <f>Deflators_original!H4</f>
        <v>1.7654099341711402E-2</v>
      </c>
      <c r="K4" s="1167">
        <f>Deflators_original!I4</f>
        <v>17.582000000000001</v>
      </c>
      <c r="L4" s="1167">
        <f>Deflators_original!J4</f>
        <v>1.9364564007421099E-2</v>
      </c>
    </row>
    <row r="5" spans="1:12" x14ac:dyDescent="0.35">
      <c r="A5" s="1165" t="str">
        <f>Deflators_original!K5</f>
        <v>1970 Q4</v>
      </c>
      <c r="B5" s="1165" t="str">
        <f>Deflators_original!L5</f>
        <v>historical</v>
      </c>
      <c r="C5" s="1167">
        <f>Deflators_original!A5</f>
        <v>22.041</v>
      </c>
      <c r="D5" s="1167">
        <f>Deflators_original!B5</f>
        <v>0</v>
      </c>
      <c r="E5" s="1167">
        <f>Deflators_original!C5</f>
        <v>21.271999999999998</v>
      </c>
      <c r="F5" s="1167">
        <f>Deflators_original!D5</f>
        <v>1.29523809523808E-2</v>
      </c>
      <c r="G5" s="1167">
        <f>Deflators_original!E5</f>
        <v>19.518999999999998</v>
      </c>
      <c r="H5" s="1167">
        <f>Deflators_original!F5</f>
        <v>1.2711424717235501E-2</v>
      </c>
      <c r="I5" s="1167">
        <f>Deflators_original!G5</f>
        <v>13.833</v>
      </c>
      <c r="J5" s="1167">
        <f>Deflators_original!H5</f>
        <v>1.6833284328138898E-2</v>
      </c>
      <c r="K5" s="1167">
        <f>Deflators_original!I5</f>
        <v>18.027999999999999</v>
      </c>
      <c r="L5" s="1167">
        <f>Deflators_original!J5</f>
        <v>2.5366852462745899E-2</v>
      </c>
    </row>
    <row r="6" spans="1:12" x14ac:dyDescent="0.35">
      <c r="A6" s="1165" t="str">
        <f>Deflators_original!K6</f>
        <v>1971 Q1</v>
      </c>
      <c r="B6" s="1165" t="str">
        <f>Deflators_original!L6</f>
        <v>historical</v>
      </c>
      <c r="C6" s="1167">
        <f>Deflators_original!A6</f>
        <v>22.375</v>
      </c>
      <c r="D6" s="1167">
        <f>Deflators_original!B6</f>
        <v>0</v>
      </c>
      <c r="E6" s="1167">
        <f>Deflators_original!C6</f>
        <v>21.474</v>
      </c>
      <c r="F6" s="1167">
        <f>Deflators_original!D6</f>
        <v>9.4960511470478792E-3</v>
      </c>
      <c r="G6" s="1167">
        <f>Deflators_original!E6</f>
        <v>20.137</v>
      </c>
      <c r="H6" s="1167">
        <f>Deflators_original!F6</f>
        <v>3.1661458066499303E-2</v>
      </c>
      <c r="I6" s="1167">
        <f>Deflators_original!G6</f>
        <v>14.173999999999999</v>
      </c>
      <c r="J6" s="1167">
        <f>Deflators_original!H6</f>
        <v>2.4651196414371399E-2</v>
      </c>
      <c r="K6" s="1167">
        <f>Deflators_original!I6</f>
        <v>18.332000000000001</v>
      </c>
      <c r="L6" s="1167">
        <f>Deflators_original!J6</f>
        <v>1.6862658087419598E-2</v>
      </c>
    </row>
    <row r="7" spans="1:12" x14ac:dyDescent="0.35">
      <c r="A7" s="1165" t="str">
        <f>Deflators_original!K7</f>
        <v>1971 Q2</v>
      </c>
      <c r="B7" s="1165" t="str">
        <f>Deflators_original!L7</f>
        <v>historical</v>
      </c>
      <c r="C7" s="1167">
        <f>Deflators_original!A7</f>
        <v>22.673999999999999</v>
      </c>
      <c r="D7" s="1167">
        <f>Deflators_original!B7</f>
        <v>0</v>
      </c>
      <c r="E7" s="1167">
        <f>Deflators_original!C7</f>
        <v>21.718</v>
      </c>
      <c r="F7" s="1167">
        <f>Deflators_original!D7</f>
        <v>1.1362578001303801E-2</v>
      </c>
      <c r="G7" s="1167">
        <f>Deflators_original!E7</f>
        <v>20.513000000000002</v>
      </c>
      <c r="H7" s="1167">
        <f>Deflators_original!F7</f>
        <v>1.86720961414313E-2</v>
      </c>
      <c r="I7" s="1167">
        <f>Deflators_original!G7</f>
        <v>14.439</v>
      </c>
      <c r="J7" s="1167">
        <f>Deflators_original!H7</f>
        <v>1.8696204317764999E-2</v>
      </c>
      <c r="K7" s="1167">
        <f>Deflators_original!I7</f>
        <v>18.625</v>
      </c>
      <c r="L7" s="1167">
        <f>Deflators_original!J7</f>
        <v>1.59829805804057E-2</v>
      </c>
    </row>
    <row r="8" spans="1:12" x14ac:dyDescent="0.35">
      <c r="A8" s="1165" t="str">
        <f>Deflators_original!K8</f>
        <v>1971 Q3</v>
      </c>
      <c r="B8" s="1165" t="str">
        <f>Deflators_original!L8</f>
        <v>historical</v>
      </c>
      <c r="C8" s="1167">
        <f>Deflators_original!A8</f>
        <v>22.902999999999999</v>
      </c>
      <c r="D8" s="1167">
        <f>Deflators_original!B8</f>
        <v>0</v>
      </c>
      <c r="E8" s="1167">
        <f>Deflators_original!C8</f>
        <v>21.931999999999999</v>
      </c>
      <c r="F8" s="1167">
        <f>Deflators_original!D8</f>
        <v>9.8535776775023898E-3</v>
      </c>
      <c r="G8" s="1167">
        <f>Deflators_original!E8</f>
        <v>20.81</v>
      </c>
      <c r="H8" s="1167">
        <f>Deflators_original!F8</f>
        <v>1.4478623312046E-2</v>
      </c>
      <c r="I8" s="1167">
        <f>Deflators_original!G8</f>
        <v>14.657</v>
      </c>
      <c r="J8" s="1167">
        <f>Deflators_original!H8</f>
        <v>1.5097998476348899E-2</v>
      </c>
      <c r="K8" s="1167">
        <f>Deflators_original!I8</f>
        <v>18.827999999999999</v>
      </c>
      <c r="L8" s="1167">
        <f>Deflators_original!J8</f>
        <v>1.0899328859060401E-2</v>
      </c>
    </row>
    <row r="9" spans="1:12" x14ac:dyDescent="0.35">
      <c r="A9" s="1165" t="str">
        <f>Deflators_original!K9</f>
        <v>1971 Q4</v>
      </c>
      <c r="B9" s="1165" t="str">
        <f>Deflators_original!L9</f>
        <v>historical</v>
      </c>
      <c r="C9" s="1167">
        <f>Deflators_original!A9</f>
        <v>23.091999999999999</v>
      </c>
      <c r="D9" s="1167">
        <f>Deflators_original!B9</f>
        <v>0</v>
      </c>
      <c r="E9" s="1167">
        <f>Deflators_original!C9</f>
        <v>22.068000000000001</v>
      </c>
      <c r="F9" s="1167">
        <f>Deflators_original!D9</f>
        <v>6.2009848623016898E-3</v>
      </c>
      <c r="G9" s="1167">
        <f>Deflators_original!E9</f>
        <v>21.233000000000001</v>
      </c>
      <c r="H9" s="1167">
        <f>Deflators_original!F9</f>
        <v>2.03267659778954E-2</v>
      </c>
      <c r="I9" s="1167">
        <f>Deflators_original!G9</f>
        <v>14.79</v>
      </c>
      <c r="J9" s="1167">
        <f>Deflators_original!H9</f>
        <v>9.0741625162038507E-3</v>
      </c>
      <c r="K9" s="1167">
        <f>Deflators_original!I9</f>
        <v>19.152999999999999</v>
      </c>
      <c r="L9" s="1167">
        <f>Deflators_original!J9</f>
        <v>1.7261525387720401E-2</v>
      </c>
    </row>
    <row r="10" spans="1:12" x14ac:dyDescent="0.35">
      <c r="A10" s="1165" t="str">
        <f>Deflators_original!K10</f>
        <v>1972 Q1</v>
      </c>
      <c r="B10" s="1165" t="str">
        <f>Deflators_original!L10</f>
        <v>historical</v>
      </c>
      <c r="C10" s="1167">
        <f>Deflators_original!A10</f>
        <v>23.463000000000001</v>
      </c>
      <c r="D10" s="1167">
        <f>Deflators_original!B10</f>
        <v>0</v>
      </c>
      <c r="E10" s="1167">
        <f>Deflators_original!C10</f>
        <v>22.300999999999998</v>
      </c>
      <c r="F10" s="1167">
        <f>Deflators_original!D10</f>
        <v>1.05582744245059E-2</v>
      </c>
      <c r="G10" s="1167">
        <f>Deflators_original!E10</f>
        <v>22.106999999999999</v>
      </c>
      <c r="H10" s="1167">
        <f>Deflators_original!F10</f>
        <v>4.11623416380162E-2</v>
      </c>
      <c r="I10" s="1167">
        <f>Deflators_original!G10</f>
        <v>15.162000000000001</v>
      </c>
      <c r="J10" s="1167">
        <f>Deflators_original!H10</f>
        <v>2.5152129817444399E-2</v>
      </c>
      <c r="K10" s="1167">
        <f>Deflators_original!I10</f>
        <v>19.398</v>
      </c>
      <c r="L10" s="1167">
        <f>Deflators_original!J10</f>
        <v>1.27917297551299E-2</v>
      </c>
    </row>
    <row r="11" spans="1:12" x14ac:dyDescent="0.35">
      <c r="A11" s="1165" t="str">
        <f>Deflators_original!K11</f>
        <v>1972 Q2</v>
      </c>
      <c r="B11" s="1165" t="str">
        <f>Deflators_original!L11</f>
        <v>historical</v>
      </c>
      <c r="C11" s="1167">
        <f>Deflators_original!A11</f>
        <v>23.606000000000002</v>
      </c>
      <c r="D11" s="1167">
        <f>Deflators_original!B11</f>
        <v>0</v>
      </c>
      <c r="E11" s="1167">
        <f>Deflators_original!C11</f>
        <v>22.428999999999998</v>
      </c>
      <c r="F11" s="1167">
        <f>Deflators_original!D11</f>
        <v>5.7396529303619399E-3</v>
      </c>
      <c r="G11" s="1167">
        <f>Deflators_original!E11</f>
        <v>22.33</v>
      </c>
      <c r="H11" s="1167">
        <f>Deflators_original!F11</f>
        <v>1.00873026643145E-2</v>
      </c>
      <c r="I11" s="1167">
        <f>Deflators_original!G11</f>
        <v>15.361000000000001</v>
      </c>
      <c r="J11" s="1167">
        <f>Deflators_original!H11</f>
        <v>1.3124917557050499E-2</v>
      </c>
      <c r="K11" s="1167">
        <f>Deflators_original!I11</f>
        <v>19.533999999999999</v>
      </c>
      <c r="L11" s="1167">
        <f>Deflators_original!J11</f>
        <v>7.0110320651612899E-3</v>
      </c>
    </row>
    <row r="12" spans="1:12" x14ac:dyDescent="0.35">
      <c r="A12" s="1165" t="str">
        <f>Deflators_original!K12</f>
        <v>1972 Q3</v>
      </c>
      <c r="B12" s="1165" t="str">
        <f>Deflators_original!L12</f>
        <v>historical</v>
      </c>
      <c r="C12" s="1167">
        <f>Deflators_original!A12</f>
        <v>23.82</v>
      </c>
      <c r="D12" s="1167">
        <f>Deflators_original!B12</f>
        <v>0</v>
      </c>
      <c r="E12" s="1167">
        <f>Deflators_original!C12</f>
        <v>22.626000000000001</v>
      </c>
      <c r="F12" s="1167">
        <f>Deflators_original!D12</f>
        <v>8.7832716572295907E-3</v>
      </c>
      <c r="G12" s="1167">
        <f>Deflators_original!E12</f>
        <v>22.513000000000002</v>
      </c>
      <c r="H12" s="1167">
        <f>Deflators_original!F12</f>
        <v>8.1952530228392995E-3</v>
      </c>
      <c r="I12" s="1167">
        <f>Deflators_original!G12</f>
        <v>15.6</v>
      </c>
      <c r="J12" s="1167">
        <f>Deflators_original!H12</f>
        <v>1.5558882885228701E-2</v>
      </c>
      <c r="K12" s="1167">
        <f>Deflators_original!I12</f>
        <v>19.805</v>
      </c>
      <c r="L12" s="1167">
        <f>Deflators_original!J12</f>
        <v>1.38732466468721E-2</v>
      </c>
    </row>
    <row r="13" spans="1:12" x14ac:dyDescent="0.35">
      <c r="A13" s="1165" t="str">
        <f>Deflators_original!K13</f>
        <v>1972 Q4</v>
      </c>
      <c r="B13" s="1165" t="str">
        <f>Deflators_original!L13</f>
        <v>historical</v>
      </c>
      <c r="C13" s="1167">
        <f>Deflators_original!A13</f>
        <v>24.09</v>
      </c>
      <c r="D13" s="1167">
        <f>Deflators_original!B13</f>
        <v>0</v>
      </c>
      <c r="E13" s="1167">
        <f>Deflators_original!C13</f>
        <v>22.811</v>
      </c>
      <c r="F13" s="1167">
        <f>Deflators_original!D13</f>
        <v>8.1764341907539801E-3</v>
      </c>
      <c r="G13" s="1167">
        <f>Deflators_original!E13</f>
        <v>23.003</v>
      </c>
      <c r="H13" s="1167">
        <f>Deflators_original!F13</f>
        <v>2.17652023275441E-2</v>
      </c>
      <c r="I13" s="1167">
        <f>Deflators_original!G13</f>
        <v>15.794</v>
      </c>
      <c r="J13" s="1167">
        <f>Deflators_original!H13</f>
        <v>1.2435897435897601E-2</v>
      </c>
      <c r="K13" s="1167">
        <f>Deflators_original!I13</f>
        <v>20.175000000000001</v>
      </c>
      <c r="L13" s="1167">
        <f>Deflators_original!J13</f>
        <v>1.8682150971976799E-2</v>
      </c>
    </row>
    <row r="14" spans="1:12" x14ac:dyDescent="0.35">
      <c r="A14" s="1165" t="str">
        <f>Deflators_original!K14</f>
        <v>1973 Q1</v>
      </c>
      <c r="B14" s="1165" t="str">
        <f>Deflators_original!L14</f>
        <v>historical</v>
      </c>
      <c r="C14" s="1167">
        <f>Deflators_original!A14</f>
        <v>24.396000000000001</v>
      </c>
      <c r="D14" s="1167">
        <f>Deflators_original!B14</f>
        <v>0</v>
      </c>
      <c r="E14" s="1167">
        <f>Deflators_original!C14</f>
        <v>23.085999999999999</v>
      </c>
      <c r="F14" s="1167">
        <f>Deflators_original!D14</f>
        <v>1.20555872166936E-2</v>
      </c>
      <c r="G14" s="1167">
        <f>Deflators_original!E14</f>
        <v>23.373000000000001</v>
      </c>
      <c r="H14" s="1167">
        <f>Deflators_original!F14</f>
        <v>1.60848584967179E-2</v>
      </c>
      <c r="I14" s="1167">
        <f>Deflators_original!G14</f>
        <v>16.106000000000002</v>
      </c>
      <c r="J14" s="1167">
        <f>Deflators_original!H14</f>
        <v>1.9754337090034199E-2</v>
      </c>
      <c r="K14" s="1167">
        <f>Deflators_original!I14</f>
        <v>20.564</v>
      </c>
      <c r="L14" s="1167">
        <f>Deflators_original!J14</f>
        <v>1.9281288723668001E-2</v>
      </c>
    </row>
    <row r="15" spans="1:12" x14ac:dyDescent="0.35">
      <c r="A15" s="1165" t="str">
        <f>Deflators_original!K15</f>
        <v>1973 Q2</v>
      </c>
      <c r="B15" s="1165" t="str">
        <f>Deflators_original!L15</f>
        <v>historical</v>
      </c>
      <c r="C15" s="1167">
        <f>Deflators_original!A15</f>
        <v>24.8</v>
      </c>
      <c r="D15" s="1167">
        <f>Deflators_original!B15</f>
        <v>0</v>
      </c>
      <c r="E15" s="1167">
        <f>Deflators_original!C15</f>
        <v>23.53</v>
      </c>
      <c r="F15" s="1167">
        <f>Deflators_original!D15</f>
        <v>1.9232435242138201E-2</v>
      </c>
      <c r="G15" s="1167">
        <f>Deflators_original!E15</f>
        <v>23.78</v>
      </c>
      <c r="H15" s="1167">
        <f>Deflators_original!F15</f>
        <v>1.74132546100201E-2</v>
      </c>
      <c r="I15" s="1167">
        <f>Deflators_original!G15</f>
        <v>16.378</v>
      </c>
      <c r="J15" s="1167">
        <f>Deflators_original!H15</f>
        <v>1.68881162299763E-2</v>
      </c>
      <c r="K15" s="1167">
        <f>Deflators_original!I15</f>
        <v>20.997</v>
      </c>
      <c r="L15" s="1167">
        <f>Deflators_original!J15</f>
        <v>2.1056214744213299E-2</v>
      </c>
    </row>
    <row r="16" spans="1:12" x14ac:dyDescent="0.35">
      <c r="A16" s="1165" t="str">
        <f>Deflators_original!K16</f>
        <v>1973 Q3</v>
      </c>
      <c r="B16" s="1165" t="str">
        <f>Deflators_original!L16</f>
        <v>historical</v>
      </c>
      <c r="C16" s="1167">
        <f>Deflators_original!A16</f>
        <v>25.273</v>
      </c>
      <c r="D16" s="1167">
        <f>Deflators_original!B16</f>
        <v>0</v>
      </c>
      <c r="E16" s="1167">
        <f>Deflators_original!C16</f>
        <v>23.957999999999998</v>
      </c>
      <c r="F16" s="1167">
        <f>Deflators_original!D16</f>
        <v>1.81895452613683E-2</v>
      </c>
      <c r="G16" s="1167">
        <f>Deflators_original!E16</f>
        <v>24.271999999999998</v>
      </c>
      <c r="H16" s="1167">
        <f>Deflators_original!F16</f>
        <v>2.0689655172413599E-2</v>
      </c>
      <c r="I16" s="1167">
        <f>Deflators_original!G16</f>
        <v>16.568000000000001</v>
      </c>
      <c r="J16" s="1167">
        <f>Deflators_original!H16</f>
        <v>1.1600928074246E-2</v>
      </c>
      <c r="K16" s="1167">
        <f>Deflators_original!I16</f>
        <v>21.425000000000001</v>
      </c>
      <c r="L16" s="1167">
        <f>Deflators_original!J16</f>
        <v>2.03838643615755E-2</v>
      </c>
    </row>
    <row r="17" spans="1:12" x14ac:dyDescent="0.35">
      <c r="A17" s="1165" t="str">
        <f>Deflators_original!K17</f>
        <v>1973 Q4</v>
      </c>
      <c r="B17" s="1165" t="str">
        <f>Deflators_original!L17</f>
        <v>historical</v>
      </c>
      <c r="C17" s="1167">
        <f>Deflators_original!A17</f>
        <v>25.710999999999999</v>
      </c>
      <c r="D17" s="1167">
        <f>Deflators_original!B17</f>
        <v>0</v>
      </c>
      <c r="E17" s="1167">
        <f>Deflators_original!C17</f>
        <v>24.448</v>
      </c>
      <c r="F17" s="1167">
        <f>Deflators_original!D17</f>
        <v>2.0452458468987599E-2</v>
      </c>
      <c r="G17" s="1167">
        <f>Deflators_original!E17</f>
        <v>24.791</v>
      </c>
      <c r="H17" s="1167">
        <f>Deflators_original!F17</f>
        <v>2.13826631509559E-2</v>
      </c>
      <c r="I17" s="1167">
        <f>Deflators_original!G17</f>
        <v>16.846</v>
      </c>
      <c r="J17" s="1167">
        <f>Deflators_original!H17</f>
        <v>1.6779333655238898E-2</v>
      </c>
      <c r="K17" s="1167">
        <f>Deflators_original!I17</f>
        <v>22</v>
      </c>
      <c r="L17" s="1167">
        <f>Deflators_original!J17</f>
        <v>2.68378063010501E-2</v>
      </c>
    </row>
    <row r="18" spans="1:12" x14ac:dyDescent="0.35">
      <c r="A18" s="1165" t="str">
        <f>Deflators_original!K18</f>
        <v>1974 Q1</v>
      </c>
      <c r="B18" s="1165" t="str">
        <f>Deflators_original!L18</f>
        <v>historical</v>
      </c>
      <c r="C18" s="1167">
        <f>Deflators_original!A18</f>
        <v>26.231999999999999</v>
      </c>
      <c r="D18" s="1167">
        <f>Deflators_original!B18</f>
        <v>0</v>
      </c>
      <c r="E18" s="1167">
        <f>Deflators_original!C18</f>
        <v>25.175999999999998</v>
      </c>
      <c r="F18" s="1167">
        <f>Deflators_original!D18</f>
        <v>2.9777486910994602E-2</v>
      </c>
      <c r="G18" s="1167">
        <f>Deflators_original!E18</f>
        <v>25.045000000000002</v>
      </c>
      <c r="H18" s="1167">
        <f>Deflators_original!F18</f>
        <v>1.0245653664636501E-2</v>
      </c>
      <c r="I18" s="1167">
        <f>Deflators_original!G18</f>
        <v>17.254999999999999</v>
      </c>
      <c r="J18" s="1167">
        <f>Deflators_original!H18</f>
        <v>2.42787605366259E-2</v>
      </c>
      <c r="K18" s="1167">
        <f>Deflators_original!I18</f>
        <v>23.02</v>
      </c>
      <c r="L18" s="1167">
        <f>Deflators_original!J18</f>
        <v>4.6363636363636399E-2</v>
      </c>
    </row>
    <row r="19" spans="1:12" x14ac:dyDescent="0.35">
      <c r="A19" s="1165" t="str">
        <f>Deflators_original!K19</f>
        <v>1974 Q2</v>
      </c>
      <c r="B19" s="1165" t="str">
        <f>Deflators_original!L19</f>
        <v>historical</v>
      </c>
      <c r="C19" s="1167">
        <f>Deflators_original!A19</f>
        <v>26.815000000000001</v>
      </c>
      <c r="D19" s="1167">
        <f>Deflators_original!B19</f>
        <v>0</v>
      </c>
      <c r="E19" s="1167">
        <f>Deflators_original!C19</f>
        <v>25.888999999999999</v>
      </c>
      <c r="F19" s="1167">
        <f>Deflators_original!D19</f>
        <v>2.8320622815379799E-2</v>
      </c>
      <c r="G19" s="1167">
        <f>Deflators_original!E19</f>
        <v>25.498000000000001</v>
      </c>
      <c r="H19" s="1167">
        <f>Deflators_original!F19</f>
        <v>1.8087442603314002E-2</v>
      </c>
      <c r="I19" s="1167">
        <f>Deflators_original!G19</f>
        <v>17.719000000000001</v>
      </c>
      <c r="J19" s="1167">
        <f>Deflators_original!H19</f>
        <v>2.68907563025211E-2</v>
      </c>
      <c r="K19" s="1167">
        <f>Deflators_original!I19</f>
        <v>24.466999999999999</v>
      </c>
      <c r="L19" s="1167">
        <f>Deflators_original!J19</f>
        <v>6.2858384013900995E-2</v>
      </c>
    </row>
    <row r="20" spans="1:12" x14ac:dyDescent="0.35">
      <c r="A20" s="1165" t="str">
        <f>Deflators_original!K20</f>
        <v>1974 Q3</v>
      </c>
      <c r="B20" s="1165" t="str">
        <f>Deflators_original!L20</f>
        <v>historical</v>
      </c>
      <c r="C20" s="1167">
        <f>Deflators_original!A20</f>
        <v>27.640999999999998</v>
      </c>
      <c r="D20" s="1167">
        <f>Deflators_original!B20</f>
        <v>0</v>
      </c>
      <c r="E20" s="1167">
        <f>Deflators_original!C20</f>
        <v>26.587</v>
      </c>
      <c r="F20" s="1167">
        <f>Deflators_original!D20</f>
        <v>2.69612576770057E-2</v>
      </c>
      <c r="G20" s="1167">
        <f>Deflators_original!E20</f>
        <v>26.242000000000001</v>
      </c>
      <c r="H20" s="1167">
        <f>Deflators_original!F20</f>
        <v>2.9178759118362301E-2</v>
      </c>
      <c r="I20" s="1167">
        <f>Deflators_original!G20</f>
        <v>18.228000000000002</v>
      </c>
      <c r="J20" s="1167">
        <f>Deflators_original!H20</f>
        <v>2.8726226084993398E-2</v>
      </c>
      <c r="K20" s="1167">
        <f>Deflators_original!I20</f>
        <v>26.030999999999999</v>
      </c>
      <c r="L20" s="1167">
        <f>Deflators_original!J20</f>
        <v>6.3922834838762405E-2</v>
      </c>
    </row>
    <row r="21" spans="1:12" x14ac:dyDescent="0.35">
      <c r="A21" s="1165" t="str">
        <f>Deflators_original!K21</f>
        <v>1974 Q4</v>
      </c>
      <c r="B21" s="1165" t="str">
        <f>Deflators_original!L21</f>
        <v>historical</v>
      </c>
      <c r="C21" s="1167">
        <f>Deflators_original!A21</f>
        <v>28.478999999999999</v>
      </c>
      <c r="D21" s="1167">
        <f>Deflators_original!B21</f>
        <v>0</v>
      </c>
      <c r="E21" s="1167">
        <f>Deflators_original!C21</f>
        <v>27.263000000000002</v>
      </c>
      <c r="F21" s="1167">
        <f>Deflators_original!D21</f>
        <v>2.5425960055666299E-2</v>
      </c>
      <c r="G21" s="1167">
        <f>Deflators_original!E21</f>
        <v>27.114000000000001</v>
      </c>
      <c r="H21" s="1167">
        <f>Deflators_original!F21</f>
        <v>3.32291746055942E-2</v>
      </c>
      <c r="I21" s="1167">
        <f>Deflators_original!G21</f>
        <v>18.704000000000001</v>
      </c>
      <c r="J21" s="1167">
        <f>Deflators_original!H21</f>
        <v>2.6113671274961399E-2</v>
      </c>
      <c r="K21" s="1167">
        <f>Deflators_original!I21</f>
        <v>27.113</v>
      </c>
      <c r="L21" s="1167">
        <f>Deflators_original!J21</f>
        <v>4.15658253620683E-2</v>
      </c>
    </row>
    <row r="22" spans="1:12" x14ac:dyDescent="0.35">
      <c r="A22" s="1165" t="str">
        <f>Deflators_original!K22</f>
        <v>1975 Q1</v>
      </c>
      <c r="B22" s="1165" t="str">
        <f>Deflators_original!L22</f>
        <v>historical</v>
      </c>
      <c r="C22" s="1167">
        <f>Deflators_original!A22</f>
        <v>29.123999999999999</v>
      </c>
      <c r="D22" s="1167">
        <f>Deflators_original!B22</f>
        <v>0</v>
      </c>
      <c r="E22" s="1167">
        <f>Deflators_original!C22</f>
        <v>27.776</v>
      </c>
      <c r="F22" s="1167">
        <f>Deflators_original!D22</f>
        <v>1.8816711293694801E-2</v>
      </c>
      <c r="G22" s="1167">
        <f>Deflators_original!E22</f>
        <v>27.606999999999999</v>
      </c>
      <c r="H22" s="1167">
        <f>Deflators_original!F22</f>
        <v>1.8182488751198499E-2</v>
      </c>
      <c r="I22" s="1167">
        <f>Deflators_original!G22</f>
        <v>19.077999999999999</v>
      </c>
      <c r="J22" s="1167">
        <f>Deflators_original!H22</f>
        <v>1.99957228400343E-2</v>
      </c>
      <c r="K22" s="1167">
        <f>Deflators_original!I22</f>
        <v>27.689</v>
      </c>
      <c r="L22" s="1167">
        <f>Deflators_original!J22</f>
        <v>2.1244421495223698E-2</v>
      </c>
    </row>
    <row r="23" spans="1:12" x14ac:dyDescent="0.35">
      <c r="A23" s="1165" t="str">
        <f>Deflators_original!K23</f>
        <v>1975 Q2</v>
      </c>
      <c r="B23" s="1165" t="str">
        <f>Deflators_original!L23</f>
        <v>historical</v>
      </c>
      <c r="C23" s="1167">
        <f>Deflators_original!A23</f>
        <v>29.545999999999999</v>
      </c>
      <c r="D23" s="1167">
        <f>Deflators_original!B23</f>
        <v>0</v>
      </c>
      <c r="E23" s="1167">
        <f>Deflators_original!C23</f>
        <v>28.117000000000001</v>
      </c>
      <c r="F23" s="1167">
        <f>Deflators_original!D23</f>
        <v>1.2276785714285801E-2</v>
      </c>
      <c r="G23" s="1167">
        <f>Deflators_original!E23</f>
        <v>28.006</v>
      </c>
      <c r="H23" s="1167">
        <f>Deflators_original!F23</f>
        <v>1.4452856159669699E-2</v>
      </c>
      <c r="I23" s="1167">
        <f>Deflators_original!G23</f>
        <v>19.538</v>
      </c>
      <c r="J23" s="1167">
        <f>Deflators_original!H23</f>
        <v>2.4111542090365898E-2</v>
      </c>
      <c r="K23" s="1167">
        <f>Deflators_original!I23</f>
        <v>27.826000000000001</v>
      </c>
      <c r="L23" s="1167">
        <f>Deflators_original!J23</f>
        <v>4.9478132110223304E-3</v>
      </c>
    </row>
    <row r="24" spans="1:12" x14ac:dyDescent="0.35">
      <c r="A24" s="1165" t="str">
        <f>Deflators_original!K24</f>
        <v>1975 Q3</v>
      </c>
      <c r="B24" s="1165" t="str">
        <f>Deflators_original!L24</f>
        <v>historical</v>
      </c>
      <c r="C24" s="1167">
        <f>Deflators_original!A24</f>
        <v>30.068000000000001</v>
      </c>
      <c r="D24" s="1167">
        <f>Deflators_original!B24</f>
        <v>0</v>
      </c>
      <c r="E24" s="1167">
        <f>Deflators_original!C24</f>
        <v>28.643000000000001</v>
      </c>
      <c r="F24" s="1167">
        <f>Deflators_original!D24</f>
        <v>1.8707543479034E-2</v>
      </c>
      <c r="G24" s="1167">
        <f>Deflators_original!E24</f>
        <v>28.384</v>
      </c>
      <c r="H24" s="1167">
        <f>Deflators_original!F24</f>
        <v>1.34971077626223E-2</v>
      </c>
      <c r="I24" s="1167">
        <f>Deflators_original!G24</f>
        <v>19.838000000000001</v>
      </c>
      <c r="J24" s="1167">
        <f>Deflators_original!H24</f>
        <v>1.5354693417954699E-2</v>
      </c>
      <c r="K24" s="1167">
        <f>Deflators_original!I24</f>
        <v>27.914000000000001</v>
      </c>
      <c r="L24" s="1167">
        <f>Deflators_original!J24</f>
        <v>3.16250988284339E-3</v>
      </c>
    </row>
    <row r="25" spans="1:12" x14ac:dyDescent="0.35">
      <c r="A25" s="1165" t="str">
        <f>Deflators_original!K25</f>
        <v>1975 Q4</v>
      </c>
      <c r="B25" s="1165" t="str">
        <f>Deflators_original!L25</f>
        <v>historical</v>
      </c>
      <c r="C25" s="1167">
        <f>Deflators_original!A25</f>
        <v>30.57</v>
      </c>
      <c r="D25" s="1167">
        <f>Deflators_original!B25</f>
        <v>0</v>
      </c>
      <c r="E25" s="1167">
        <f>Deflators_original!C25</f>
        <v>29.123999999999999</v>
      </c>
      <c r="F25" s="1167">
        <f>Deflators_original!D25</f>
        <v>1.6792933701078799E-2</v>
      </c>
      <c r="G25" s="1167">
        <f>Deflators_original!E25</f>
        <v>29.036000000000001</v>
      </c>
      <c r="H25" s="1167">
        <f>Deflators_original!F25</f>
        <v>2.29706877113867E-2</v>
      </c>
      <c r="I25" s="1167">
        <f>Deflators_original!G25</f>
        <v>20.126999999999999</v>
      </c>
      <c r="J25" s="1167">
        <f>Deflators_original!H25</f>
        <v>1.45680008065328E-2</v>
      </c>
      <c r="K25" s="1167">
        <f>Deflators_original!I25</f>
        <v>28.084</v>
      </c>
      <c r="L25" s="1167">
        <f>Deflators_original!J25</f>
        <v>6.0901339829475499E-3</v>
      </c>
    </row>
    <row r="26" spans="1:12" x14ac:dyDescent="0.35">
      <c r="A26" s="1165" t="str">
        <f>Deflators_original!K26</f>
        <v>1976 Q1</v>
      </c>
      <c r="B26" s="1165" t="str">
        <f>Deflators_original!L26</f>
        <v>historical</v>
      </c>
      <c r="C26" s="1167">
        <f>Deflators_original!A26</f>
        <v>30.905000000000001</v>
      </c>
      <c r="D26" s="1167">
        <f>Deflators_original!B26</f>
        <v>0</v>
      </c>
      <c r="E26" s="1167">
        <f>Deflators_original!C26</f>
        <v>29.443999999999999</v>
      </c>
      <c r="F26" s="1167">
        <f>Deflators_original!D26</f>
        <v>1.0987501716797099E-2</v>
      </c>
      <c r="G26" s="1167">
        <f>Deflators_original!E26</f>
        <v>29.46</v>
      </c>
      <c r="H26" s="1167">
        <f>Deflators_original!F26</f>
        <v>1.4602562336409899E-2</v>
      </c>
      <c r="I26" s="1167">
        <f>Deflators_original!G26</f>
        <v>20.388999999999999</v>
      </c>
      <c r="J26" s="1167">
        <f>Deflators_original!H26</f>
        <v>1.30173398916877E-2</v>
      </c>
      <c r="K26" s="1167">
        <f>Deflators_original!I26</f>
        <v>28.222000000000001</v>
      </c>
      <c r="L26" s="1167">
        <f>Deflators_original!J26</f>
        <v>4.91382993875522E-3</v>
      </c>
    </row>
    <row r="27" spans="1:12" x14ac:dyDescent="0.35">
      <c r="A27" s="1165" t="str">
        <f>Deflators_original!K27</f>
        <v>1976 Q2</v>
      </c>
      <c r="B27" s="1165" t="str">
        <f>Deflators_original!L27</f>
        <v>historical</v>
      </c>
      <c r="C27" s="1167">
        <f>Deflators_original!A27</f>
        <v>31.213000000000001</v>
      </c>
      <c r="D27" s="1167">
        <f>Deflators_original!B27</f>
        <v>0</v>
      </c>
      <c r="E27" s="1167">
        <f>Deflators_original!C27</f>
        <v>29.690999999999999</v>
      </c>
      <c r="F27" s="1167">
        <f>Deflators_original!D27</f>
        <v>8.3888058687677809E-3</v>
      </c>
      <c r="G27" s="1167">
        <f>Deflators_original!E27</f>
        <v>29.707000000000001</v>
      </c>
      <c r="H27" s="1167">
        <f>Deflators_original!F27</f>
        <v>8.3842498302784101E-3</v>
      </c>
      <c r="I27" s="1167">
        <f>Deflators_original!G27</f>
        <v>20.655000000000001</v>
      </c>
      <c r="J27" s="1167">
        <f>Deflators_original!H27</f>
        <v>1.3046250429153101E-2</v>
      </c>
      <c r="K27" s="1167">
        <f>Deflators_original!I27</f>
        <v>28.463999999999999</v>
      </c>
      <c r="L27" s="1167">
        <f>Deflators_original!J27</f>
        <v>8.5748706682728902E-3</v>
      </c>
    </row>
    <row r="28" spans="1:12" x14ac:dyDescent="0.35">
      <c r="A28" s="1165" t="str">
        <f>Deflators_original!K28</f>
        <v>1976 Q3</v>
      </c>
      <c r="B28" s="1165" t="str">
        <f>Deflators_original!L28</f>
        <v>historical</v>
      </c>
      <c r="C28" s="1167">
        <f>Deflators_original!A28</f>
        <v>31.611000000000001</v>
      </c>
      <c r="D28" s="1167">
        <f>Deflators_original!B28</f>
        <v>0</v>
      </c>
      <c r="E28" s="1167">
        <f>Deflators_original!C28</f>
        <v>30.141999999999999</v>
      </c>
      <c r="F28" s="1167">
        <f>Deflators_original!D28</f>
        <v>1.5189788151291701E-2</v>
      </c>
      <c r="G28" s="1167">
        <f>Deflators_original!E28</f>
        <v>30.047000000000001</v>
      </c>
      <c r="H28" s="1167">
        <f>Deflators_original!F28</f>
        <v>1.1445113946208001E-2</v>
      </c>
      <c r="I28" s="1167">
        <f>Deflators_original!G28</f>
        <v>20.835999999999999</v>
      </c>
      <c r="J28" s="1167">
        <f>Deflators_original!H28</f>
        <v>8.7630113773904394E-3</v>
      </c>
      <c r="K28" s="1167">
        <f>Deflators_original!I28</f>
        <v>28.526</v>
      </c>
      <c r="L28" s="1167">
        <f>Deflators_original!J28</f>
        <v>2.17818999437891E-3</v>
      </c>
    </row>
    <row r="29" spans="1:12" x14ac:dyDescent="0.35">
      <c r="A29" s="1165" t="str">
        <f>Deflators_original!K29</f>
        <v>1976 Q4</v>
      </c>
      <c r="B29" s="1165" t="str">
        <f>Deflators_original!L29</f>
        <v>historical</v>
      </c>
      <c r="C29" s="1167">
        <f>Deflators_original!A29</f>
        <v>32.148000000000003</v>
      </c>
      <c r="D29" s="1167">
        <f>Deflators_original!B29</f>
        <v>0</v>
      </c>
      <c r="E29" s="1167">
        <f>Deflators_original!C29</f>
        <v>30.617999999999999</v>
      </c>
      <c r="F29" s="1167">
        <f>Deflators_original!D29</f>
        <v>1.5791918253599501E-2</v>
      </c>
      <c r="G29" s="1167">
        <f>Deflators_original!E29</f>
        <v>30.850999999999999</v>
      </c>
      <c r="H29" s="1167">
        <f>Deflators_original!F29</f>
        <v>2.67580790095516E-2</v>
      </c>
      <c r="I29" s="1167">
        <f>Deflators_original!G29</f>
        <v>21.111000000000001</v>
      </c>
      <c r="J29" s="1167">
        <f>Deflators_original!H29</f>
        <v>1.31983106162412E-2</v>
      </c>
      <c r="K29" s="1167">
        <f>Deflators_original!I29</f>
        <v>28.72</v>
      </c>
      <c r="L29" s="1167">
        <f>Deflators_original!J29</f>
        <v>6.8008132931360902E-3</v>
      </c>
    </row>
    <row r="30" spans="1:12" x14ac:dyDescent="0.35">
      <c r="A30" s="1165" t="str">
        <f>Deflators_original!K30</f>
        <v>1977 Q1</v>
      </c>
      <c r="B30" s="1165" t="str">
        <f>Deflators_original!L30</f>
        <v>historical</v>
      </c>
      <c r="C30" s="1167">
        <f>Deflators_original!A30</f>
        <v>32.667999999999999</v>
      </c>
      <c r="D30" s="1167">
        <f>Deflators_original!B30</f>
        <v>0</v>
      </c>
      <c r="E30" s="1167">
        <f>Deflators_original!C30</f>
        <v>31.17</v>
      </c>
      <c r="F30" s="1167">
        <f>Deflators_original!D30</f>
        <v>1.8028610621203301E-2</v>
      </c>
      <c r="G30" s="1167">
        <f>Deflators_original!E30</f>
        <v>31.286999999999999</v>
      </c>
      <c r="H30" s="1167">
        <f>Deflators_original!F30</f>
        <v>1.41324430326408E-2</v>
      </c>
      <c r="I30" s="1167">
        <f>Deflators_original!G30</f>
        <v>21.54</v>
      </c>
      <c r="J30" s="1167">
        <f>Deflators_original!H30</f>
        <v>2.0321159585050302E-2</v>
      </c>
      <c r="K30" s="1167">
        <f>Deflators_original!I30</f>
        <v>29.091999999999999</v>
      </c>
      <c r="L30" s="1167">
        <f>Deflators_original!J30</f>
        <v>1.2952646239554401E-2</v>
      </c>
    </row>
    <row r="31" spans="1:12" x14ac:dyDescent="0.35">
      <c r="A31" s="1165" t="str">
        <f>Deflators_original!K31</f>
        <v>1977 Q2</v>
      </c>
      <c r="B31" s="1165" t="str">
        <f>Deflators_original!L31</f>
        <v>historical</v>
      </c>
      <c r="C31" s="1167">
        <f>Deflators_original!A31</f>
        <v>33.183999999999997</v>
      </c>
      <c r="D31" s="1167">
        <f>Deflators_original!B31</f>
        <v>0</v>
      </c>
      <c r="E31" s="1167">
        <f>Deflators_original!C31</f>
        <v>31.704000000000001</v>
      </c>
      <c r="F31" s="1167">
        <f>Deflators_original!D31</f>
        <v>1.7131857555341599E-2</v>
      </c>
      <c r="G31" s="1167">
        <f>Deflators_original!E31</f>
        <v>31.643000000000001</v>
      </c>
      <c r="H31" s="1167">
        <f>Deflators_original!F31</f>
        <v>1.1378527823057601E-2</v>
      </c>
      <c r="I31" s="1167">
        <f>Deflators_original!G31</f>
        <v>21.968</v>
      </c>
      <c r="J31" s="1167">
        <f>Deflators_original!H31</f>
        <v>1.9870009285051001E-2</v>
      </c>
      <c r="K31" s="1167">
        <f>Deflators_original!I31</f>
        <v>29.379000000000001</v>
      </c>
      <c r="L31" s="1167">
        <f>Deflators_original!J31</f>
        <v>9.8652550529356696E-3</v>
      </c>
    </row>
    <row r="32" spans="1:12" x14ac:dyDescent="0.35">
      <c r="A32" s="1165" t="str">
        <f>Deflators_original!K32</f>
        <v>1977 Q3</v>
      </c>
      <c r="B32" s="1165" t="str">
        <f>Deflators_original!L32</f>
        <v>historical</v>
      </c>
      <c r="C32" s="1167">
        <f>Deflators_original!A32</f>
        <v>33.640999999999998</v>
      </c>
      <c r="D32" s="1167">
        <f>Deflators_original!B32</f>
        <v>0</v>
      </c>
      <c r="E32" s="1167">
        <f>Deflators_original!C32</f>
        <v>32.180999999999997</v>
      </c>
      <c r="F32" s="1167">
        <f>Deflators_original!D32</f>
        <v>1.50454201362602E-2</v>
      </c>
      <c r="G32" s="1167">
        <f>Deflators_original!E32</f>
        <v>31.798999999999999</v>
      </c>
      <c r="H32" s="1167">
        <f>Deflators_original!F32</f>
        <v>4.9300003160255299E-3</v>
      </c>
      <c r="I32" s="1167">
        <f>Deflators_original!G32</f>
        <v>22.361000000000001</v>
      </c>
      <c r="J32" s="1167">
        <f>Deflators_original!H32</f>
        <v>1.7889657683903801E-2</v>
      </c>
      <c r="K32" s="1167">
        <f>Deflators_original!I32</f>
        <v>29.774000000000001</v>
      </c>
      <c r="L32" s="1167">
        <f>Deflators_original!J32</f>
        <v>1.3444977705163501E-2</v>
      </c>
    </row>
    <row r="33" spans="1:12" x14ac:dyDescent="0.35">
      <c r="A33" s="1165" t="str">
        <f>Deflators_original!K33</f>
        <v>1977 Q4</v>
      </c>
      <c r="B33" s="1165" t="str">
        <f>Deflators_original!L33</f>
        <v>historical</v>
      </c>
      <c r="C33" s="1167">
        <f>Deflators_original!A33</f>
        <v>34.203000000000003</v>
      </c>
      <c r="D33" s="1167">
        <f>Deflators_original!B33</f>
        <v>0</v>
      </c>
      <c r="E33" s="1167">
        <f>Deflators_original!C33</f>
        <v>32.637999999999998</v>
      </c>
      <c r="F33" s="1167">
        <f>Deflators_original!D33</f>
        <v>1.4200926012243299E-2</v>
      </c>
      <c r="G33" s="1167">
        <f>Deflators_original!E33</f>
        <v>32.720999999999997</v>
      </c>
      <c r="H33" s="1167">
        <f>Deflators_original!F33</f>
        <v>2.89946224724047E-2</v>
      </c>
      <c r="I33" s="1167">
        <f>Deflators_original!G33</f>
        <v>22.771000000000001</v>
      </c>
      <c r="J33" s="1167">
        <f>Deflators_original!H33</f>
        <v>1.83354948347569E-2</v>
      </c>
      <c r="K33" s="1167">
        <f>Deflators_original!I33</f>
        <v>30.091999999999999</v>
      </c>
      <c r="L33" s="1167">
        <f>Deflators_original!J33</f>
        <v>1.0680459461274799E-2</v>
      </c>
    </row>
    <row r="34" spans="1:12" x14ac:dyDescent="0.35">
      <c r="A34" s="1165" t="str">
        <f>Deflators_original!K34</f>
        <v>1978 Q1</v>
      </c>
      <c r="B34" s="1165" t="str">
        <f>Deflators_original!L34</f>
        <v>historical</v>
      </c>
      <c r="C34" s="1167">
        <f>Deflators_original!A34</f>
        <v>34.762999999999998</v>
      </c>
      <c r="D34" s="1167">
        <f>Deflators_original!B34</f>
        <v>0</v>
      </c>
      <c r="E34" s="1167">
        <f>Deflators_original!C34</f>
        <v>33.173999999999999</v>
      </c>
      <c r="F34" s="1167">
        <f>Deflators_original!D34</f>
        <v>1.6422574912678501E-2</v>
      </c>
      <c r="G34" s="1167">
        <f>Deflators_original!E34</f>
        <v>33.094999999999999</v>
      </c>
      <c r="H34" s="1167">
        <f>Deflators_original!F34</f>
        <v>1.14299685217445E-2</v>
      </c>
      <c r="I34" s="1167">
        <f>Deflators_original!G34</f>
        <v>23.102</v>
      </c>
      <c r="J34" s="1167">
        <f>Deflators_original!H34</f>
        <v>1.4536032673137E-2</v>
      </c>
      <c r="K34" s="1167">
        <f>Deflators_original!I34</f>
        <v>30.465</v>
      </c>
      <c r="L34" s="1167">
        <f>Deflators_original!J34</f>
        <v>1.23953210155523E-2</v>
      </c>
    </row>
    <row r="35" spans="1:12" x14ac:dyDescent="0.35">
      <c r="A35" s="1165" t="str">
        <f>Deflators_original!K35</f>
        <v>1978 Q2</v>
      </c>
      <c r="B35" s="1165" t="str">
        <f>Deflators_original!L35</f>
        <v>historical</v>
      </c>
      <c r="C35" s="1167">
        <f>Deflators_original!A35</f>
        <v>35.457000000000001</v>
      </c>
      <c r="D35" s="1167">
        <f>Deflators_original!B35</f>
        <v>0</v>
      </c>
      <c r="E35" s="1167">
        <f>Deflators_original!C35</f>
        <v>33.854999999999997</v>
      </c>
      <c r="F35" s="1167">
        <f>Deflators_original!D35</f>
        <v>2.05281244347983E-2</v>
      </c>
      <c r="G35" s="1167">
        <f>Deflators_original!E35</f>
        <v>33.744999999999997</v>
      </c>
      <c r="H35" s="1167">
        <f>Deflators_original!F35</f>
        <v>1.9640429067834898E-2</v>
      </c>
      <c r="I35" s="1167">
        <f>Deflators_original!G35</f>
        <v>23.472000000000001</v>
      </c>
      <c r="J35" s="1167">
        <f>Deflators_original!H35</f>
        <v>1.6015929356765699E-2</v>
      </c>
      <c r="K35" s="1167">
        <f>Deflators_original!I35</f>
        <v>31.064</v>
      </c>
      <c r="L35" s="1167">
        <f>Deflators_original!J35</f>
        <v>1.9661907106515601E-2</v>
      </c>
    </row>
    <row r="36" spans="1:12" x14ac:dyDescent="0.35">
      <c r="A36" s="1165" t="str">
        <f>Deflators_original!K36</f>
        <v>1978 Q3</v>
      </c>
      <c r="B36" s="1165" t="str">
        <f>Deflators_original!L36</f>
        <v>historical</v>
      </c>
      <c r="C36" s="1167">
        <f>Deflators_original!A36</f>
        <v>36.082999999999998</v>
      </c>
      <c r="D36" s="1167">
        <f>Deflators_original!B36</f>
        <v>0</v>
      </c>
      <c r="E36" s="1167">
        <f>Deflators_original!C36</f>
        <v>34.448999999999998</v>
      </c>
      <c r="F36" s="1167">
        <f>Deflators_original!D36</f>
        <v>1.7545414266725699E-2</v>
      </c>
      <c r="G36" s="1167">
        <f>Deflators_original!E36</f>
        <v>34.308999999999997</v>
      </c>
      <c r="H36" s="1167">
        <f>Deflators_original!F36</f>
        <v>1.6713587198103501E-2</v>
      </c>
      <c r="I36" s="1167">
        <f>Deflators_original!G36</f>
        <v>23.808</v>
      </c>
      <c r="J36" s="1167">
        <f>Deflators_original!H36</f>
        <v>1.4314928425357899E-2</v>
      </c>
      <c r="K36" s="1167">
        <f>Deflators_original!I36</f>
        <v>31.658000000000001</v>
      </c>
      <c r="L36" s="1167">
        <f>Deflators_original!J36</f>
        <v>1.9121813031161401E-2</v>
      </c>
    </row>
    <row r="37" spans="1:12" x14ac:dyDescent="0.35">
      <c r="A37" s="1165" t="str">
        <f>Deflators_original!K37</f>
        <v>1978 Q4</v>
      </c>
      <c r="B37" s="1165" t="str">
        <f>Deflators_original!L37</f>
        <v>historical</v>
      </c>
      <c r="C37" s="1167">
        <f>Deflators_original!A37</f>
        <v>36.795999999999999</v>
      </c>
      <c r="D37" s="1167">
        <f>Deflators_original!B37</f>
        <v>0</v>
      </c>
      <c r="E37" s="1167">
        <f>Deflators_original!C37</f>
        <v>35.1</v>
      </c>
      <c r="F37" s="1167">
        <f>Deflators_original!D37</f>
        <v>1.8897500653139599E-2</v>
      </c>
      <c r="G37" s="1167">
        <f>Deflators_original!E37</f>
        <v>34.901000000000003</v>
      </c>
      <c r="H37" s="1167">
        <f>Deflators_original!F37</f>
        <v>1.7254947681366602E-2</v>
      </c>
      <c r="I37" s="1167">
        <f>Deflators_original!G37</f>
        <v>24.126999999999999</v>
      </c>
      <c r="J37" s="1167">
        <f>Deflators_original!H37</f>
        <v>1.33988575268817E-2</v>
      </c>
      <c r="K37" s="1167">
        <f>Deflators_original!I37</f>
        <v>32.223999999999997</v>
      </c>
      <c r="L37" s="1167">
        <f>Deflators_original!J37</f>
        <v>1.78785772948384E-2</v>
      </c>
    </row>
    <row r="38" spans="1:12" x14ac:dyDescent="0.35">
      <c r="A38" s="1165" t="str">
        <f>Deflators_original!K38</f>
        <v>1979 Q1</v>
      </c>
      <c r="B38" s="1165" t="str">
        <f>Deflators_original!L38</f>
        <v>historical</v>
      </c>
      <c r="C38" s="1167">
        <f>Deflators_original!A38</f>
        <v>37.482999999999997</v>
      </c>
      <c r="D38" s="1167">
        <f>Deflators_original!B38</f>
        <v>0</v>
      </c>
      <c r="E38" s="1167">
        <f>Deflators_original!C38</f>
        <v>35.762</v>
      </c>
      <c r="F38" s="1167">
        <f>Deflators_original!D38</f>
        <v>1.8860398860398801E-2</v>
      </c>
      <c r="G38" s="1167">
        <f>Deflators_original!E38</f>
        <v>35.543999999999997</v>
      </c>
      <c r="H38" s="1167">
        <f>Deflators_original!F38</f>
        <v>1.8423540872754201E-2</v>
      </c>
      <c r="I38" s="1167">
        <f>Deflators_original!G38</f>
        <v>24.719000000000001</v>
      </c>
      <c r="J38" s="1167">
        <f>Deflators_original!H38</f>
        <v>2.4536825962614601E-2</v>
      </c>
      <c r="K38" s="1167">
        <f>Deflators_original!I38</f>
        <v>32.889000000000003</v>
      </c>
      <c r="L38" s="1167">
        <f>Deflators_original!J38</f>
        <v>2.0636792452830299E-2</v>
      </c>
    </row>
    <row r="39" spans="1:12" x14ac:dyDescent="0.35">
      <c r="A39" s="1165" t="str">
        <f>Deflators_original!K39</f>
        <v>1979 Q2</v>
      </c>
      <c r="B39" s="1165" t="str">
        <f>Deflators_original!L39</f>
        <v>historical</v>
      </c>
      <c r="C39" s="1167">
        <f>Deflators_original!A39</f>
        <v>38.387999999999998</v>
      </c>
      <c r="D39" s="1167">
        <f>Deflators_original!B39</f>
        <v>0</v>
      </c>
      <c r="E39" s="1167">
        <f>Deflators_original!C39</f>
        <v>36.738999999999997</v>
      </c>
      <c r="F39" s="1167">
        <f>Deflators_original!D39</f>
        <v>2.7319501146468202E-2</v>
      </c>
      <c r="G39" s="1167">
        <f>Deflators_original!E39</f>
        <v>36.081000000000003</v>
      </c>
      <c r="H39" s="1167">
        <f>Deflators_original!F39</f>
        <v>1.51080351114115E-2</v>
      </c>
      <c r="I39" s="1167">
        <f>Deflators_original!G39</f>
        <v>25.259</v>
      </c>
      <c r="J39" s="1167">
        <f>Deflators_original!H39</f>
        <v>2.18455439135887E-2</v>
      </c>
      <c r="K39" s="1167">
        <f>Deflators_original!I39</f>
        <v>33.781999999999996</v>
      </c>
      <c r="L39" s="1167">
        <f>Deflators_original!J39</f>
        <v>2.7151935297515601E-2</v>
      </c>
    </row>
    <row r="40" spans="1:12" x14ac:dyDescent="0.35">
      <c r="A40" s="1165" t="str">
        <f>Deflators_original!K40</f>
        <v>1979 Q3</v>
      </c>
      <c r="B40" s="1165" t="str">
        <f>Deflators_original!L40</f>
        <v>historical</v>
      </c>
      <c r="C40" s="1167">
        <f>Deflators_original!A40</f>
        <v>39.19</v>
      </c>
      <c r="D40" s="1167">
        <f>Deflators_original!B40</f>
        <v>0</v>
      </c>
      <c r="E40" s="1167">
        <f>Deflators_original!C40</f>
        <v>37.65</v>
      </c>
      <c r="F40" s="1167">
        <f>Deflators_original!D40</f>
        <v>2.4796537739187201E-2</v>
      </c>
      <c r="G40" s="1167">
        <f>Deflators_original!E40</f>
        <v>36.923000000000002</v>
      </c>
      <c r="H40" s="1167">
        <f>Deflators_original!F40</f>
        <v>2.3336382029322901E-2</v>
      </c>
      <c r="I40" s="1167">
        <f>Deflators_original!G40</f>
        <v>26.146000000000001</v>
      </c>
      <c r="J40" s="1167">
        <f>Deflators_original!H40</f>
        <v>3.5116196207292602E-2</v>
      </c>
      <c r="K40" s="1167">
        <f>Deflators_original!I40</f>
        <v>34.768000000000001</v>
      </c>
      <c r="L40" s="1167">
        <f>Deflators_original!J40</f>
        <v>2.9187141081049101E-2</v>
      </c>
    </row>
    <row r="41" spans="1:12" x14ac:dyDescent="0.35">
      <c r="A41" s="1165" t="str">
        <f>Deflators_original!K41</f>
        <v>1979 Q4</v>
      </c>
      <c r="B41" s="1165" t="str">
        <f>Deflators_original!L41</f>
        <v>historical</v>
      </c>
      <c r="C41" s="1167">
        <f>Deflators_original!A41</f>
        <v>39.905000000000001</v>
      </c>
      <c r="D41" s="1167">
        <f>Deflators_original!B41</f>
        <v>0</v>
      </c>
      <c r="E41" s="1167">
        <f>Deflators_original!C41</f>
        <v>38.561999999999998</v>
      </c>
      <c r="F41" s="1167">
        <f>Deflators_original!D41</f>
        <v>2.4223107569721E-2</v>
      </c>
      <c r="G41" s="1167">
        <f>Deflators_original!E41</f>
        <v>37.735999999999997</v>
      </c>
      <c r="H41" s="1167">
        <f>Deflators_original!F41</f>
        <v>2.2018795872491299E-2</v>
      </c>
      <c r="I41" s="1167">
        <f>Deflators_original!G41</f>
        <v>26.596</v>
      </c>
      <c r="J41" s="1167">
        <f>Deflators_original!H41</f>
        <v>1.7211045666641198E-2</v>
      </c>
      <c r="K41" s="1167">
        <f>Deflators_original!I41</f>
        <v>35.753999999999998</v>
      </c>
      <c r="L41" s="1167">
        <f>Deflators_original!J41</f>
        <v>2.83594109526E-2</v>
      </c>
    </row>
    <row r="42" spans="1:12" x14ac:dyDescent="0.35">
      <c r="A42" s="1165" t="str">
        <f>Deflators_original!K42</f>
        <v>1980 Q1</v>
      </c>
      <c r="B42" s="1165" t="str">
        <f>Deflators_original!L42</f>
        <v>historical</v>
      </c>
      <c r="C42" s="1167">
        <f>Deflators_original!A42</f>
        <v>40.777000000000001</v>
      </c>
      <c r="D42" s="1167">
        <f>Deflators_original!B42</f>
        <v>0</v>
      </c>
      <c r="E42" s="1167">
        <f>Deflators_original!C42</f>
        <v>39.719000000000001</v>
      </c>
      <c r="F42" s="1167">
        <f>Deflators_original!D42</f>
        <v>3.0003630517089399E-2</v>
      </c>
      <c r="G42" s="1167">
        <f>Deflators_original!E42</f>
        <v>38.481999999999999</v>
      </c>
      <c r="H42" s="1167">
        <f>Deflators_original!F42</f>
        <v>1.97689209243164E-2</v>
      </c>
      <c r="I42" s="1167">
        <f>Deflators_original!G42</f>
        <v>27.28</v>
      </c>
      <c r="J42" s="1167">
        <f>Deflators_original!H42</f>
        <v>2.5718153105730199E-2</v>
      </c>
      <c r="K42" s="1167">
        <f>Deflators_original!I42</f>
        <v>36.731000000000002</v>
      </c>
      <c r="L42" s="1167">
        <f>Deflators_original!J42</f>
        <v>2.7325613917324101E-2</v>
      </c>
    </row>
    <row r="43" spans="1:12" x14ac:dyDescent="0.35">
      <c r="A43" s="1165" t="str">
        <f>Deflators_original!K43</f>
        <v>1980 Q2</v>
      </c>
      <c r="B43" s="1165" t="str">
        <f>Deflators_original!L43</f>
        <v>historical</v>
      </c>
      <c r="C43" s="1167">
        <f>Deflators_original!A43</f>
        <v>41.744999999999997</v>
      </c>
      <c r="D43" s="1167">
        <f>Deflators_original!B43</f>
        <v>0</v>
      </c>
      <c r="E43" s="1167">
        <f>Deflators_original!C43</f>
        <v>40.691000000000003</v>
      </c>
      <c r="F43" s="1167">
        <f>Deflators_original!D43</f>
        <v>2.4471915204310201E-2</v>
      </c>
      <c r="G43" s="1167">
        <f>Deflators_original!E43</f>
        <v>39.97</v>
      </c>
      <c r="H43" s="1167">
        <f>Deflators_original!F43</f>
        <v>3.8667428927810402E-2</v>
      </c>
      <c r="I43" s="1167">
        <f>Deflators_original!G43</f>
        <v>28.02</v>
      </c>
      <c r="J43" s="1167">
        <f>Deflators_original!H43</f>
        <v>2.7126099706744799E-2</v>
      </c>
      <c r="K43" s="1167">
        <f>Deflators_original!I43</f>
        <v>37.784999999999997</v>
      </c>
      <c r="L43" s="1167">
        <f>Deflators_original!J43</f>
        <v>2.8695107674715899E-2</v>
      </c>
    </row>
    <row r="44" spans="1:12" x14ac:dyDescent="0.35">
      <c r="A44" s="1165" t="str">
        <f>Deflators_original!K44</f>
        <v>1980 Q3</v>
      </c>
      <c r="B44" s="1165" t="str">
        <f>Deflators_original!L44</f>
        <v>historical</v>
      </c>
      <c r="C44" s="1167">
        <f>Deflators_original!A44</f>
        <v>42.676000000000002</v>
      </c>
      <c r="D44" s="1167">
        <f>Deflators_original!B44</f>
        <v>0</v>
      </c>
      <c r="E44" s="1167">
        <f>Deflators_original!C44</f>
        <v>41.643000000000001</v>
      </c>
      <c r="F44" s="1167">
        <f>Deflators_original!D44</f>
        <v>2.3395836917254401E-2</v>
      </c>
      <c r="G44" s="1167">
        <f>Deflators_original!E44</f>
        <v>40.375</v>
      </c>
      <c r="H44" s="1167">
        <f>Deflators_original!F44</f>
        <v>1.0132599449587099E-2</v>
      </c>
      <c r="I44" s="1167">
        <f>Deflators_original!G44</f>
        <v>28.798999999999999</v>
      </c>
      <c r="J44" s="1167">
        <f>Deflators_original!H44</f>
        <v>2.7801570306923699E-2</v>
      </c>
      <c r="K44" s="1167">
        <f>Deflators_original!I44</f>
        <v>39.027000000000001</v>
      </c>
      <c r="L44" s="1167">
        <f>Deflators_original!J44</f>
        <v>3.2870186581977198E-2</v>
      </c>
    </row>
    <row r="45" spans="1:12" x14ac:dyDescent="0.35">
      <c r="A45" s="1165" t="str">
        <f>Deflators_original!K45</f>
        <v>1980 Q4</v>
      </c>
      <c r="B45" s="1165" t="str">
        <f>Deflators_original!L45</f>
        <v>historical</v>
      </c>
      <c r="C45" s="1167">
        <f>Deflators_original!A45</f>
        <v>43.807000000000002</v>
      </c>
      <c r="D45" s="1167">
        <f>Deflators_original!B45</f>
        <v>0</v>
      </c>
      <c r="E45" s="1167">
        <f>Deflators_original!C45</f>
        <v>42.673000000000002</v>
      </c>
      <c r="F45" s="1167">
        <f>Deflators_original!D45</f>
        <v>2.47340489397978E-2</v>
      </c>
      <c r="G45" s="1167">
        <f>Deflators_original!E45</f>
        <v>41.59</v>
      </c>
      <c r="H45" s="1167">
        <f>Deflators_original!F45</f>
        <v>3.0092879256966101E-2</v>
      </c>
      <c r="I45" s="1167">
        <f>Deflators_original!G45</f>
        <v>29.565000000000001</v>
      </c>
      <c r="J45" s="1167">
        <f>Deflators_original!H45</f>
        <v>2.65981457689504E-2</v>
      </c>
      <c r="K45" s="1167">
        <f>Deflators_original!I45</f>
        <v>40.182000000000002</v>
      </c>
      <c r="L45" s="1167">
        <f>Deflators_original!J45</f>
        <v>2.9594895841340601E-2</v>
      </c>
    </row>
    <row r="46" spans="1:12" x14ac:dyDescent="0.35">
      <c r="A46" s="1165" t="str">
        <f>Deflators_original!K46</f>
        <v>1981 Q1</v>
      </c>
      <c r="B46" s="1165" t="str">
        <f>Deflators_original!L46</f>
        <v>historical</v>
      </c>
      <c r="C46" s="1167">
        <f>Deflators_original!A46</f>
        <v>44.968000000000004</v>
      </c>
      <c r="D46" s="1167">
        <f>Deflators_original!B46</f>
        <v>0</v>
      </c>
      <c r="E46" s="1167">
        <f>Deflators_original!C46</f>
        <v>43.78</v>
      </c>
      <c r="F46" s="1167">
        <f>Deflators_original!D46</f>
        <v>2.59414618142619E-2</v>
      </c>
      <c r="G46" s="1167">
        <f>Deflators_original!E46</f>
        <v>42.420999999999999</v>
      </c>
      <c r="H46" s="1167">
        <f>Deflators_original!F46</f>
        <v>1.9980764606876599E-2</v>
      </c>
      <c r="I46" s="1167">
        <f>Deflators_original!G46</f>
        <v>30.556000000000001</v>
      </c>
      <c r="J46" s="1167">
        <f>Deflators_original!H46</f>
        <v>3.3519364112971399E-2</v>
      </c>
      <c r="K46" s="1167">
        <f>Deflators_original!I46</f>
        <v>41.32</v>
      </c>
      <c r="L46" s="1167">
        <f>Deflators_original!J46</f>
        <v>2.8321138818376401E-2</v>
      </c>
    </row>
    <row r="47" spans="1:12" x14ac:dyDescent="0.35">
      <c r="A47" s="1165" t="str">
        <f>Deflators_original!K47</f>
        <v>1981 Q2</v>
      </c>
      <c r="B47" s="1165" t="str">
        <f>Deflators_original!L47</f>
        <v>historical</v>
      </c>
      <c r="C47" s="1167">
        <f>Deflators_original!A47</f>
        <v>45.813000000000002</v>
      </c>
      <c r="D47" s="1167">
        <f>Deflators_original!B47</f>
        <v>0</v>
      </c>
      <c r="E47" s="1167">
        <f>Deflators_original!C47</f>
        <v>44.515000000000001</v>
      </c>
      <c r="F47" s="1167">
        <f>Deflators_original!D47</f>
        <v>1.6788487894015401E-2</v>
      </c>
      <c r="G47" s="1167">
        <f>Deflators_original!E47</f>
        <v>43.406999999999996</v>
      </c>
      <c r="H47" s="1167">
        <f>Deflators_original!F47</f>
        <v>2.32432050163833E-2</v>
      </c>
      <c r="I47" s="1167">
        <f>Deflators_original!G47</f>
        <v>31.195</v>
      </c>
      <c r="J47" s="1167">
        <f>Deflators_original!H47</f>
        <v>2.0912423092027701E-2</v>
      </c>
      <c r="K47" s="1167">
        <f>Deflators_original!I47</f>
        <v>42.308</v>
      </c>
      <c r="L47" s="1167">
        <f>Deflators_original!J47</f>
        <v>2.39109390125847E-2</v>
      </c>
    </row>
    <row r="48" spans="1:12" x14ac:dyDescent="0.35">
      <c r="A48" s="1165" t="str">
        <f>Deflators_original!K48</f>
        <v>1981 Q3</v>
      </c>
      <c r="B48" s="1165" t="str">
        <f>Deflators_original!L48</f>
        <v>historical</v>
      </c>
      <c r="C48" s="1167">
        <f>Deflators_original!A48</f>
        <v>46.703000000000003</v>
      </c>
      <c r="D48" s="1167">
        <f>Deflators_original!B48</f>
        <v>0</v>
      </c>
      <c r="E48" s="1167">
        <f>Deflators_original!C48</f>
        <v>45.247999999999998</v>
      </c>
      <c r="F48" s="1167">
        <f>Deflators_original!D48</f>
        <v>1.6466359654049099E-2</v>
      </c>
      <c r="G48" s="1167">
        <f>Deflators_original!E48</f>
        <v>44.36</v>
      </c>
      <c r="H48" s="1167">
        <f>Deflators_original!F48</f>
        <v>2.19549842191353E-2</v>
      </c>
      <c r="I48" s="1167">
        <f>Deflators_original!G48</f>
        <v>31.568000000000001</v>
      </c>
      <c r="J48" s="1167">
        <f>Deflators_original!H48</f>
        <v>1.1957044398140699E-2</v>
      </c>
      <c r="K48" s="1167">
        <f>Deflators_original!I48</f>
        <v>43.174999999999997</v>
      </c>
      <c r="L48" s="1167">
        <f>Deflators_original!J48</f>
        <v>2.0492578235794499E-2</v>
      </c>
    </row>
    <row r="49" spans="1:12" x14ac:dyDescent="0.35">
      <c r="A49" s="1165" t="str">
        <f>Deflators_original!K49</f>
        <v>1981 Q4</v>
      </c>
      <c r="B49" s="1165" t="str">
        <f>Deflators_original!L49</f>
        <v>historical</v>
      </c>
      <c r="C49" s="1167">
        <f>Deflators_original!A49</f>
        <v>47.475000000000001</v>
      </c>
      <c r="D49" s="1167">
        <f>Deflators_original!B49</f>
        <v>0</v>
      </c>
      <c r="E49" s="1167">
        <f>Deflators_original!C49</f>
        <v>45.941000000000003</v>
      </c>
      <c r="F49" s="1167">
        <f>Deflators_original!D49</f>
        <v>1.53155940594061E-2</v>
      </c>
      <c r="G49" s="1167">
        <f>Deflators_original!E49</f>
        <v>45.209000000000003</v>
      </c>
      <c r="H49" s="1167">
        <f>Deflators_original!F49</f>
        <v>1.9138863841298599E-2</v>
      </c>
      <c r="I49" s="1167">
        <f>Deflators_original!G49</f>
        <v>32.052</v>
      </c>
      <c r="J49" s="1167">
        <f>Deflators_original!H49</f>
        <v>1.53319817536746E-2</v>
      </c>
      <c r="K49" s="1167">
        <f>Deflators_original!I49</f>
        <v>43.944000000000003</v>
      </c>
      <c r="L49" s="1167">
        <f>Deflators_original!J49</f>
        <v>1.7811233352634799E-2</v>
      </c>
    </row>
    <row r="50" spans="1:12" x14ac:dyDescent="0.35">
      <c r="A50" s="1165" t="str">
        <f>Deflators_original!K50</f>
        <v>1982 Q1</v>
      </c>
      <c r="B50" s="1165" t="str">
        <f>Deflators_original!L50</f>
        <v>historical</v>
      </c>
      <c r="C50" s="1167">
        <f>Deflators_original!A50</f>
        <v>48.155000000000001</v>
      </c>
      <c r="D50" s="1167">
        <f>Deflators_original!B50</f>
        <v>0</v>
      </c>
      <c r="E50" s="1167">
        <f>Deflators_original!C50</f>
        <v>46.524999999999999</v>
      </c>
      <c r="F50" s="1167">
        <f>Deflators_original!D50</f>
        <v>1.2711956640038199E-2</v>
      </c>
      <c r="G50" s="1167">
        <f>Deflators_original!E50</f>
        <v>45.932000000000002</v>
      </c>
      <c r="H50" s="1167">
        <f>Deflators_original!F50</f>
        <v>1.5992390895618099E-2</v>
      </c>
      <c r="I50" s="1167">
        <f>Deflators_original!G50</f>
        <v>32.613999999999997</v>
      </c>
      <c r="J50" s="1167">
        <f>Deflators_original!H50</f>
        <v>1.7534007238237701E-2</v>
      </c>
      <c r="K50" s="1167">
        <f>Deflators_original!I50</f>
        <v>44.56</v>
      </c>
      <c r="L50" s="1167">
        <f>Deflators_original!J50</f>
        <v>1.40178408884035E-2</v>
      </c>
    </row>
    <row r="51" spans="1:12" x14ac:dyDescent="0.35">
      <c r="A51" s="1165" t="str">
        <f>Deflators_original!K51</f>
        <v>1982 Q2</v>
      </c>
      <c r="B51" s="1165" t="str">
        <f>Deflators_original!L51</f>
        <v>historical</v>
      </c>
      <c r="C51" s="1167">
        <f>Deflators_original!A51</f>
        <v>48.795000000000002</v>
      </c>
      <c r="D51" s="1167">
        <f>Deflators_original!B51</f>
        <v>0</v>
      </c>
      <c r="E51" s="1167">
        <f>Deflators_original!C51</f>
        <v>46.972999999999999</v>
      </c>
      <c r="F51" s="1167">
        <f>Deflators_original!D51</f>
        <v>9.6292315959161101E-3</v>
      </c>
      <c r="G51" s="1167">
        <f>Deflators_original!E51</f>
        <v>46.841000000000001</v>
      </c>
      <c r="H51" s="1167">
        <f>Deflators_original!F51</f>
        <v>1.9790124531916801E-2</v>
      </c>
      <c r="I51" s="1167">
        <f>Deflators_original!G51</f>
        <v>33.134</v>
      </c>
      <c r="J51" s="1167">
        <f>Deflators_original!H51</f>
        <v>1.5944073097442901E-2</v>
      </c>
      <c r="K51" s="1167">
        <f>Deflators_original!I51</f>
        <v>45.305</v>
      </c>
      <c r="L51" s="1167">
        <f>Deflators_original!J51</f>
        <v>1.6719030520646199E-2</v>
      </c>
    </row>
    <row r="52" spans="1:12" x14ac:dyDescent="0.35">
      <c r="A52" s="1165" t="str">
        <f>Deflators_original!K52</f>
        <v>1982 Q3</v>
      </c>
      <c r="B52" s="1165" t="str">
        <f>Deflators_original!L52</f>
        <v>historical</v>
      </c>
      <c r="C52" s="1167">
        <f>Deflators_original!A52</f>
        <v>49.472000000000001</v>
      </c>
      <c r="D52" s="1167">
        <f>Deflators_original!B52</f>
        <v>0</v>
      </c>
      <c r="E52" s="1167">
        <f>Deflators_original!C52</f>
        <v>47.715000000000003</v>
      </c>
      <c r="F52" s="1167">
        <f>Deflators_original!D52</f>
        <v>1.5796308517659102E-2</v>
      </c>
      <c r="G52" s="1167">
        <f>Deflators_original!E52</f>
        <v>47.234999999999999</v>
      </c>
      <c r="H52" s="1167">
        <f>Deflators_original!F52</f>
        <v>8.4114344271044601E-3</v>
      </c>
      <c r="I52" s="1167">
        <f>Deflators_original!G52</f>
        <v>33.683999999999997</v>
      </c>
      <c r="J52" s="1167">
        <f>Deflators_original!H52</f>
        <v>1.65992635963059E-2</v>
      </c>
      <c r="K52" s="1167">
        <f>Deflators_original!I52</f>
        <v>45.84</v>
      </c>
      <c r="L52" s="1167">
        <f>Deflators_original!J52</f>
        <v>1.1808851120185501E-2</v>
      </c>
    </row>
    <row r="53" spans="1:12" x14ac:dyDescent="0.35">
      <c r="A53" s="1165" t="str">
        <f>Deflators_original!K53</f>
        <v>1982 Q4</v>
      </c>
      <c r="B53" s="1165" t="str">
        <f>Deflators_original!L53</f>
        <v>historical</v>
      </c>
      <c r="C53" s="1167">
        <f>Deflators_original!A53</f>
        <v>49.972999999999999</v>
      </c>
      <c r="D53" s="1167">
        <f>Deflators_original!B53</f>
        <v>0</v>
      </c>
      <c r="E53" s="1167">
        <f>Deflators_original!C53</f>
        <v>48.241</v>
      </c>
      <c r="F53" s="1167">
        <f>Deflators_original!D53</f>
        <v>1.1023787069055701E-2</v>
      </c>
      <c r="G53" s="1167">
        <f>Deflators_original!E53</f>
        <v>47.792000000000002</v>
      </c>
      <c r="H53" s="1167">
        <f>Deflators_original!F53</f>
        <v>1.17921033132211E-2</v>
      </c>
      <c r="I53" s="1167">
        <f>Deflators_original!G53</f>
        <v>34.19</v>
      </c>
      <c r="J53" s="1167">
        <f>Deflators_original!H53</f>
        <v>1.5021968887305399E-2</v>
      </c>
      <c r="K53" s="1167">
        <f>Deflators_original!I53</f>
        <v>45.956000000000003</v>
      </c>
      <c r="L53" s="1167">
        <f>Deflators_original!J53</f>
        <v>2.5305410122164998E-3</v>
      </c>
    </row>
    <row r="54" spans="1:12" x14ac:dyDescent="0.35">
      <c r="A54" s="1165" t="str">
        <f>Deflators_original!K54</f>
        <v>1983 Q1</v>
      </c>
      <c r="B54" s="1165" t="str">
        <f>Deflators_original!L54</f>
        <v>historical</v>
      </c>
      <c r="C54" s="1167">
        <f>Deflators_original!A54</f>
        <v>50.372</v>
      </c>
      <c r="D54" s="1167">
        <f>Deflators_original!B54</f>
        <v>0</v>
      </c>
      <c r="E54" s="1167">
        <f>Deflators_original!C54</f>
        <v>48.64</v>
      </c>
      <c r="F54" s="1167">
        <f>Deflators_original!D54</f>
        <v>8.2709728239465097E-3</v>
      </c>
      <c r="G54" s="1167">
        <f>Deflators_original!E54</f>
        <v>47.881999999999998</v>
      </c>
      <c r="H54" s="1167">
        <f>Deflators_original!F54</f>
        <v>1.8831603615667701E-3</v>
      </c>
      <c r="I54" s="1167">
        <f>Deflators_original!G54</f>
        <v>34.482999999999997</v>
      </c>
      <c r="J54" s="1167">
        <f>Deflators_original!H54</f>
        <v>8.5697572389587008E-3</v>
      </c>
      <c r="K54" s="1167">
        <f>Deflators_original!I54</f>
        <v>45.999000000000002</v>
      </c>
      <c r="L54" s="1167">
        <f>Deflators_original!J54</f>
        <v>9.3567760466539696E-4</v>
      </c>
    </row>
    <row r="55" spans="1:12" x14ac:dyDescent="0.35">
      <c r="A55" s="1165" t="str">
        <f>Deflators_original!K55</f>
        <v>1983 Q2</v>
      </c>
      <c r="B55" s="1165" t="str">
        <f>Deflators_original!L55</f>
        <v>historical</v>
      </c>
      <c r="C55" s="1167">
        <f>Deflators_original!A55</f>
        <v>50.746000000000002</v>
      </c>
      <c r="D55" s="1167">
        <f>Deflators_original!B55</f>
        <v>0</v>
      </c>
      <c r="E55" s="1167">
        <f>Deflators_original!C55</f>
        <v>49.085000000000001</v>
      </c>
      <c r="F55" s="1167">
        <f>Deflators_original!D55</f>
        <v>9.1488486842106198E-3</v>
      </c>
      <c r="G55" s="1167">
        <f>Deflators_original!E55</f>
        <v>48.252000000000002</v>
      </c>
      <c r="H55" s="1167">
        <f>Deflators_original!F55</f>
        <v>7.7273296854769597E-3</v>
      </c>
      <c r="I55" s="1167">
        <f>Deflators_original!G55</f>
        <v>34.954000000000001</v>
      </c>
      <c r="J55" s="1167">
        <f>Deflators_original!H55</f>
        <v>1.36589043876694E-2</v>
      </c>
      <c r="K55" s="1167">
        <f>Deflators_original!I55</f>
        <v>45.936999999999998</v>
      </c>
      <c r="L55" s="1167">
        <f>Deflators_original!J55</f>
        <v>-1.3478553881607299E-3</v>
      </c>
    </row>
    <row r="56" spans="1:12" x14ac:dyDescent="0.35">
      <c r="A56" s="1165" t="str">
        <f>Deflators_original!K56</f>
        <v>1983 Q3</v>
      </c>
      <c r="B56" s="1165" t="str">
        <f>Deflators_original!L56</f>
        <v>historical</v>
      </c>
      <c r="C56" s="1167">
        <f>Deflators_original!A56</f>
        <v>51.284999999999997</v>
      </c>
      <c r="D56" s="1167">
        <f>Deflators_original!B56</f>
        <v>0</v>
      </c>
      <c r="E56" s="1167">
        <f>Deflators_original!C56</f>
        <v>49.73</v>
      </c>
      <c r="F56" s="1167">
        <f>Deflators_original!D56</f>
        <v>1.31404706122031E-2</v>
      </c>
      <c r="G56" s="1167">
        <f>Deflators_original!E56</f>
        <v>48.786000000000001</v>
      </c>
      <c r="H56" s="1167">
        <f>Deflators_original!F56</f>
        <v>1.1066898781397499E-2</v>
      </c>
      <c r="I56" s="1167">
        <f>Deflators_original!G56</f>
        <v>35.363</v>
      </c>
      <c r="J56" s="1167">
        <f>Deflators_original!H56</f>
        <v>1.17010928649082E-2</v>
      </c>
      <c r="K56" s="1167">
        <f>Deflators_original!I56</f>
        <v>45.963000000000001</v>
      </c>
      <c r="L56" s="1167">
        <f>Deflators_original!J56</f>
        <v>5.6599255502098899E-4</v>
      </c>
    </row>
    <row r="57" spans="1:12" x14ac:dyDescent="0.35">
      <c r="A57" s="1165" t="str">
        <f>Deflators_original!K57</f>
        <v>1983 Q4</v>
      </c>
      <c r="B57" s="1165" t="str">
        <f>Deflators_original!L57</f>
        <v>historical</v>
      </c>
      <c r="C57" s="1167">
        <f>Deflators_original!A57</f>
        <v>51.668999999999997</v>
      </c>
      <c r="D57" s="1167">
        <f>Deflators_original!B57</f>
        <v>0</v>
      </c>
      <c r="E57" s="1167">
        <f>Deflators_original!C57</f>
        <v>50.058</v>
      </c>
      <c r="F57" s="1167">
        <f>Deflators_original!D57</f>
        <v>6.5956163281721799E-3</v>
      </c>
      <c r="G57" s="1167">
        <f>Deflators_original!E57</f>
        <v>49.104999999999997</v>
      </c>
      <c r="H57" s="1167">
        <f>Deflators_original!F57</f>
        <v>6.5387611199934099E-3</v>
      </c>
      <c r="I57" s="1167">
        <f>Deflators_original!G57</f>
        <v>35.694000000000003</v>
      </c>
      <c r="J57" s="1167">
        <f>Deflators_original!H57</f>
        <v>9.3600656052936805E-3</v>
      </c>
      <c r="K57" s="1167">
        <f>Deflators_original!I57</f>
        <v>45.95</v>
      </c>
      <c r="L57" s="1167">
        <f>Deflators_original!J57</f>
        <v>-2.82836194330227E-4</v>
      </c>
    </row>
    <row r="58" spans="1:12" x14ac:dyDescent="0.35">
      <c r="A58" s="1165" t="str">
        <f>Deflators_original!K58</f>
        <v>1984 Q1</v>
      </c>
      <c r="B58" s="1165" t="str">
        <f>Deflators_original!L58</f>
        <v>historical</v>
      </c>
      <c r="C58" s="1167">
        <f>Deflators_original!A58</f>
        <v>52.177999999999997</v>
      </c>
      <c r="D58" s="1167">
        <f>Deflators_original!B58</f>
        <v>0</v>
      </c>
      <c r="E58" s="1167">
        <f>Deflators_original!C58</f>
        <v>50.598999999999997</v>
      </c>
      <c r="F58" s="1167">
        <f>Deflators_original!D58</f>
        <v>1.08074633425226E-2</v>
      </c>
      <c r="G58" s="1167">
        <f>Deflators_original!E58</f>
        <v>49.741</v>
      </c>
      <c r="H58" s="1167">
        <f>Deflators_original!F58</f>
        <v>1.2951837898381099E-2</v>
      </c>
      <c r="I58" s="1167">
        <f>Deflators_original!G58</f>
        <v>36.32</v>
      </c>
      <c r="J58" s="1167">
        <f>Deflators_original!H58</f>
        <v>1.7537961562167099E-2</v>
      </c>
      <c r="K58" s="1167">
        <f>Deflators_original!I58</f>
        <v>46</v>
      </c>
      <c r="L58" s="1167">
        <f>Deflators_original!J58</f>
        <v>1.0881392818280499E-3</v>
      </c>
    </row>
    <row r="59" spans="1:12" x14ac:dyDescent="0.35">
      <c r="A59" s="1165" t="str">
        <f>Deflators_original!K59</f>
        <v>1984 Q2</v>
      </c>
      <c r="B59" s="1165" t="str">
        <f>Deflators_original!L59</f>
        <v>historical</v>
      </c>
      <c r="C59" s="1167">
        <f>Deflators_original!A59</f>
        <v>52.646999999999998</v>
      </c>
      <c r="D59" s="1167">
        <f>Deflators_original!B59</f>
        <v>0</v>
      </c>
      <c r="E59" s="1167">
        <f>Deflators_original!C59</f>
        <v>51.088999999999999</v>
      </c>
      <c r="F59" s="1167">
        <f>Deflators_original!D59</f>
        <v>9.6839858495227898E-3</v>
      </c>
      <c r="G59" s="1167">
        <f>Deflators_original!E59</f>
        <v>50.237000000000002</v>
      </c>
      <c r="H59" s="1167">
        <f>Deflators_original!F59</f>
        <v>9.9716531633864403E-3</v>
      </c>
      <c r="I59" s="1167">
        <f>Deflators_original!G59</f>
        <v>36.716000000000001</v>
      </c>
      <c r="J59" s="1167">
        <f>Deflators_original!H59</f>
        <v>1.09030837004405E-2</v>
      </c>
      <c r="K59" s="1167">
        <f>Deflators_original!I59</f>
        <v>46.162999999999997</v>
      </c>
      <c r="L59" s="1167">
        <f>Deflators_original!J59</f>
        <v>3.5434782608694299E-3</v>
      </c>
    </row>
    <row r="60" spans="1:12" x14ac:dyDescent="0.35">
      <c r="A60" s="1165" t="str">
        <f>Deflators_original!K60</f>
        <v>1984 Q3</v>
      </c>
      <c r="B60" s="1165" t="str">
        <f>Deflators_original!L60</f>
        <v>historical</v>
      </c>
      <c r="C60" s="1167">
        <f>Deflators_original!A60</f>
        <v>53.122</v>
      </c>
      <c r="D60" s="1167">
        <f>Deflators_original!B60</f>
        <v>0</v>
      </c>
      <c r="E60" s="1167">
        <f>Deflators_original!C60</f>
        <v>51.482999999999997</v>
      </c>
      <c r="F60" s="1167">
        <f>Deflators_original!D60</f>
        <v>7.7120319442540702E-3</v>
      </c>
      <c r="G60" s="1167">
        <f>Deflators_original!E60</f>
        <v>50.984000000000002</v>
      </c>
      <c r="H60" s="1167">
        <f>Deflators_original!F60</f>
        <v>1.48695184823935E-2</v>
      </c>
      <c r="I60" s="1167">
        <f>Deflators_original!G60</f>
        <v>37.11</v>
      </c>
      <c r="J60" s="1167">
        <f>Deflators_original!H60</f>
        <v>1.07310164505936E-2</v>
      </c>
      <c r="K60" s="1167">
        <f>Deflators_original!I60</f>
        <v>46.311999999999998</v>
      </c>
      <c r="L60" s="1167">
        <f>Deflators_original!J60</f>
        <v>3.22769317418703E-3</v>
      </c>
    </row>
    <row r="61" spans="1:12" x14ac:dyDescent="0.35">
      <c r="A61" s="1165" t="str">
        <f>Deflators_original!K61</f>
        <v>1984 Q4</v>
      </c>
      <c r="B61" s="1165" t="str">
        <f>Deflators_original!L61</f>
        <v>historical</v>
      </c>
      <c r="C61" s="1167">
        <f>Deflators_original!A61</f>
        <v>53.494</v>
      </c>
      <c r="D61" s="1167">
        <f>Deflators_original!B61</f>
        <v>0</v>
      </c>
      <c r="E61" s="1167">
        <f>Deflators_original!C61</f>
        <v>51.801000000000002</v>
      </c>
      <c r="F61" s="1167">
        <f>Deflators_original!D61</f>
        <v>6.1767962239964698E-3</v>
      </c>
      <c r="G61" s="1167">
        <f>Deflators_original!E61</f>
        <v>51.612000000000002</v>
      </c>
      <c r="H61" s="1167">
        <f>Deflators_original!F61</f>
        <v>1.23175898321042E-2</v>
      </c>
      <c r="I61" s="1167">
        <f>Deflators_original!G61</f>
        <v>37.548000000000002</v>
      </c>
      <c r="J61" s="1167">
        <f>Deflators_original!H61</f>
        <v>1.1802748585286999E-2</v>
      </c>
      <c r="K61" s="1167">
        <f>Deflators_original!I61</f>
        <v>46.405999999999999</v>
      </c>
      <c r="L61" s="1167">
        <f>Deflators_original!J61</f>
        <v>2.0297115218517198E-3</v>
      </c>
    </row>
    <row r="62" spans="1:12" x14ac:dyDescent="0.35">
      <c r="A62" s="1165" t="str">
        <f>Deflators_original!K62</f>
        <v>1985 Q1</v>
      </c>
      <c r="B62" s="1165" t="str">
        <f>Deflators_original!L62</f>
        <v>historical</v>
      </c>
      <c r="C62" s="1167">
        <f>Deflators_original!A62</f>
        <v>54.040999999999997</v>
      </c>
      <c r="D62" s="1167">
        <f>Deflators_original!B62</f>
        <v>0</v>
      </c>
      <c r="E62" s="1167">
        <f>Deflators_original!C62</f>
        <v>52.411999999999999</v>
      </c>
      <c r="F62" s="1167">
        <f>Deflators_original!D62</f>
        <v>1.1795139089978901E-2</v>
      </c>
      <c r="G62" s="1167">
        <f>Deflators_original!E62</f>
        <v>51.405999999999999</v>
      </c>
      <c r="H62" s="1167">
        <f>Deflators_original!F62</f>
        <v>-3.9913198480974197E-3</v>
      </c>
      <c r="I62" s="1167">
        <f>Deflators_original!G62</f>
        <v>38.043999999999997</v>
      </c>
      <c r="J62" s="1167">
        <f>Deflators_original!H62</f>
        <v>1.3209758176201E-2</v>
      </c>
      <c r="K62" s="1167">
        <f>Deflators_original!I62</f>
        <v>46.664000000000001</v>
      </c>
      <c r="L62" s="1167">
        <f>Deflators_original!J62</f>
        <v>5.5596259104426799E-3</v>
      </c>
    </row>
    <row r="63" spans="1:12" x14ac:dyDescent="0.35">
      <c r="A63" s="1165" t="str">
        <f>Deflators_original!K63</f>
        <v>1985 Q2</v>
      </c>
      <c r="B63" s="1165" t="str">
        <f>Deflators_original!L63</f>
        <v>historical</v>
      </c>
      <c r="C63" s="1167">
        <f>Deflators_original!A63</f>
        <v>54.360999999999997</v>
      </c>
      <c r="D63" s="1167">
        <f>Deflators_original!B63</f>
        <v>0</v>
      </c>
      <c r="E63" s="1167">
        <f>Deflators_original!C63</f>
        <v>52.837000000000003</v>
      </c>
      <c r="F63" s="1167">
        <f>Deflators_original!D63</f>
        <v>8.1088300389224894E-3</v>
      </c>
      <c r="G63" s="1167">
        <f>Deflators_original!E63</f>
        <v>51.527000000000001</v>
      </c>
      <c r="H63" s="1167">
        <f>Deflators_original!F63</f>
        <v>2.3538108392016101E-3</v>
      </c>
      <c r="I63" s="1167">
        <f>Deflators_original!G63</f>
        <v>38.478999999999999</v>
      </c>
      <c r="J63" s="1167">
        <f>Deflators_original!H63</f>
        <v>1.1434128903375E-2</v>
      </c>
      <c r="K63" s="1167">
        <f>Deflators_original!I63</f>
        <v>46.808</v>
      </c>
      <c r="L63" s="1167">
        <f>Deflators_original!J63</f>
        <v>3.0858906223212301E-3</v>
      </c>
    </row>
    <row r="64" spans="1:12" x14ac:dyDescent="0.35">
      <c r="A64" s="1165" t="str">
        <f>Deflators_original!K64</f>
        <v>1985 Q3</v>
      </c>
      <c r="B64" s="1165" t="str">
        <f>Deflators_original!L64</f>
        <v>historical</v>
      </c>
      <c r="C64" s="1167">
        <f>Deflators_original!A64</f>
        <v>54.722000000000001</v>
      </c>
      <c r="D64" s="1167">
        <f>Deflators_original!B64</f>
        <v>0</v>
      </c>
      <c r="E64" s="1167">
        <f>Deflators_original!C64</f>
        <v>53.250999999999998</v>
      </c>
      <c r="F64" s="1167">
        <f>Deflators_original!D64</f>
        <v>7.8354183621325308E-3</v>
      </c>
      <c r="G64" s="1167">
        <f>Deflators_original!E64</f>
        <v>51.802</v>
      </c>
      <c r="H64" s="1167">
        <f>Deflators_original!F64</f>
        <v>5.3370077823275998E-3</v>
      </c>
      <c r="I64" s="1167">
        <f>Deflators_original!G64</f>
        <v>38.835999999999999</v>
      </c>
      <c r="J64" s="1167">
        <f>Deflators_original!H64</f>
        <v>9.2777878843004497E-3</v>
      </c>
      <c r="K64" s="1167">
        <f>Deflators_original!I64</f>
        <v>47</v>
      </c>
      <c r="L64" s="1167">
        <f>Deflators_original!J64</f>
        <v>4.1018629294138397E-3</v>
      </c>
    </row>
    <row r="65" spans="1:12" x14ac:dyDescent="0.35">
      <c r="A65" s="1165" t="str">
        <f>Deflators_original!K65</f>
        <v>1985 Q4</v>
      </c>
      <c r="B65" s="1165" t="str">
        <f>Deflators_original!L65</f>
        <v>historical</v>
      </c>
      <c r="C65" s="1167">
        <f>Deflators_original!A65</f>
        <v>55.006</v>
      </c>
      <c r="D65" s="1167">
        <f>Deflators_original!B65</f>
        <v>0</v>
      </c>
      <c r="E65" s="1167">
        <f>Deflators_original!C65</f>
        <v>53.622999999999998</v>
      </c>
      <c r="F65" s="1167">
        <f>Deflators_original!D65</f>
        <v>6.9857843045200204E-3</v>
      </c>
      <c r="G65" s="1167">
        <f>Deflators_original!E65</f>
        <v>52.142000000000003</v>
      </c>
      <c r="H65" s="1167">
        <f>Deflators_original!F65</f>
        <v>6.5634531485272403E-3</v>
      </c>
      <c r="I65" s="1167">
        <f>Deflators_original!G65</f>
        <v>39.226999999999997</v>
      </c>
      <c r="J65" s="1167">
        <f>Deflators_original!H65</f>
        <v>1.0067978164589601E-2</v>
      </c>
      <c r="K65" s="1167">
        <f>Deflators_original!I65</f>
        <v>47.28</v>
      </c>
      <c r="L65" s="1167">
        <f>Deflators_original!J65</f>
        <v>5.9574468085106204E-3</v>
      </c>
    </row>
    <row r="66" spans="1:12" x14ac:dyDescent="0.35">
      <c r="A66" s="1165" t="str">
        <f>Deflators_original!K66</f>
        <v>1986 Q1</v>
      </c>
      <c r="B66" s="1165" t="str">
        <f>Deflators_original!L66</f>
        <v>historical</v>
      </c>
      <c r="C66" s="1167">
        <f>Deflators_original!A66</f>
        <v>55.277999999999999</v>
      </c>
      <c r="D66" s="1167">
        <f>Deflators_original!B66</f>
        <v>0</v>
      </c>
      <c r="E66" s="1167">
        <f>Deflators_original!C66</f>
        <v>54.003</v>
      </c>
      <c r="F66" s="1167">
        <f>Deflators_original!D66</f>
        <v>7.08651138504002E-3</v>
      </c>
      <c r="G66" s="1167">
        <f>Deflators_original!E66</f>
        <v>52.01</v>
      </c>
      <c r="H66" s="1167">
        <f>Deflators_original!F66</f>
        <v>-2.53154846381043E-3</v>
      </c>
      <c r="I66" s="1167">
        <f>Deflators_original!G66</f>
        <v>39.371000000000002</v>
      </c>
      <c r="J66" s="1167">
        <f>Deflators_original!H66</f>
        <v>3.6709409335409201E-3</v>
      </c>
      <c r="K66" s="1167">
        <f>Deflators_original!I66</f>
        <v>47.573999999999998</v>
      </c>
      <c r="L66" s="1167">
        <f>Deflators_original!J66</f>
        <v>6.2182741116749698E-3</v>
      </c>
    </row>
    <row r="67" spans="1:12" x14ac:dyDescent="0.35">
      <c r="A67" s="1165" t="str">
        <f>Deflators_original!K67</f>
        <v>1986 Q2</v>
      </c>
      <c r="B67" s="1165" t="str">
        <f>Deflators_original!L67</f>
        <v>historical</v>
      </c>
      <c r="C67" s="1167">
        <f>Deflators_original!A67</f>
        <v>55.472000000000001</v>
      </c>
      <c r="D67" s="1167">
        <f>Deflators_original!B67</f>
        <v>0</v>
      </c>
      <c r="E67" s="1167">
        <f>Deflators_original!C67</f>
        <v>53.945999999999998</v>
      </c>
      <c r="F67" s="1167">
        <f>Deflators_original!D67</f>
        <v>-1.0554969168380399E-3</v>
      </c>
      <c r="G67" s="1167">
        <f>Deflators_original!E67</f>
        <v>51.881</v>
      </c>
      <c r="H67" s="1167">
        <f>Deflators_original!F67</f>
        <v>-2.48029225149005E-3</v>
      </c>
      <c r="I67" s="1167">
        <f>Deflators_original!G67</f>
        <v>39.488999999999997</v>
      </c>
      <c r="J67" s="1167">
        <f>Deflators_original!H67</f>
        <v>2.9971298671609401E-3</v>
      </c>
      <c r="K67" s="1167">
        <f>Deflators_original!I67</f>
        <v>48.063000000000002</v>
      </c>
      <c r="L67" s="1167">
        <f>Deflators_original!J67</f>
        <v>1.02787236725943E-2</v>
      </c>
    </row>
    <row r="68" spans="1:12" x14ac:dyDescent="0.35">
      <c r="A68" s="1165" t="str">
        <f>Deflators_original!K68</f>
        <v>1986 Q3</v>
      </c>
      <c r="B68" s="1165" t="str">
        <f>Deflators_original!L68</f>
        <v>historical</v>
      </c>
      <c r="C68" s="1167">
        <f>Deflators_original!A68</f>
        <v>55.734999999999999</v>
      </c>
      <c r="D68" s="1167">
        <f>Deflators_original!B68</f>
        <v>0</v>
      </c>
      <c r="E68" s="1167">
        <f>Deflators_original!C68</f>
        <v>54.23</v>
      </c>
      <c r="F68" s="1167">
        <f>Deflators_original!D68</f>
        <v>5.2645237830422102E-3</v>
      </c>
      <c r="G68" s="1167">
        <f>Deflators_original!E68</f>
        <v>51.954000000000001</v>
      </c>
      <c r="H68" s="1167">
        <f>Deflators_original!F68</f>
        <v>1.4070661706597799E-3</v>
      </c>
      <c r="I68" s="1167">
        <f>Deflators_original!G68</f>
        <v>39.826999999999998</v>
      </c>
      <c r="J68" s="1167">
        <f>Deflators_original!H68</f>
        <v>8.5593456405581598E-3</v>
      </c>
      <c r="K68" s="1167">
        <f>Deflators_original!I68</f>
        <v>48.500999999999998</v>
      </c>
      <c r="L68" s="1167">
        <f>Deflators_original!J68</f>
        <v>9.1130391361338194E-3</v>
      </c>
    </row>
    <row r="69" spans="1:12" x14ac:dyDescent="0.35">
      <c r="A69" s="1165" t="str">
        <f>Deflators_original!K69</f>
        <v>1986 Q4</v>
      </c>
      <c r="B69" s="1165" t="str">
        <f>Deflators_original!L69</f>
        <v>historical</v>
      </c>
      <c r="C69" s="1167">
        <f>Deflators_original!A69</f>
        <v>56.066000000000003</v>
      </c>
      <c r="D69" s="1167">
        <f>Deflators_original!B69</f>
        <v>0</v>
      </c>
      <c r="E69" s="1167">
        <f>Deflators_original!C69</f>
        <v>54.558</v>
      </c>
      <c r="F69" s="1167">
        <f>Deflators_original!D69</f>
        <v>6.0483127420247803E-3</v>
      </c>
      <c r="G69" s="1167">
        <f>Deflators_original!E69</f>
        <v>52.012999999999998</v>
      </c>
      <c r="H69" s="1167">
        <f>Deflators_original!F69</f>
        <v>1.13561997151312E-3</v>
      </c>
      <c r="I69" s="1167">
        <f>Deflators_original!G69</f>
        <v>40.351999999999997</v>
      </c>
      <c r="J69" s="1167">
        <f>Deflators_original!H69</f>
        <v>1.3182012202777E-2</v>
      </c>
      <c r="K69" s="1167">
        <f>Deflators_original!I69</f>
        <v>49.026000000000003</v>
      </c>
      <c r="L69" s="1167">
        <f>Deflators_original!J69</f>
        <v>1.08245190820808E-2</v>
      </c>
    </row>
    <row r="70" spans="1:12" x14ac:dyDescent="0.35">
      <c r="A70" s="1165" t="str">
        <f>Deflators_original!K70</f>
        <v>1987 Q1</v>
      </c>
      <c r="B70" s="1165" t="str">
        <f>Deflators_original!L70</f>
        <v>historical</v>
      </c>
      <c r="C70" s="1167">
        <f>Deflators_original!A70</f>
        <v>56.390999999999998</v>
      </c>
      <c r="D70" s="1167">
        <f>Deflators_original!B70</f>
        <v>0</v>
      </c>
      <c r="E70" s="1167">
        <f>Deflators_original!C70</f>
        <v>55.072000000000003</v>
      </c>
      <c r="F70" s="1167">
        <f>Deflators_original!D70</f>
        <v>9.4211664650463208E-3</v>
      </c>
      <c r="G70" s="1167">
        <f>Deflators_original!E70</f>
        <v>51.923999999999999</v>
      </c>
      <c r="H70" s="1167">
        <f>Deflators_original!F70</f>
        <v>-1.71111068386742E-3</v>
      </c>
      <c r="I70" s="1167">
        <f>Deflators_original!G70</f>
        <v>41.005000000000003</v>
      </c>
      <c r="J70" s="1167">
        <f>Deflators_original!H70</f>
        <v>1.61825931800159E-2</v>
      </c>
      <c r="K70" s="1167">
        <f>Deflators_original!I70</f>
        <v>49.34</v>
      </c>
      <c r="L70" s="1167">
        <f>Deflators_original!J70</f>
        <v>6.4047648186675897E-3</v>
      </c>
    </row>
    <row r="71" spans="1:12" x14ac:dyDescent="0.35">
      <c r="A71" s="1165" t="str">
        <f>Deflators_original!K71</f>
        <v>1987 Q2</v>
      </c>
      <c r="B71" s="1165" t="str">
        <f>Deflators_original!L71</f>
        <v>historical</v>
      </c>
      <c r="C71" s="1167">
        <f>Deflators_original!A71</f>
        <v>56.774000000000001</v>
      </c>
      <c r="D71" s="1167">
        <f>Deflators_original!B71</f>
        <v>0</v>
      </c>
      <c r="E71" s="1167">
        <f>Deflators_original!C71</f>
        <v>55.603000000000002</v>
      </c>
      <c r="F71" s="1167">
        <f>Deflators_original!D71</f>
        <v>9.6419233004068107E-3</v>
      </c>
      <c r="G71" s="1167">
        <f>Deflators_original!E71</f>
        <v>52.170999999999999</v>
      </c>
      <c r="H71" s="1167">
        <f>Deflators_original!F71</f>
        <v>4.7569524689932098E-3</v>
      </c>
      <c r="I71" s="1167">
        <f>Deflators_original!G71</f>
        <v>41.545000000000002</v>
      </c>
      <c r="J71" s="1167">
        <f>Deflators_original!H71</f>
        <v>1.3169125716376E-2</v>
      </c>
      <c r="K71" s="1167">
        <f>Deflators_original!I71</f>
        <v>49.755000000000003</v>
      </c>
      <c r="L71" s="1167">
        <f>Deflators_original!J71</f>
        <v>8.4110255370895004E-3</v>
      </c>
    </row>
    <row r="72" spans="1:12" x14ac:dyDescent="0.35">
      <c r="A72" s="1165" t="str">
        <f>Deflators_original!K72</f>
        <v>1987 Q3</v>
      </c>
      <c r="B72" s="1165" t="str">
        <f>Deflators_original!L72</f>
        <v>historical</v>
      </c>
      <c r="C72" s="1167">
        <f>Deflators_original!A72</f>
        <v>57.212000000000003</v>
      </c>
      <c r="D72" s="1167">
        <f>Deflators_original!B72</f>
        <v>0</v>
      </c>
      <c r="E72" s="1167">
        <f>Deflators_original!C72</f>
        <v>56.13</v>
      </c>
      <c r="F72" s="1167">
        <f>Deflators_original!D72</f>
        <v>9.4779058683884792E-3</v>
      </c>
      <c r="G72" s="1167">
        <f>Deflators_original!E72</f>
        <v>52.548000000000002</v>
      </c>
      <c r="H72" s="1167">
        <f>Deflators_original!F72</f>
        <v>7.2262367982212101E-3</v>
      </c>
      <c r="I72" s="1167">
        <f>Deflators_original!G72</f>
        <v>42.072000000000003</v>
      </c>
      <c r="J72" s="1167">
        <f>Deflators_original!H72</f>
        <v>1.2685040317727899E-2</v>
      </c>
      <c r="K72" s="1167">
        <f>Deflators_original!I72</f>
        <v>50.198</v>
      </c>
      <c r="L72" s="1167">
        <f>Deflators_original!J72</f>
        <v>8.9036277761027592E-3</v>
      </c>
    </row>
    <row r="73" spans="1:12" x14ac:dyDescent="0.35">
      <c r="A73" s="1165" t="str">
        <f>Deflators_original!K73</f>
        <v>1987 Q4</v>
      </c>
      <c r="B73" s="1165" t="str">
        <f>Deflators_original!L73</f>
        <v>historical</v>
      </c>
      <c r="C73" s="1167">
        <f>Deflators_original!A73</f>
        <v>57.640999999999998</v>
      </c>
      <c r="D73" s="1167">
        <f>Deflators_original!B73</f>
        <v>0</v>
      </c>
      <c r="E73" s="1167">
        <f>Deflators_original!C73</f>
        <v>56.615000000000002</v>
      </c>
      <c r="F73" s="1167">
        <f>Deflators_original!D73</f>
        <v>8.6406556208800094E-3</v>
      </c>
      <c r="G73" s="1167">
        <f>Deflators_original!E73</f>
        <v>52.658000000000001</v>
      </c>
      <c r="H73" s="1167">
        <f>Deflators_original!F73</f>
        <v>2.0933241988276802E-3</v>
      </c>
      <c r="I73" s="1167">
        <f>Deflators_original!G73</f>
        <v>42.329000000000001</v>
      </c>
      <c r="J73" s="1167">
        <f>Deflators_original!H73</f>
        <v>6.1085757748620103E-3</v>
      </c>
      <c r="K73" s="1167">
        <f>Deflators_original!I73</f>
        <v>50.463999999999999</v>
      </c>
      <c r="L73" s="1167">
        <f>Deflators_original!J73</f>
        <v>5.29901589704762E-3</v>
      </c>
    </row>
    <row r="74" spans="1:12" x14ac:dyDescent="0.35">
      <c r="A74" s="1165" t="str">
        <f>Deflators_original!K74</f>
        <v>1988 Q1</v>
      </c>
      <c r="B74" s="1165" t="str">
        <f>Deflators_original!L74</f>
        <v>historical</v>
      </c>
      <c r="C74" s="1167">
        <f>Deflators_original!A74</f>
        <v>58.087000000000003</v>
      </c>
      <c r="D74" s="1167">
        <f>Deflators_original!B74</f>
        <v>0</v>
      </c>
      <c r="E74" s="1167">
        <f>Deflators_original!C74</f>
        <v>57.061999999999998</v>
      </c>
      <c r="F74" s="1167">
        <f>Deflators_original!D74</f>
        <v>7.8954340722423594E-3</v>
      </c>
      <c r="G74" s="1167">
        <f>Deflators_original!E74</f>
        <v>53.375999999999998</v>
      </c>
      <c r="H74" s="1167">
        <f>Deflators_original!F74</f>
        <v>1.36351551521137E-2</v>
      </c>
      <c r="I74" s="1167">
        <f>Deflators_original!G74</f>
        <v>42.517000000000003</v>
      </c>
      <c r="J74" s="1167">
        <f>Deflators_original!H74</f>
        <v>4.4413995133361101E-3</v>
      </c>
      <c r="K74" s="1167">
        <f>Deflators_original!I74</f>
        <v>50.87</v>
      </c>
      <c r="L74" s="1167">
        <f>Deflators_original!J74</f>
        <v>8.0453392517438899E-3</v>
      </c>
    </row>
    <row r="75" spans="1:12" x14ac:dyDescent="0.35">
      <c r="A75" s="1165" t="str">
        <f>Deflators_original!K75</f>
        <v>1988 Q2</v>
      </c>
      <c r="B75" s="1165" t="str">
        <f>Deflators_original!L75</f>
        <v>historical</v>
      </c>
      <c r="C75" s="1167">
        <f>Deflators_original!A75</f>
        <v>58.667000000000002</v>
      </c>
      <c r="D75" s="1167">
        <f>Deflators_original!B75</f>
        <v>0</v>
      </c>
      <c r="E75" s="1167">
        <f>Deflators_original!C75</f>
        <v>57.692</v>
      </c>
      <c r="F75" s="1167">
        <f>Deflators_original!D75</f>
        <v>1.10406224808104E-2</v>
      </c>
      <c r="G75" s="1167">
        <f>Deflators_original!E75</f>
        <v>53.901000000000003</v>
      </c>
      <c r="H75" s="1167">
        <f>Deflators_original!F75</f>
        <v>9.8358812949641498E-3</v>
      </c>
      <c r="I75" s="1167">
        <f>Deflators_original!G75</f>
        <v>42.975000000000001</v>
      </c>
      <c r="J75" s="1167">
        <f>Deflators_original!H75</f>
        <v>1.0772161723545901E-2</v>
      </c>
      <c r="K75" s="1167">
        <f>Deflators_original!I75</f>
        <v>51.151000000000003</v>
      </c>
      <c r="L75" s="1167">
        <f>Deflators_original!J75</f>
        <v>5.5238844112444098E-3</v>
      </c>
    </row>
    <row r="76" spans="1:12" x14ac:dyDescent="0.35">
      <c r="A76" s="1165" t="str">
        <f>Deflators_original!K76</f>
        <v>1988 Q3</v>
      </c>
      <c r="B76" s="1165" t="str">
        <f>Deflators_original!L76</f>
        <v>historical</v>
      </c>
      <c r="C76" s="1167">
        <f>Deflators_original!A76</f>
        <v>59.384999999999998</v>
      </c>
      <c r="D76" s="1167">
        <f>Deflators_original!B76</f>
        <v>0</v>
      </c>
      <c r="E76" s="1167">
        <f>Deflators_original!C76</f>
        <v>58.402999999999999</v>
      </c>
      <c r="F76" s="1167">
        <f>Deflators_original!D76</f>
        <v>1.23240657283505E-2</v>
      </c>
      <c r="G76" s="1167">
        <f>Deflators_original!E76</f>
        <v>54.209000000000003</v>
      </c>
      <c r="H76" s="1167">
        <f>Deflators_original!F76</f>
        <v>5.7141796998201296E-3</v>
      </c>
      <c r="I76" s="1167">
        <f>Deflators_original!G76</f>
        <v>43.356999999999999</v>
      </c>
      <c r="J76" s="1167">
        <f>Deflators_original!H76</f>
        <v>8.8888888888889496E-3</v>
      </c>
      <c r="K76" s="1167">
        <f>Deflators_original!I76</f>
        <v>51.481000000000002</v>
      </c>
      <c r="L76" s="1167">
        <f>Deflators_original!J76</f>
        <v>6.45148677445206E-3</v>
      </c>
    </row>
    <row r="77" spans="1:12" x14ac:dyDescent="0.35">
      <c r="A77" s="1165" t="str">
        <f>Deflators_original!K77</f>
        <v>1988 Q4</v>
      </c>
      <c r="B77" s="1165" t="str">
        <f>Deflators_original!L77</f>
        <v>historical</v>
      </c>
      <c r="C77" s="1167">
        <f>Deflators_original!A77</f>
        <v>59.932000000000002</v>
      </c>
      <c r="D77" s="1167">
        <f>Deflators_original!B77</f>
        <v>0</v>
      </c>
      <c r="E77" s="1167">
        <f>Deflators_original!C77</f>
        <v>58.993000000000002</v>
      </c>
      <c r="F77" s="1167">
        <f>Deflators_original!D77</f>
        <v>1.01022207763299E-2</v>
      </c>
      <c r="G77" s="1167">
        <f>Deflators_original!E77</f>
        <v>54.645000000000003</v>
      </c>
      <c r="H77" s="1167">
        <f>Deflators_original!F77</f>
        <v>8.0429448984487006E-3</v>
      </c>
      <c r="I77" s="1167">
        <f>Deflators_original!G77</f>
        <v>43.918999999999997</v>
      </c>
      <c r="J77" s="1167">
        <f>Deflators_original!H77</f>
        <v>1.29621514403671E-2</v>
      </c>
      <c r="K77" s="1167">
        <f>Deflators_original!I77</f>
        <v>51.753</v>
      </c>
      <c r="L77" s="1167">
        <f>Deflators_original!J77</f>
        <v>5.2835026514637101E-3</v>
      </c>
    </row>
    <row r="78" spans="1:12" x14ac:dyDescent="0.35">
      <c r="A78" s="1165" t="str">
        <f>Deflators_original!K78</f>
        <v>1989 Q1</v>
      </c>
      <c r="B78" s="1165" t="str">
        <f>Deflators_original!L78</f>
        <v>historical</v>
      </c>
      <c r="C78" s="1167">
        <f>Deflators_original!A78</f>
        <v>60.508000000000003</v>
      </c>
      <c r="D78" s="1167">
        <f>Deflators_original!B78</f>
        <v>0</v>
      </c>
      <c r="E78" s="1167">
        <f>Deflators_original!C78</f>
        <v>59.670999999999999</v>
      </c>
      <c r="F78" s="1167">
        <f>Deflators_original!D78</f>
        <v>1.14928889868289E-2</v>
      </c>
      <c r="G78" s="1167">
        <f>Deflators_original!E78</f>
        <v>55.051000000000002</v>
      </c>
      <c r="H78" s="1167">
        <f>Deflators_original!F78</f>
        <v>7.42977399579092E-3</v>
      </c>
      <c r="I78" s="1167">
        <f>Deflators_original!G78</f>
        <v>44.585000000000001</v>
      </c>
      <c r="J78" s="1167">
        <f>Deflators_original!H78</f>
        <v>1.5164279696714401E-2</v>
      </c>
      <c r="K78" s="1167">
        <f>Deflators_original!I78</f>
        <v>52.003</v>
      </c>
      <c r="L78" s="1167">
        <f>Deflators_original!J78</f>
        <v>4.8306378374200999E-3</v>
      </c>
    </row>
    <row r="79" spans="1:12" x14ac:dyDescent="0.35">
      <c r="A79" s="1165" t="str">
        <f>Deflators_original!K79</f>
        <v>1989 Q2</v>
      </c>
      <c r="B79" s="1165" t="str">
        <f>Deflators_original!L79</f>
        <v>historical</v>
      </c>
      <c r="C79" s="1167">
        <f>Deflators_original!A79</f>
        <v>61.162999999999997</v>
      </c>
      <c r="D79" s="1167">
        <f>Deflators_original!B79</f>
        <v>0</v>
      </c>
      <c r="E79" s="1167">
        <f>Deflators_original!C79</f>
        <v>60.475000000000001</v>
      </c>
      <c r="F79" s="1167">
        <f>Deflators_original!D79</f>
        <v>1.34738817851219E-2</v>
      </c>
      <c r="G79" s="1167">
        <f>Deflators_original!E79</f>
        <v>55.454999999999998</v>
      </c>
      <c r="H79" s="1167">
        <f>Deflators_original!F79</f>
        <v>7.3386496158107696E-3</v>
      </c>
      <c r="I79" s="1167">
        <f>Deflators_original!G79</f>
        <v>45.247999999999998</v>
      </c>
      <c r="J79" s="1167">
        <f>Deflators_original!H79</f>
        <v>1.48704721318829E-2</v>
      </c>
      <c r="K79" s="1167">
        <f>Deflators_original!I79</f>
        <v>52.424999999999997</v>
      </c>
      <c r="L79" s="1167">
        <f>Deflators_original!J79</f>
        <v>8.1149164471279196E-3</v>
      </c>
    </row>
    <row r="80" spans="1:12" x14ac:dyDescent="0.35">
      <c r="A80" s="1165" t="str">
        <f>Deflators_original!K80</f>
        <v>1989 Q3</v>
      </c>
      <c r="B80" s="1165" t="str">
        <f>Deflators_original!L80</f>
        <v>historical</v>
      </c>
      <c r="C80" s="1167">
        <f>Deflators_original!A80</f>
        <v>61.616999999999997</v>
      </c>
      <c r="D80" s="1167">
        <f>Deflators_original!B80</f>
        <v>0</v>
      </c>
      <c r="E80" s="1167">
        <f>Deflators_original!C80</f>
        <v>60.832000000000001</v>
      </c>
      <c r="F80" s="1167">
        <f>Deflators_original!D80</f>
        <v>5.9032658123190397E-3</v>
      </c>
      <c r="G80" s="1167">
        <f>Deflators_original!E80</f>
        <v>55.731000000000002</v>
      </c>
      <c r="H80" s="1167">
        <f>Deflators_original!F80</f>
        <v>4.9770083851772302E-3</v>
      </c>
      <c r="I80" s="1167">
        <f>Deflators_original!G80</f>
        <v>45.692999999999998</v>
      </c>
      <c r="J80" s="1167">
        <f>Deflators_original!H80</f>
        <v>9.8346888260254506E-3</v>
      </c>
      <c r="K80" s="1167">
        <f>Deflators_original!I80</f>
        <v>52.814</v>
      </c>
      <c r="L80" s="1167">
        <f>Deflators_original!J80</f>
        <v>7.4201239866476002E-3</v>
      </c>
    </row>
    <row r="81" spans="1:12" x14ac:dyDescent="0.35">
      <c r="A81" s="1165" t="str">
        <f>Deflators_original!K81</f>
        <v>1989 Q4</v>
      </c>
      <c r="B81" s="1165" t="str">
        <f>Deflators_original!L81</f>
        <v>historical</v>
      </c>
      <c r="C81" s="1167">
        <f>Deflators_original!A81</f>
        <v>62.036999999999999</v>
      </c>
      <c r="D81" s="1167">
        <f>Deflators_original!B81</f>
        <v>0</v>
      </c>
      <c r="E81" s="1167">
        <f>Deflators_original!C81</f>
        <v>61.31</v>
      </c>
      <c r="F81" s="1167">
        <f>Deflators_original!D81</f>
        <v>7.8577064702787195E-3</v>
      </c>
      <c r="G81" s="1167">
        <f>Deflators_original!E81</f>
        <v>55.930999999999997</v>
      </c>
      <c r="H81" s="1167">
        <f>Deflators_original!F81</f>
        <v>3.5886669896465499E-3</v>
      </c>
      <c r="I81" s="1167">
        <f>Deflators_original!G81</f>
        <v>46.363999999999997</v>
      </c>
      <c r="J81" s="1167">
        <f>Deflators_original!H81</f>
        <v>1.46849626857506E-2</v>
      </c>
      <c r="K81" s="1167">
        <f>Deflators_original!I81</f>
        <v>53.104999999999997</v>
      </c>
      <c r="L81" s="1167">
        <f>Deflators_original!J81</f>
        <v>5.5099026773204303E-3</v>
      </c>
    </row>
    <row r="82" spans="1:12" x14ac:dyDescent="0.35">
      <c r="A82" s="1165" t="str">
        <f>Deflators_original!K82</f>
        <v>1990 Q1</v>
      </c>
      <c r="B82" s="1165" t="str">
        <f>Deflators_original!L82</f>
        <v>historical</v>
      </c>
      <c r="C82" s="1167">
        <f>Deflators_original!A82</f>
        <v>62.713000000000001</v>
      </c>
      <c r="D82" s="1167">
        <f>Deflators_original!B82</f>
        <v>0</v>
      </c>
      <c r="E82" s="1167">
        <f>Deflators_original!C82</f>
        <v>62.198999999999998</v>
      </c>
      <c r="F82" s="1167">
        <f>Deflators_original!D82</f>
        <v>1.4500081552764501E-2</v>
      </c>
      <c r="G82" s="1167">
        <f>Deflators_original!E82</f>
        <v>56.323</v>
      </c>
      <c r="H82" s="1167">
        <f>Deflators_original!F82</f>
        <v>7.0086356403427103E-3</v>
      </c>
      <c r="I82" s="1167">
        <f>Deflators_original!G82</f>
        <v>47.098999999999997</v>
      </c>
      <c r="J82" s="1167">
        <f>Deflators_original!H82</f>
        <v>1.5852816840652199E-2</v>
      </c>
      <c r="K82" s="1167">
        <f>Deflators_original!I82</f>
        <v>53.487000000000002</v>
      </c>
      <c r="L82" s="1167">
        <f>Deflators_original!J82</f>
        <v>7.1932962997835999E-3</v>
      </c>
    </row>
    <row r="83" spans="1:12" x14ac:dyDescent="0.35">
      <c r="A83" s="1165" t="str">
        <f>Deflators_original!K83</f>
        <v>1990 Q2</v>
      </c>
      <c r="B83" s="1165" t="str">
        <f>Deflators_original!L83</f>
        <v>historical</v>
      </c>
      <c r="C83" s="1167">
        <f>Deflators_original!A83</f>
        <v>63.414999999999999</v>
      </c>
      <c r="D83" s="1167">
        <f>Deflators_original!B83</f>
        <v>0</v>
      </c>
      <c r="E83" s="1167">
        <f>Deflators_original!C83</f>
        <v>62.764000000000003</v>
      </c>
      <c r="F83" s="1167">
        <f>Deflators_original!D83</f>
        <v>9.0837473271274706E-3</v>
      </c>
      <c r="G83" s="1167">
        <f>Deflators_original!E83</f>
        <v>57.29</v>
      </c>
      <c r="H83" s="1167">
        <f>Deflators_original!F83</f>
        <v>1.7168829785345199E-2</v>
      </c>
      <c r="I83" s="1167">
        <f>Deflators_original!G83</f>
        <v>47.601999999999997</v>
      </c>
      <c r="J83" s="1167">
        <f>Deflators_original!H83</f>
        <v>1.0679632263954599E-2</v>
      </c>
      <c r="K83" s="1167">
        <f>Deflators_original!I83</f>
        <v>53.959000000000003</v>
      </c>
      <c r="L83" s="1167">
        <f>Deflators_original!J83</f>
        <v>8.8245741955990092E-3</v>
      </c>
    </row>
    <row r="84" spans="1:12" x14ac:dyDescent="0.35">
      <c r="A84" s="1165" t="str">
        <f>Deflators_original!K84</f>
        <v>1990 Q3</v>
      </c>
      <c r="B84" s="1165" t="str">
        <f>Deflators_original!L84</f>
        <v>historical</v>
      </c>
      <c r="C84" s="1167">
        <f>Deflators_original!A84</f>
        <v>63.963000000000001</v>
      </c>
      <c r="D84" s="1167">
        <f>Deflators_original!B84</f>
        <v>0</v>
      </c>
      <c r="E84" s="1167">
        <f>Deflators_original!C84</f>
        <v>63.561</v>
      </c>
      <c r="F84" s="1167">
        <f>Deflators_original!D84</f>
        <v>1.2698362118411801E-2</v>
      </c>
      <c r="G84" s="1167">
        <f>Deflators_original!E84</f>
        <v>57.366999999999997</v>
      </c>
      <c r="H84" s="1167">
        <f>Deflators_original!F84</f>
        <v>1.34403909931913E-3</v>
      </c>
      <c r="I84" s="1167">
        <f>Deflators_original!G84</f>
        <v>48.293999999999997</v>
      </c>
      <c r="J84" s="1167">
        <f>Deflators_original!H84</f>
        <v>1.4537204319146299E-2</v>
      </c>
      <c r="K84" s="1167">
        <f>Deflators_original!I84</f>
        <v>54.482999999999997</v>
      </c>
      <c r="L84" s="1167">
        <f>Deflators_original!J84</f>
        <v>9.7110769287791499E-3</v>
      </c>
    </row>
    <row r="85" spans="1:12" x14ac:dyDescent="0.35">
      <c r="A85" s="1165" t="str">
        <f>Deflators_original!K85</f>
        <v>1990 Q4</v>
      </c>
      <c r="B85" s="1165" t="str">
        <f>Deflators_original!L85</f>
        <v>historical</v>
      </c>
      <c r="C85" s="1167">
        <f>Deflators_original!A85</f>
        <v>64.451999999999998</v>
      </c>
      <c r="D85" s="1167">
        <f>Deflators_original!B85</f>
        <v>0</v>
      </c>
      <c r="E85" s="1167">
        <f>Deflators_original!C85</f>
        <v>64.402000000000001</v>
      </c>
      <c r="F85" s="1167">
        <f>Deflators_original!D85</f>
        <v>1.3231384024795101E-2</v>
      </c>
      <c r="G85" s="1167">
        <f>Deflators_original!E85</f>
        <v>58.05</v>
      </c>
      <c r="H85" s="1167">
        <f>Deflators_original!F85</f>
        <v>1.19057995014555E-2</v>
      </c>
      <c r="I85" s="1167">
        <f>Deflators_original!G85</f>
        <v>49.207999999999998</v>
      </c>
      <c r="J85" s="1167">
        <f>Deflators_original!H85</f>
        <v>1.8925746469540702E-2</v>
      </c>
      <c r="K85" s="1167">
        <f>Deflators_original!I85</f>
        <v>54.628</v>
      </c>
      <c r="L85" s="1167">
        <f>Deflators_original!J85</f>
        <v>2.66138061413668E-3</v>
      </c>
    </row>
    <row r="86" spans="1:12" x14ac:dyDescent="0.35">
      <c r="A86" s="1165" t="str">
        <f>Deflators_original!K86</f>
        <v>1991 Q1</v>
      </c>
      <c r="B86" s="1165" t="str">
        <f>Deflators_original!L86</f>
        <v>historical</v>
      </c>
      <c r="C86" s="1167">
        <f>Deflators_original!A86</f>
        <v>65.078000000000003</v>
      </c>
      <c r="D86" s="1167">
        <f>Deflators_original!B86</f>
        <v>0</v>
      </c>
      <c r="E86" s="1167">
        <f>Deflators_original!C86</f>
        <v>64.739999999999995</v>
      </c>
      <c r="F86" s="1167">
        <f>Deflators_original!D86</f>
        <v>5.2482842147758601E-3</v>
      </c>
      <c r="G86" s="1167">
        <f>Deflators_original!E86</f>
        <v>58.570999999999998</v>
      </c>
      <c r="H86" s="1167">
        <f>Deflators_original!F86</f>
        <v>8.9750215331609907E-3</v>
      </c>
      <c r="I86" s="1167">
        <f>Deflators_original!G86</f>
        <v>49.442</v>
      </c>
      <c r="J86" s="1167">
        <f>Deflators_original!H86</f>
        <v>4.7553243375060301E-3</v>
      </c>
      <c r="K86" s="1167">
        <f>Deflators_original!I86</f>
        <v>54.735999999999997</v>
      </c>
      <c r="L86" s="1167">
        <f>Deflators_original!J86</f>
        <v>1.9770081276999601E-3</v>
      </c>
    </row>
    <row r="87" spans="1:12" x14ac:dyDescent="0.35">
      <c r="A87" s="1165" t="str">
        <f>Deflators_original!K87</f>
        <v>1991 Q2</v>
      </c>
      <c r="B87" s="1165" t="str">
        <f>Deflators_original!L87</f>
        <v>historical</v>
      </c>
      <c r="C87" s="1167">
        <f>Deflators_original!A87</f>
        <v>65.546999999999997</v>
      </c>
      <c r="D87" s="1167">
        <f>Deflators_original!B87</f>
        <v>0</v>
      </c>
      <c r="E87" s="1167">
        <f>Deflators_original!C87</f>
        <v>65.093999999999994</v>
      </c>
      <c r="F87" s="1167">
        <f>Deflators_original!D87</f>
        <v>5.4680259499535503E-3</v>
      </c>
      <c r="G87" s="1167">
        <f>Deflators_original!E87</f>
        <v>58.86</v>
      </c>
      <c r="H87" s="1167">
        <f>Deflators_original!F87</f>
        <v>4.9341824452373596E-3</v>
      </c>
      <c r="I87" s="1167">
        <f>Deflators_original!G87</f>
        <v>49.752000000000002</v>
      </c>
      <c r="J87" s="1167">
        <f>Deflators_original!H87</f>
        <v>6.2699728975366097E-3</v>
      </c>
      <c r="K87" s="1167">
        <f>Deflators_original!I87</f>
        <v>55.018000000000001</v>
      </c>
      <c r="L87" s="1167">
        <f>Deflators_original!J87</f>
        <v>5.1520023384976597E-3</v>
      </c>
    </row>
    <row r="88" spans="1:12" x14ac:dyDescent="0.35">
      <c r="A88" s="1165" t="str">
        <f>Deflators_original!K88</f>
        <v>1991 Q3</v>
      </c>
      <c r="B88" s="1165" t="str">
        <f>Deflators_original!L88</f>
        <v>historical</v>
      </c>
      <c r="C88" s="1167">
        <f>Deflators_original!A88</f>
        <v>66.05</v>
      </c>
      <c r="D88" s="1167">
        <f>Deflators_original!B88</f>
        <v>0</v>
      </c>
      <c r="E88" s="1167">
        <f>Deflators_original!C88</f>
        <v>65.536000000000001</v>
      </c>
      <c r="F88" s="1167">
        <f>Deflators_original!D88</f>
        <v>6.7901803545642502E-3</v>
      </c>
      <c r="G88" s="1167">
        <f>Deflators_original!E88</f>
        <v>59.616</v>
      </c>
      <c r="H88" s="1167">
        <f>Deflators_original!F88</f>
        <v>1.2844036697247801E-2</v>
      </c>
      <c r="I88" s="1167">
        <f>Deflators_original!G88</f>
        <v>50.226999999999997</v>
      </c>
      <c r="J88" s="1167">
        <f>Deflators_original!H88</f>
        <v>9.5473548802056402E-3</v>
      </c>
      <c r="K88" s="1167">
        <f>Deflators_original!I88</f>
        <v>55.164000000000001</v>
      </c>
      <c r="L88" s="1167">
        <f>Deflators_original!J88</f>
        <v>2.6536769784435399E-3</v>
      </c>
    </row>
    <row r="89" spans="1:12" x14ac:dyDescent="0.35">
      <c r="A89" s="1165" t="str">
        <f>Deflators_original!K89</f>
        <v>1991 Q4</v>
      </c>
      <c r="B89" s="1165" t="str">
        <f>Deflators_original!L89</f>
        <v>historical</v>
      </c>
      <c r="C89" s="1167">
        <f>Deflators_original!A89</f>
        <v>66.433999999999997</v>
      </c>
      <c r="D89" s="1167">
        <f>Deflators_original!B89</f>
        <v>0</v>
      </c>
      <c r="E89" s="1167">
        <f>Deflators_original!C89</f>
        <v>66.012</v>
      </c>
      <c r="F89" s="1167">
        <f>Deflators_original!D89</f>
        <v>7.26318359375E-3</v>
      </c>
      <c r="G89" s="1167">
        <f>Deflators_original!E89</f>
        <v>60.219000000000001</v>
      </c>
      <c r="H89" s="1167">
        <f>Deflators_original!F89</f>
        <v>1.0114734299516899E-2</v>
      </c>
      <c r="I89" s="1167">
        <f>Deflators_original!G89</f>
        <v>50.798000000000002</v>
      </c>
      <c r="J89" s="1167">
        <f>Deflators_original!H89</f>
        <v>1.13683875206563E-2</v>
      </c>
      <c r="K89" s="1167">
        <f>Deflators_original!I89</f>
        <v>55.026000000000003</v>
      </c>
      <c r="L89" s="1167">
        <f>Deflators_original!J89</f>
        <v>-2.5016314988035599E-3</v>
      </c>
    </row>
    <row r="90" spans="1:12" x14ac:dyDescent="0.35">
      <c r="A90" s="1165" t="str">
        <f>Deflators_original!K90</f>
        <v>1992 Q1</v>
      </c>
      <c r="B90" s="1165" t="str">
        <f>Deflators_original!L90</f>
        <v>historical</v>
      </c>
      <c r="C90" s="1167">
        <f>Deflators_original!A90</f>
        <v>66.7</v>
      </c>
      <c r="D90" s="1167">
        <f>Deflators_original!B90</f>
        <v>0</v>
      </c>
      <c r="E90" s="1167">
        <f>Deflators_original!C90</f>
        <v>66.424999999999997</v>
      </c>
      <c r="F90" s="1167">
        <f>Deflators_original!D90</f>
        <v>6.2564382233532001E-3</v>
      </c>
      <c r="G90" s="1167">
        <f>Deflators_original!E90</f>
        <v>60.307000000000002</v>
      </c>
      <c r="H90" s="1167">
        <f>Deflators_original!F90</f>
        <v>1.4613328019394999E-3</v>
      </c>
      <c r="I90" s="1167">
        <f>Deflators_original!G90</f>
        <v>51.277999999999999</v>
      </c>
      <c r="J90" s="1167">
        <f>Deflators_original!H90</f>
        <v>9.4491909130280903E-3</v>
      </c>
      <c r="K90" s="1167">
        <f>Deflators_original!I90</f>
        <v>54.881999999999998</v>
      </c>
      <c r="L90" s="1167">
        <f>Deflators_original!J90</f>
        <v>-2.61694471704299E-3</v>
      </c>
    </row>
    <row r="91" spans="1:12" x14ac:dyDescent="0.35">
      <c r="A91" s="1165" t="str">
        <f>Deflators_original!K91</f>
        <v>1992 Q2</v>
      </c>
      <c r="B91" s="1165" t="str">
        <f>Deflators_original!L91</f>
        <v>historical</v>
      </c>
      <c r="C91" s="1167">
        <f>Deflators_original!A91</f>
        <v>67.097999999999999</v>
      </c>
      <c r="D91" s="1167">
        <f>Deflators_original!B91</f>
        <v>0</v>
      </c>
      <c r="E91" s="1167">
        <f>Deflators_original!C91</f>
        <v>66.867000000000004</v>
      </c>
      <c r="F91" s="1167">
        <f>Deflators_original!D91</f>
        <v>6.6541211893114101E-3</v>
      </c>
      <c r="G91" s="1167">
        <f>Deflators_original!E91</f>
        <v>60.527000000000001</v>
      </c>
      <c r="H91" s="1167">
        <f>Deflators_original!F91</f>
        <v>3.6480010612367502E-3</v>
      </c>
      <c r="I91" s="1167">
        <f>Deflators_original!G91</f>
        <v>51.975000000000001</v>
      </c>
      <c r="J91" s="1167">
        <f>Deflators_original!H91</f>
        <v>1.35925738133313E-2</v>
      </c>
      <c r="K91" s="1167">
        <f>Deflators_original!I91</f>
        <v>55.142000000000003</v>
      </c>
      <c r="L91" s="1167">
        <f>Deflators_original!J91</f>
        <v>4.7374366823367299E-3</v>
      </c>
    </row>
    <row r="92" spans="1:12" x14ac:dyDescent="0.35">
      <c r="A92" s="1165" t="str">
        <f>Deflators_original!K92</f>
        <v>1992 Q3</v>
      </c>
      <c r="B92" s="1165" t="str">
        <f>Deflators_original!L92</f>
        <v>historical</v>
      </c>
      <c r="C92" s="1167">
        <f>Deflators_original!A92</f>
        <v>67.418999999999997</v>
      </c>
      <c r="D92" s="1167">
        <f>Deflators_original!B92</f>
        <v>0</v>
      </c>
      <c r="E92" s="1167">
        <f>Deflators_original!C92</f>
        <v>67.293999999999997</v>
      </c>
      <c r="F92" s="1167">
        <f>Deflators_original!D92</f>
        <v>6.3858106390295398E-3</v>
      </c>
      <c r="G92" s="1167">
        <f>Deflators_original!E92</f>
        <v>61.055</v>
      </c>
      <c r="H92" s="1167">
        <f>Deflators_original!F92</f>
        <v>8.7233796487518108E-3</v>
      </c>
      <c r="I92" s="1167">
        <f>Deflators_original!G92</f>
        <v>52.42</v>
      </c>
      <c r="J92" s="1167">
        <f>Deflators_original!H92</f>
        <v>8.5618085618086592E-3</v>
      </c>
      <c r="K92" s="1167">
        <f>Deflators_original!I92</f>
        <v>55.253999999999998</v>
      </c>
      <c r="L92" s="1167">
        <f>Deflators_original!J92</f>
        <v>2.03111965470959E-3</v>
      </c>
    </row>
    <row r="93" spans="1:12" x14ac:dyDescent="0.35">
      <c r="A93" s="1165" t="str">
        <f>Deflators_original!K93</f>
        <v>1992 Q4</v>
      </c>
      <c r="B93" s="1165" t="str">
        <f>Deflators_original!L93</f>
        <v>historical</v>
      </c>
      <c r="C93" s="1167">
        <f>Deflators_original!A93</f>
        <v>67.894000000000005</v>
      </c>
      <c r="D93" s="1167">
        <f>Deflators_original!B93</f>
        <v>0</v>
      </c>
      <c r="E93" s="1167">
        <f>Deflators_original!C93</f>
        <v>67.763000000000005</v>
      </c>
      <c r="F93" s="1167">
        <f>Deflators_original!D93</f>
        <v>6.9694177787025203E-3</v>
      </c>
      <c r="G93" s="1167">
        <f>Deflators_original!E93</f>
        <v>61.439</v>
      </c>
      <c r="H93" s="1167">
        <f>Deflators_original!F93</f>
        <v>6.2894111866349496E-3</v>
      </c>
      <c r="I93" s="1167">
        <f>Deflators_original!G93</f>
        <v>52.802999999999997</v>
      </c>
      <c r="J93" s="1167">
        <f>Deflators_original!H93</f>
        <v>7.3063716138877001E-3</v>
      </c>
      <c r="K93" s="1167">
        <f>Deflators_original!I93</f>
        <v>55.506</v>
      </c>
      <c r="L93" s="1167">
        <f>Deflators_original!J93</f>
        <v>4.5607557823867896E-3</v>
      </c>
    </row>
    <row r="94" spans="1:12" x14ac:dyDescent="0.35">
      <c r="A94" s="1165" t="str">
        <f>Deflators_original!K94</f>
        <v>1993 Q1</v>
      </c>
      <c r="B94" s="1165" t="str">
        <f>Deflators_original!L94</f>
        <v>historical</v>
      </c>
      <c r="C94" s="1167">
        <f>Deflators_original!A94</f>
        <v>68.298000000000002</v>
      </c>
      <c r="D94" s="1167">
        <f>Deflators_original!B94</f>
        <v>0</v>
      </c>
      <c r="E94" s="1167">
        <f>Deflators_original!C94</f>
        <v>68.167000000000002</v>
      </c>
      <c r="F94" s="1167">
        <f>Deflators_original!D94</f>
        <v>5.9619556395083002E-3</v>
      </c>
      <c r="G94" s="1167">
        <f>Deflators_original!E94</f>
        <v>61.591999999999999</v>
      </c>
      <c r="H94" s="1167">
        <f>Deflators_original!F94</f>
        <v>2.49027490681808E-3</v>
      </c>
      <c r="I94" s="1167">
        <f>Deflators_original!G94</f>
        <v>53.091999999999999</v>
      </c>
      <c r="J94" s="1167">
        <f>Deflators_original!H94</f>
        <v>5.4731738726967504E-3</v>
      </c>
      <c r="K94" s="1167">
        <f>Deflators_original!I94</f>
        <v>55.918999999999997</v>
      </c>
      <c r="L94" s="1167">
        <f>Deflators_original!J94</f>
        <v>7.4406370482469298E-3</v>
      </c>
    </row>
    <row r="95" spans="1:12" x14ac:dyDescent="0.35">
      <c r="A95" s="1165" t="str">
        <f>Deflators_original!K95</f>
        <v>1993 Q2</v>
      </c>
      <c r="B95" s="1165" t="str">
        <f>Deflators_original!L95</f>
        <v>historical</v>
      </c>
      <c r="C95" s="1167">
        <f>Deflators_original!A95</f>
        <v>68.700999999999993</v>
      </c>
      <c r="D95" s="1167">
        <f>Deflators_original!B95</f>
        <v>0</v>
      </c>
      <c r="E95" s="1167">
        <f>Deflators_original!C95</f>
        <v>68.623999999999995</v>
      </c>
      <c r="F95" s="1167">
        <f>Deflators_original!D95</f>
        <v>6.7041236962166496E-3</v>
      </c>
      <c r="G95" s="1167">
        <f>Deflators_original!E95</f>
        <v>61.863</v>
      </c>
      <c r="H95" s="1167">
        <f>Deflators_original!F95</f>
        <v>4.3999220678010396E-3</v>
      </c>
      <c r="I95" s="1167">
        <f>Deflators_original!G95</f>
        <v>53.405999999999999</v>
      </c>
      <c r="J95" s="1167">
        <f>Deflators_original!H95</f>
        <v>5.91426203571155E-3</v>
      </c>
      <c r="K95" s="1167">
        <f>Deflators_original!I95</f>
        <v>56.244999999999997</v>
      </c>
      <c r="L95" s="1167">
        <f>Deflators_original!J95</f>
        <v>5.8298610490172802E-3</v>
      </c>
    </row>
    <row r="96" spans="1:12" x14ac:dyDescent="0.35">
      <c r="A96" s="1165" t="str">
        <f>Deflators_original!K96</f>
        <v>1993 Q3</v>
      </c>
      <c r="B96" s="1165" t="str">
        <f>Deflators_original!L96</f>
        <v>historical</v>
      </c>
      <c r="C96" s="1167">
        <f>Deflators_original!A96</f>
        <v>69.046000000000006</v>
      </c>
      <c r="D96" s="1167">
        <f>Deflators_original!B96</f>
        <v>0</v>
      </c>
      <c r="E96" s="1167">
        <f>Deflators_original!C96</f>
        <v>68.923000000000002</v>
      </c>
      <c r="F96" s="1167">
        <f>Deflators_original!D96</f>
        <v>4.3570762415483504E-3</v>
      </c>
      <c r="G96" s="1167">
        <f>Deflators_original!E96</f>
        <v>62.311</v>
      </c>
      <c r="H96" s="1167">
        <f>Deflators_original!F96</f>
        <v>7.2418085123580099E-3</v>
      </c>
      <c r="I96" s="1167">
        <f>Deflators_original!G96</f>
        <v>53.58</v>
      </c>
      <c r="J96" s="1167">
        <f>Deflators_original!H96</f>
        <v>3.2580608920345102E-3</v>
      </c>
      <c r="K96" s="1167">
        <f>Deflators_original!I96</f>
        <v>56.302</v>
      </c>
      <c r="L96" s="1167">
        <f>Deflators_original!J96</f>
        <v>1.01342341541466E-3</v>
      </c>
    </row>
    <row r="97" spans="1:12" x14ac:dyDescent="0.35">
      <c r="A97" s="1165" t="str">
        <f>Deflators_original!K97</f>
        <v>1993 Q4</v>
      </c>
      <c r="B97" s="1165" t="str">
        <f>Deflators_original!L97</f>
        <v>historical</v>
      </c>
      <c r="C97" s="1167">
        <f>Deflators_original!A97</f>
        <v>69.451999999999998</v>
      </c>
      <c r="D97" s="1167">
        <f>Deflators_original!B97</f>
        <v>0</v>
      </c>
      <c r="E97" s="1167">
        <f>Deflators_original!C97</f>
        <v>69.319999999999993</v>
      </c>
      <c r="F97" s="1167">
        <f>Deflators_original!D97</f>
        <v>5.7600510714854699E-3</v>
      </c>
      <c r="G97" s="1167">
        <f>Deflators_original!E97</f>
        <v>62.87</v>
      </c>
      <c r="H97" s="1167">
        <f>Deflators_original!F97</f>
        <v>8.9711286931681792E-3</v>
      </c>
      <c r="I97" s="1167">
        <f>Deflators_original!G97</f>
        <v>53.853999999999999</v>
      </c>
      <c r="J97" s="1167">
        <f>Deflators_original!H97</f>
        <v>5.1138484509145599E-3</v>
      </c>
      <c r="K97" s="1167">
        <f>Deflators_original!I97</f>
        <v>56.564999999999998</v>
      </c>
      <c r="L97" s="1167">
        <f>Deflators_original!J97</f>
        <v>4.6712372562254202E-3</v>
      </c>
    </row>
    <row r="98" spans="1:12" x14ac:dyDescent="0.35">
      <c r="A98" s="1165" t="str">
        <f>Deflators_original!K98</f>
        <v>1994 Q1</v>
      </c>
      <c r="B98" s="1165" t="str">
        <f>Deflators_original!L98</f>
        <v>historical</v>
      </c>
      <c r="C98" s="1167">
        <f>Deflators_original!A98</f>
        <v>69.807000000000002</v>
      </c>
      <c r="D98" s="1167">
        <f>Deflators_original!B98</f>
        <v>0</v>
      </c>
      <c r="E98" s="1167">
        <f>Deflators_original!C98</f>
        <v>69.567999999999998</v>
      </c>
      <c r="F98" s="1167">
        <f>Deflators_original!D98</f>
        <v>3.5776110790537402E-3</v>
      </c>
      <c r="G98" s="1167">
        <f>Deflators_original!E98</f>
        <v>63.158000000000001</v>
      </c>
      <c r="H98" s="1167">
        <f>Deflators_original!F98</f>
        <v>4.58088118339428E-3</v>
      </c>
      <c r="I98" s="1167">
        <f>Deflators_original!G98</f>
        <v>54.305</v>
      </c>
      <c r="J98" s="1167">
        <f>Deflators_original!H98</f>
        <v>8.3744940023024999E-3</v>
      </c>
      <c r="K98" s="1167">
        <f>Deflators_original!I98</f>
        <v>56.978000000000002</v>
      </c>
      <c r="L98" s="1167">
        <f>Deflators_original!J98</f>
        <v>7.3013347476356101E-3</v>
      </c>
    </row>
    <row r="99" spans="1:12" x14ac:dyDescent="0.35">
      <c r="A99" s="1165" t="str">
        <f>Deflators_original!K99</f>
        <v>1994 Q2</v>
      </c>
      <c r="B99" s="1165" t="str">
        <f>Deflators_original!L99</f>
        <v>historical</v>
      </c>
      <c r="C99" s="1167">
        <f>Deflators_original!A99</f>
        <v>70.14</v>
      </c>
      <c r="D99" s="1167">
        <f>Deflators_original!B99</f>
        <v>0</v>
      </c>
      <c r="E99" s="1167">
        <f>Deflators_original!C99</f>
        <v>69.956000000000003</v>
      </c>
      <c r="F99" s="1167">
        <f>Deflators_original!D99</f>
        <v>5.5772769089237296E-3</v>
      </c>
      <c r="G99" s="1167">
        <f>Deflators_original!E99</f>
        <v>63.688000000000002</v>
      </c>
      <c r="H99" s="1167">
        <f>Deflators_original!F99</f>
        <v>8.3916526805789503E-3</v>
      </c>
      <c r="I99" s="1167">
        <f>Deflators_original!G99</f>
        <v>54.621000000000002</v>
      </c>
      <c r="J99" s="1167">
        <f>Deflators_original!H99</f>
        <v>5.8189853604639899E-3</v>
      </c>
      <c r="K99" s="1167">
        <f>Deflators_original!I99</f>
        <v>57.225000000000001</v>
      </c>
      <c r="L99" s="1167">
        <f>Deflators_original!J99</f>
        <v>4.3350064937344203E-3</v>
      </c>
    </row>
    <row r="100" spans="1:12" x14ac:dyDescent="0.35">
      <c r="A100" s="1165" t="str">
        <f>Deflators_original!K100</f>
        <v>1994 Q3</v>
      </c>
      <c r="B100" s="1165" t="str">
        <f>Deflators_original!L100</f>
        <v>historical</v>
      </c>
      <c r="C100" s="1167">
        <f>Deflators_original!A100</f>
        <v>70.513999999999996</v>
      </c>
      <c r="D100" s="1167">
        <f>Deflators_original!B100</f>
        <v>0</v>
      </c>
      <c r="E100" s="1167">
        <f>Deflators_original!C100</f>
        <v>70.459000000000003</v>
      </c>
      <c r="F100" s="1167">
        <f>Deflators_original!D100</f>
        <v>7.1902338612841498E-3</v>
      </c>
      <c r="G100" s="1167">
        <f>Deflators_original!E100</f>
        <v>64.054000000000002</v>
      </c>
      <c r="H100" s="1167">
        <f>Deflators_original!F100</f>
        <v>5.7467654817233704E-3</v>
      </c>
      <c r="I100" s="1167">
        <f>Deflators_original!G100</f>
        <v>55.097999999999999</v>
      </c>
      <c r="J100" s="1167">
        <f>Deflators_original!H100</f>
        <v>8.7329049266764401E-3</v>
      </c>
      <c r="K100" s="1167">
        <f>Deflators_original!I100</f>
        <v>57.725999999999999</v>
      </c>
      <c r="L100" s="1167">
        <f>Deflators_original!J100</f>
        <v>8.7549148099605994E-3</v>
      </c>
    </row>
    <row r="101" spans="1:12" x14ac:dyDescent="0.35">
      <c r="A101" s="1165" t="str">
        <f>Deflators_original!K101</f>
        <v>1994 Q4</v>
      </c>
      <c r="B101" s="1165" t="str">
        <f>Deflators_original!L101</f>
        <v>historical</v>
      </c>
      <c r="C101" s="1167">
        <f>Deflators_original!A101</f>
        <v>70.906999999999996</v>
      </c>
      <c r="D101" s="1167">
        <f>Deflators_original!B101</f>
        <v>0</v>
      </c>
      <c r="E101" s="1167">
        <f>Deflators_original!C101</f>
        <v>70.789000000000001</v>
      </c>
      <c r="F101" s="1167">
        <f>Deflators_original!D101</f>
        <v>4.6835748449451896E-3</v>
      </c>
      <c r="G101" s="1167">
        <f>Deflators_original!E101</f>
        <v>64.58</v>
      </c>
      <c r="H101" s="1167">
        <f>Deflators_original!F101</f>
        <v>8.2118212757984494E-3</v>
      </c>
      <c r="I101" s="1167">
        <f>Deflators_original!G101</f>
        <v>55.569000000000003</v>
      </c>
      <c r="J101" s="1167">
        <f>Deflators_original!H101</f>
        <v>8.5484046607862095E-3</v>
      </c>
      <c r="K101" s="1167">
        <f>Deflators_original!I101</f>
        <v>58.207000000000001</v>
      </c>
      <c r="L101" s="1167">
        <f>Deflators_original!J101</f>
        <v>8.3324671725046907E-3</v>
      </c>
    </row>
    <row r="102" spans="1:12" x14ac:dyDescent="0.35">
      <c r="A102" s="1165" t="str">
        <f>Deflators_original!K102</f>
        <v>1995 Q1</v>
      </c>
      <c r="B102" s="1165" t="str">
        <f>Deflators_original!L102</f>
        <v>historical</v>
      </c>
      <c r="C102" s="1167">
        <f>Deflators_original!A102</f>
        <v>71.311000000000007</v>
      </c>
      <c r="D102" s="1167">
        <f>Deflators_original!B102</f>
        <v>0</v>
      </c>
      <c r="E102" s="1167">
        <f>Deflators_original!C102</f>
        <v>71.135999999999996</v>
      </c>
      <c r="F102" s="1167">
        <f>Deflators_original!D102</f>
        <v>4.9018915368206403E-3</v>
      </c>
      <c r="G102" s="1167">
        <f>Deflators_original!E102</f>
        <v>65.123999999999995</v>
      </c>
      <c r="H102" s="1167">
        <f>Deflators_original!F102</f>
        <v>8.4236605760297199E-3</v>
      </c>
      <c r="I102" s="1167">
        <f>Deflators_original!G102</f>
        <v>55.825000000000003</v>
      </c>
      <c r="J102" s="1167">
        <f>Deflators_original!H102</f>
        <v>4.6068851337977001E-3</v>
      </c>
      <c r="K102" s="1167">
        <f>Deflators_original!I102</f>
        <v>58.787999999999997</v>
      </c>
      <c r="L102" s="1167">
        <f>Deflators_original!J102</f>
        <v>9.9816173312487991E-3</v>
      </c>
    </row>
    <row r="103" spans="1:12" x14ac:dyDescent="0.35">
      <c r="A103" s="1165" t="str">
        <f>Deflators_original!K103</f>
        <v>1995 Q2</v>
      </c>
      <c r="B103" s="1165" t="str">
        <f>Deflators_original!L103</f>
        <v>historical</v>
      </c>
      <c r="C103" s="1167">
        <f>Deflators_original!A103</f>
        <v>71.661000000000001</v>
      </c>
      <c r="D103" s="1167">
        <f>Deflators_original!B103</f>
        <v>0</v>
      </c>
      <c r="E103" s="1167">
        <f>Deflators_original!C103</f>
        <v>71.549000000000007</v>
      </c>
      <c r="F103" s="1167">
        <f>Deflators_original!D103</f>
        <v>5.8057804768332196E-3</v>
      </c>
      <c r="G103" s="1167">
        <f>Deflators_original!E103</f>
        <v>65.558000000000007</v>
      </c>
      <c r="H103" s="1167">
        <f>Deflators_original!F103</f>
        <v>6.6642098151221702E-3</v>
      </c>
      <c r="I103" s="1167">
        <f>Deflators_original!G103</f>
        <v>56.253999999999998</v>
      </c>
      <c r="J103" s="1167">
        <f>Deflators_original!H103</f>
        <v>7.6847290640393896E-3</v>
      </c>
      <c r="K103" s="1167">
        <f>Deflators_original!I103</f>
        <v>59.207999999999998</v>
      </c>
      <c r="L103" s="1167">
        <f>Deflators_original!J103</f>
        <v>7.1443151663605998E-3</v>
      </c>
    </row>
    <row r="104" spans="1:12" x14ac:dyDescent="0.35">
      <c r="A104" s="1165" t="str">
        <f>Deflators_original!K104</f>
        <v>1995 Q3</v>
      </c>
      <c r="B104" s="1165" t="str">
        <f>Deflators_original!L104</f>
        <v>historical</v>
      </c>
      <c r="C104" s="1167">
        <f>Deflators_original!A104</f>
        <v>71.981999999999999</v>
      </c>
      <c r="D104" s="1167">
        <f>Deflators_original!B104</f>
        <v>0</v>
      </c>
      <c r="E104" s="1167">
        <f>Deflators_original!C104</f>
        <v>71.841999999999999</v>
      </c>
      <c r="F104" s="1167">
        <f>Deflators_original!D104</f>
        <v>4.0950956687024797E-3</v>
      </c>
      <c r="G104" s="1167">
        <f>Deflators_original!E104</f>
        <v>65.897000000000006</v>
      </c>
      <c r="H104" s="1167">
        <f>Deflators_original!F104</f>
        <v>5.1709936239665603E-3</v>
      </c>
      <c r="I104" s="1167">
        <f>Deflators_original!G104</f>
        <v>56.468000000000004</v>
      </c>
      <c r="J104" s="1167">
        <f>Deflators_original!H104</f>
        <v>3.8041739254097702E-3</v>
      </c>
      <c r="K104" s="1167">
        <f>Deflators_original!I104</f>
        <v>59.534999999999997</v>
      </c>
      <c r="L104" s="1167">
        <f>Deflators_original!J104</f>
        <v>5.5229023104985701E-3</v>
      </c>
    </row>
    <row r="105" spans="1:12" x14ac:dyDescent="0.35">
      <c r="A105" s="1165" t="str">
        <f>Deflators_original!K105</f>
        <v>1995 Q4</v>
      </c>
      <c r="B105" s="1165" t="str">
        <f>Deflators_original!L105</f>
        <v>historical</v>
      </c>
      <c r="C105" s="1167">
        <f>Deflators_original!A105</f>
        <v>72.322000000000003</v>
      </c>
      <c r="D105" s="1167">
        <f>Deflators_original!B105</f>
        <v>0</v>
      </c>
      <c r="E105" s="1167">
        <f>Deflators_original!C105</f>
        <v>72.158000000000001</v>
      </c>
      <c r="F105" s="1167">
        <f>Deflators_original!D105</f>
        <v>4.3985412432838702E-3</v>
      </c>
      <c r="G105" s="1167">
        <f>Deflators_original!E105</f>
        <v>66.807000000000002</v>
      </c>
      <c r="H105" s="1167">
        <f>Deflators_original!F105</f>
        <v>1.3809429867824E-2</v>
      </c>
      <c r="I105" s="1167">
        <f>Deflators_original!G105</f>
        <v>56.66</v>
      </c>
      <c r="J105" s="1167">
        <f>Deflators_original!H105</f>
        <v>3.4001558404759299E-3</v>
      </c>
      <c r="K105" s="1167">
        <f>Deflators_original!I105</f>
        <v>59.878</v>
      </c>
      <c r="L105" s="1167">
        <f>Deflators_original!J105</f>
        <v>5.7613168724279804E-3</v>
      </c>
    </row>
    <row r="106" spans="1:12" x14ac:dyDescent="0.35">
      <c r="A106" s="1165" t="str">
        <f>Deflators_original!K106</f>
        <v>1996 Q1</v>
      </c>
      <c r="B106" s="1165" t="str">
        <f>Deflators_original!L106</f>
        <v>historical</v>
      </c>
      <c r="C106" s="1167">
        <f>Deflators_original!A106</f>
        <v>72.655000000000001</v>
      </c>
      <c r="D106" s="1167">
        <f>Deflators_original!B106</f>
        <v>0</v>
      </c>
      <c r="E106" s="1167">
        <f>Deflators_original!C106</f>
        <v>72.558999999999997</v>
      </c>
      <c r="F106" s="1167">
        <f>Deflators_original!D106</f>
        <v>5.5572493694391297E-3</v>
      </c>
      <c r="G106" s="1167">
        <f>Deflators_original!E106</f>
        <v>66.963999999999999</v>
      </c>
      <c r="H106" s="1167">
        <f>Deflators_original!F106</f>
        <v>2.3500531381441801E-3</v>
      </c>
      <c r="I106" s="1167">
        <f>Deflators_original!G106</f>
        <v>57.283999999999999</v>
      </c>
      <c r="J106" s="1167">
        <f>Deflators_original!H106</f>
        <v>1.1013060360042499E-2</v>
      </c>
      <c r="K106" s="1167">
        <f>Deflators_original!I106</f>
        <v>60.198999999999998</v>
      </c>
      <c r="L106" s="1167">
        <f>Deflators_original!J106</f>
        <v>5.3609004976786804E-3</v>
      </c>
    </row>
    <row r="107" spans="1:12" x14ac:dyDescent="0.35">
      <c r="A107" s="1165" t="str">
        <f>Deflators_original!K107</f>
        <v>1996 Q2</v>
      </c>
      <c r="B107" s="1165" t="str">
        <f>Deflators_original!L107</f>
        <v>historical</v>
      </c>
      <c r="C107" s="1167">
        <f>Deflators_original!A107</f>
        <v>72.951999999999998</v>
      </c>
      <c r="D107" s="1167">
        <f>Deflators_original!B107</f>
        <v>0</v>
      </c>
      <c r="E107" s="1167">
        <f>Deflators_original!C107</f>
        <v>73.043999999999997</v>
      </c>
      <c r="F107" s="1167">
        <f>Deflators_original!D107</f>
        <v>6.6842156038533504E-3</v>
      </c>
      <c r="G107" s="1167">
        <f>Deflators_original!E107</f>
        <v>66.605000000000004</v>
      </c>
      <c r="H107" s="1167">
        <f>Deflators_original!F107</f>
        <v>-5.3610895406486199E-3</v>
      </c>
      <c r="I107" s="1167">
        <f>Deflators_original!G107</f>
        <v>57.366</v>
      </c>
      <c r="J107" s="1167">
        <f>Deflators_original!H107</f>
        <v>1.4314642832204999E-3</v>
      </c>
      <c r="K107" s="1167">
        <f>Deflators_original!I107</f>
        <v>60.265999999999998</v>
      </c>
      <c r="L107" s="1167">
        <f>Deflators_original!J107</f>
        <v>1.1129752985929999E-3</v>
      </c>
    </row>
    <row r="108" spans="1:12" x14ac:dyDescent="0.35">
      <c r="A108" s="1165" t="str">
        <f>Deflators_original!K108</f>
        <v>1996 Q3</v>
      </c>
      <c r="B108" s="1165" t="str">
        <f>Deflators_original!L108</f>
        <v>historical</v>
      </c>
      <c r="C108" s="1167">
        <f>Deflators_original!A108</f>
        <v>73.305999999999997</v>
      </c>
      <c r="D108" s="1167">
        <f>Deflators_original!B108</f>
        <v>0</v>
      </c>
      <c r="E108" s="1167">
        <f>Deflators_original!C108</f>
        <v>73.355999999999995</v>
      </c>
      <c r="F108" s="1167">
        <f>Deflators_original!D108</f>
        <v>4.2713980614423903E-3</v>
      </c>
      <c r="G108" s="1167">
        <f>Deflators_original!E108</f>
        <v>66.992000000000004</v>
      </c>
      <c r="H108" s="1167">
        <f>Deflators_original!F108</f>
        <v>5.8103745965016902E-3</v>
      </c>
      <c r="I108" s="1167">
        <f>Deflators_original!G108</f>
        <v>57.746000000000002</v>
      </c>
      <c r="J108" s="1167">
        <f>Deflators_original!H108</f>
        <v>6.62413276156615E-3</v>
      </c>
      <c r="K108" s="1167">
        <f>Deflators_original!I108</f>
        <v>60.564999999999998</v>
      </c>
      <c r="L108" s="1167">
        <f>Deflators_original!J108</f>
        <v>4.9613380678989998E-3</v>
      </c>
    </row>
    <row r="109" spans="1:12" x14ac:dyDescent="0.35">
      <c r="A109" s="1165" t="str">
        <f>Deflators_original!K109</f>
        <v>1996 Q4</v>
      </c>
      <c r="B109" s="1165" t="str">
        <f>Deflators_original!L109</f>
        <v>historical</v>
      </c>
      <c r="C109" s="1167">
        <f>Deflators_original!A109</f>
        <v>73.616</v>
      </c>
      <c r="D109" s="1167">
        <f>Deflators_original!B109</f>
        <v>0</v>
      </c>
      <c r="E109" s="1167">
        <f>Deflators_original!C109</f>
        <v>73.855999999999995</v>
      </c>
      <c r="F109" s="1167">
        <f>Deflators_original!D109</f>
        <v>6.8160750313539503E-3</v>
      </c>
      <c r="G109" s="1167">
        <f>Deflators_original!E109</f>
        <v>67.221999999999994</v>
      </c>
      <c r="H109" s="1167">
        <f>Deflators_original!F109</f>
        <v>3.4332457606875998E-3</v>
      </c>
      <c r="I109" s="1167">
        <f>Deflators_original!G109</f>
        <v>58.213999999999999</v>
      </c>
      <c r="J109" s="1167">
        <f>Deflators_original!H109</f>
        <v>8.1044574515982699E-3</v>
      </c>
      <c r="K109" s="1167">
        <f>Deflators_original!I109</f>
        <v>60.761000000000003</v>
      </c>
      <c r="L109" s="1167">
        <f>Deflators_original!J109</f>
        <v>3.2361925204327201E-3</v>
      </c>
    </row>
    <row r="110" spans="1:12" x14ac:dyDescent="0.35">
      <c r="A110" s="1165" t="str">
        <f>Deflators_original!K110</f>
        <v>1997 Q1</v>
      </c>
      <c r="B110" s="1165" t="str">
        <f>Deflators_original!L110</f>
        <v>historical</v>
      </c>
      <c r="C110" s="1167">
        <f>Deflators_original!A110</f>
        <v>73.945999999999998</v>
      </c>
      <c r="D110" s="1167">
        <f>Deflators_original!B110</f>
        <v>0</v>
      </c>
      <c r="E110" s="1167">
        <f>Deflators_original!C110</f>
        <v>74.182000000000002</v>
      </c>
      <c r="F110" s="1167">
        <f>Deflators_original!D110</f>
        <v>4.4139948006933797E-3</v>
      </c>
      <c r="G110" s="1167">
        <f>Deflators_original!E110</f>
        <v>67.450999999999993</v>
      </c>
      <c r="H110" s="1167">
        <f>Deflators_original!F110</f>
        <v>3.40662283181103E-3</v>
      </c>
      <c r="I110" s="1167">
        <f>Deflators_original!G110</f>
        <v>58.613</v>
      </c>
      <c r="J110" s="1167">
        <f>Deflators_original!H110</f>
        <v>6.8540213694301402E-3</v>
      </c>
      <c r="K110" s="1167">
        <f>Deflators_original!I110</f>
        <v>61.103999999999999</v>
      </c>
      <c r="L110" s="1167">
        <f>Deflators_original!J110</f>
        <v>5.6450683826796402E-3</v>
      </c>
    </row>
    <row r="111" spans="1:12" x14ac:dyDescent="0.35">
      <c r="A111" s="1165" t="str">
        <f>Deflators_original!K111</f>
        <v>1997 Q2</v>
      </c>
      <c r="B111" s="1165" t="str">
        <f>Deflators_original!L111</f>
        <v>historical</v>
      </c>
      <c r="C111" s="1167">
        <f>Deflators_original!A111</f>
        <v>74.313999999999993</v>
      </c>
      <c r="D111" s="1167">
        <f>Deflators_original!B111</f>
        <v>0</v>
      </c>
      <c r="E111" s="1167">
        <f>Deflators_original!C111</f>
        <v>74.367999999999995</v>
      </c>
      <c r="F111" s="1167">
        <f>Deflators_original!D111</f>
        <v>2.50734679571862E-3</v>
      </c>
      <c r="G111" s="1167">
        <f>Deflators_original!E111</f>
        <v>67.894999999999996</v>
      </c>
      <c r="H111" s="1167">
        <f>Deflators_original!F111</f>
        <v>6.5825562260011204E-3</v>
      </c>
      <c r="I111" s="1167">
        <f>Deflators_original!G111</f>
        <v>58.753</v>
      </c>
      <c r="J111" s="1167">
        <f>Deflators_original!H111</f>
        <v>2.3885486154948698E-3</v>
      </c>
      <c r="K111" s="1167">
        <f>Deflators_original!I111</f>
        <v>61.521000000000001</v>
      </c>
      <c r="L111" s="1167">
        <f>Deflators_original!J111</f>
        <v>6.8244304791831301E-3</v>
      </c>
    </row>
    <row r="112" spans="1:12" x14ac:dyDescent="0.35">
      <c r="A112" s="1165" t="str">
        <f>Deflators_original!K112</f>
        <v>1997 Q3</v>
      </c>
      <c r="B112" s="1165" t="str">
        <f>Deflators_original!L112</f>
        <v>historical</v>
      </c>
      <c r="C112" s="1167">
        <f>Deflators_original!A112</f>
        <v>74.534999999999997</v>
      </c>
      <c r="D112" s="1167">
        <f>Deflators_original!B112</f>
        <v>0</v>
      </c>
      <c r="E112" s="1167">
        <f>Deflators_original!C112</f>
        <v>74.563999999999993</v>
      </c>
      <c r="F112" s="1167">
        <f>Deflators_original!D112</f>
        <v>2.6355421686745698E-3</v>
      </c>
      <c r="G112" s="1167">
        <f>Deflators_original!E112</f>
        <v>68.051000000000002</v>
      </c>
      <c r="H112" s="1167">
        <f>Deflators_original!F112</f>
        <v>2.29766551292454E-3</v>
      </c>
      <c r="I112" s="1167">
        <f>Deflators_original!G112</f>
        <v>59.033999999999999</v>
      </c>
      <c r="J112" s="1167">
        <f>Deflators_original!H112</f>
        <v>4.7827344986639498E-3</v>
      </c>
      <c r="K112" s="1167">
        <f>Deflators_original!I112</f>
        <v>61.677</v>
      </c>
      <c r="L112" s="1167">
        <f>Deflators_original!J112</f>
        <v>2.5357195104109801E-3</v>
      </c>
    </row>
    <row r="113" spans="1:12" x14ac:dyDescent="0.35">
      <c r="A113" s="1165" t="str">
        <f>Deflators_original!K113</f>
        <v>1997 Q4</v>
      </c>
      <c r="B113" s="1165" t="str">
        <f>Deflators_original!L113</f>
        <v>historical</v>
      </c>
      <c r="C113" s="1167">
        <f>Deflators_original!A113</f>
        <v>74.802000000000007</v>
      </c>
      <c r="D113" s="1167">
        <f>Deflators_original!B113</f>
        <v>0</v>
      </c>
      <c r="E113" s="1167">
        <f>Deflators_original!C113</f>
        <v>74.798000000000002</v>
      </c>
      <c r="F113" s="1167">
        <f>Deflators_original!D113</f>
        <v>3.1382436564562099E-3</v>
      </c>
      <c r="G113" s="1167">
        <f>Deflators_original!E113</f>
        <v>68.528000000000006</v>
      </c>
      <c r="H113" s="1167">
        <f>Deflators_original!F113</f>
        <v>7.0094487957561603E-3</v>
      </c>
      <c r="I113" s="1167">
        <f>Deflators_original!G113</f>
        <v>59.515999999999998</v>
      </c>
      <c r="J113" s="1167">
        <f>Deflators_original!H113</f>
        <v>8.1647863942813093E-3</v>
      </c>
      <c r="K113" s="1167">
        <f>Deflators_original!I113</f>
        <v>62.073999999999998</v>
      </c>
      <c r="L113" s="1167">
        <f>Deflators_original!J113</f>
        <v>6.4367592457479396E-3</v>
      </c>
    </row>
    <row r="114" spans="1:12" x14ac:dyDescent="0.35">
      <c r="A114" s="1165" t="str">
        <f>Deflators_original!K114</f>
        <v>1998 Q1</v>
      </c>
      <c r="B114" s="1165" t="str">
        <f>Deflators_original!L114</f>
        <v>historical</v>
      </c>
      <c r="C114" s="1167">
        <f>Deflators_original!A114</f>
        <v>74.878</v>
      </c>
      <c r="D114" s="1167">
        <f>Deflators_original!B114</f>
        <v>0</v>
      </c>
      <c r="E114" s="1167">
        <f>Deflators_original!C114</f>
        <v>74.804000000000002</v>
      </c>
      <c r="F114" s="1167">
        <f>Deflators_original!D114</f>
        <v>8.0216048557346694E-5</v>
      </c>
      <c r="G114" s="1167">
        <f>Deflators_original!E114</f>
        <v>68.241</v>
      </c>
      <c r="H114" s="1167">
        <f>Deflators_original!F114</f>
        <v>-4.1880691104366798E-3</v>
      </c>
      <c r="I114" s="1167">
        <f>Deflators_original!G114</f>
        <v>59.61</v>
      </c>
      <c r="J114" s="1167">
        <f>Deflators_original!H114</f>
        <v>1.57940721822714E-3</v>
      </c>
      <c r="K114" s="1167">
        <f>Deflators_original!I114</f>
        <v>62.094999999999999</v>
      </c>
      <c r="L114" s="1167">
        <f>Deflators_original!J114</f>
        <v>3.3830589296646201E-4</v>
      </c>
    </row>
    <row r="115" spans="1:12" x14ac:dyDescent="0.35">
      <c r="A115" s="1165" t="str">
        <f>Deflators_original!K115</f>
        <v>1998 Q2</v>
      </c>
      <c r="B115" s="1165" t="str">
        <f>Deflators_original!L115</f>
        <v>historical</v>
      </c>
      <c r="C115" s="1167">
        <f>Deflators_original!A115</f>
        <v>75.072000000000003</v>
      </c>
      <c r="D115" s="1167">
        <f>Deflators_original!B115</f>
        <v>0</v>
      </c>
      <c r="E115" s="1167">
        <f>Deflators_original!C115</f>
        <v>74.938999999999993</v>
      </c>
      <c r="F115" s="1167">
        <f>Deflators_original!D115</f>
        <v>1.80471632533008E-3</v>
      </c>
      <c r="G115" s="1167">
        <f>Deflators_original!E115</f>
        <v>68.680000000000007</v>
      </c>
      <c r="H115" s="1167">
        <f>Deflators_original!F115</f>
        <v>6.4330827508389801E-3</v>
      </c>
      <c r="I115" s="1167">
        <f>Deflators_original!G115</f>
        <v>59.927</v>
      </c>
      <c r="J115" s="1167">
        <f>Deflators_original!H115</f>
        <v>5.3178996812615099E-3</v>
      </c>
      <c r="K115" s="1167">
        <f>Deflators_original!I115</f>
        <v>62.134</v>
      </c>
      <c r="L115" s="1167">
        <f>Deflators_original!J115</f>
        <v>6.2806989290598004E-4</v>
      </c>
    </row>
    <row r="116" spans="1:12" x14ac:dyDescent="0.35">
      <c r="A116" s="1165" t="str">
        <f>Deflators_original!K116</f>
        <v>1998 Q3</v>
      </c>
      <c r="B116" s="1165" t="str">
        <f>Deflators_original!L116</f>
        <v>historical</v>
      </c>
      <c r="C116" s="1167">
        <f>Deflators_original!A116</f>
        <v>75.363</v>
      </c>
      <c r="D116" s="1167">
        <f>Deflators_original!B116</f>
        <v>0</v>
      </c>
      <c r="E116" s="1167">
        <f>Deflators_original!C116</f>
        <v>75.17</v>
      </c>
      <c r="F116" s="1167">
        <f>Deflators_original!D116</f>
        <v>3.0825071057794E-3</v>
      </c>
      <c r="G116" s="1167">
        <f>Deflators_original!E116</f>
        <v>69.129000000000005</v>
      </c>
      <c r="H116" s="1167">
        <f>Deflators_original!F116</f>
        <v>6.5375655212580597E-3</v>
      </c>
      <c r="I116" s="1167">
        <f>Deflators_original!G116</f>
        <v>60.395000000000003</v>
      </c>
      <c r="J116" s="1167">
        <f>Deflators_original!H116</f>
        <v>7.8095015602317498E-3</v>
      </c>
      <c r="K116" s="1167">
        <f>Deflators_original!I116</f>
        <v>62.517000000000003</v>
      </c>
      <c r="L116" s="1167">
        <f>Deflators_original!J116</f>
        <v>6.1640969517495802E-3</v>
      </c>
    </row>
    <row r="117" spans="1:12" x14ac:dyDescent="0.35">
      <c r="A117" s="1165" t="str">
        <f>Deflators_original!K117</f>
        <v>1998 Q4</v>
      </c>
      <c r="B117" s="1165" t="str">
        <f>Deflators_original!L117</f>
        <v>historical</v>
      </c>
      <c r="C117" s="1167">
        <f>Deflators_original!A117</f>
        <v>75.564999999999998</v>
      </c>
      <c r="D117" s="1167">
        <f>Deflators_original!B117</f>
        <v>0</v>
      </c>
      <c r="E117" s="1167">
        <f>Deflators_original!C117</f>
        <v>75.369</v>
      </c>
      <c r="F117" s="1167">
        <f>Deflators_original!D117</f>
        <v>2.6473327125182702E-3</v>
      </c>
      <c r="G117" s="1167">
        <f>Deflators_original!E117</f>
        <v>69.350999999999999</v>
      </c>
      <c r="H117" s="1167">
        <f>Deflators_original!F117</f>
        <v>3.2113874061536801E-3</v>
      </c>
      <c r="I117" s="1167">
        <f>Deflators_original!G117</f>
        <v>60.939</v>
      </c>
      <c r="J117" s="1167">
        <f>Deflators_original!H117</f>
        <v>9.0073681596158899E-3</v>
      </c>
      <c r="K117" s="1167">
        <f>Deflators_original!I117</f>
        <v>62.87</v>
      </c>
      <c r="L117" s="1167">
        <f>Deflators_original!J117</f>
        <v>5.6464641617479704E-3</v>
      </c>
    </row>
    <row r="118" spans="1:12" x14ac:dyDescent="0.35">
      <c r="A118" s="1165" t="str">
        <f>Deflators_original!K118</f>
        <v>1999 Q1</v>
      </c>
      <c r="B118" s="1165" t="str">
        <f>Deflators_original!L118</f>
        <v>historical</v>
      </c>
      <c r="C118" s="1167">
        <f>Deflators_original!A118</f>
        <v>75.769000000000005</v>
      </c>
      <c r="D118" s="1167">
        <f>Deflators_original!B118</f>
        <v>0</v>
      </c>
      <c r="E118" s="1167">
        <f>Deflators_original!C118</f>
        <v>75.516999999999996</v>
      </c>
      <c r="F118" s="1167">
        <f>Deflators_original!D118</f>
        <v>1.9636720667648398E-3</v>
      </c>
      <c r="G118" s="1167">
        <f>Deflators_original!E118</f>
        <v>69.557000000000002</v>
      </c>
      <c r="H118" s="1167">
        <f>Deflators_original!F118</f>
        <v>2.9703969661576402E-3</v>
      </c>
      <c r="I118" s="1167">
        <f>Deflators_original!G118</f>
        <v>61.46</v>
      </c>
      <c r="J118" s="1167">
        <f>Deflators_original!H118</f>
        <v>8.5495331396971998E-3</v>
      </c>
      <c r="K118" s="1167">
        <f>Deflators_original!I118</f>
        <v>63.122</v>
      </c>
      <c r="L118" s="1167">
        <f>Deflators_original!J118</f>
        <v>4.0082710354700799E-3</v>
      </c>
    </row>
    <row r="119" spans="1:12" x14ac:dyDescent="0.35">
      <c r="A119" s="1165" t="str">
        <f>Deflators_original!K119</f>
        <v>1999 Q2</v>
      </c>
      <c r="B119" s="1165" t="str">
        <f>Deflators_original!L119</f>
        <v>historical</v>
      </c>
      <c r="C119" s="1167">
        <f>Deflators_original!A119</f>
        <v>76.111999999999995</v>
      </c>
      <c r="D119" s="1167">
        <f>Deflators_original!B119</f>
        <v>0</v>
      </c>
      <c r="E119" s="1167">
        <f>Deflators_original!C119</f>
        <v>75.947000000000003</v>
      </c>
      <c r="F119" s="1167">
        <f>Deflators_original!D119</f>
        <v>5.6940821272031296E-3</v>
      </c>
      <c r="G119" s="1167">
        <f>Deflators_original!E119</f>
        <v>70.141999999999996</v>
      </c>
      <c r="H119" s="1167">
        <f>Deflators_original!F119</f>
        <v>8.4103684747760497E-3</v>
      </c>
      <c r="I119" s="1167">
        <f>Deflators_original!G119</f>
        <v>62.381999999999998</v>
      </c>
      <c r="J119" s="1167">
        <f>Deflators_original!H119</f>
        <v>1.5001627074519901E-2</v>
      </c>
      <c r="K119" s="1167">
        <f>Deflators_original!I119</f>
        <v>63.59</v>
      </c>
      <c r="L119" s="1167">
        <f>Deflators_original!J119</f>
        <v>7.4142137448116596E-3</v>
      </c>
    </row>
    <row r="120" spans="1:12" x14ac:dyDescent="0.35">
      <c r="A120" s="1165" t="str">
        <f>Deflators_original!K120</f>
        <v>1999 Q3</v>
      </c>
      <c r="B120" s="1165" t="str">
        <f>Deflators_original!L120</f>
        <v>historical</v>
      </c>
      <c r="C120" s="1167">
        <f>Deflators_original!A120</f>
        <v>76.403999999999996</v>
      </c>
      <c r="D120" s="1167">
        <f>Deflators_original!B120</f>
        <v>0</v>
      </c>
      <c r="E120" s="1167">
        <f>Deflators_original!C120</f>
        <v>76.364999999999995</v>
      </c>
      <c r="F120" s="1167">
        <f>Deflators_original!D120</f>
        <v>5.5038382029572999E-3</v>
      </c>
      <c r="G120" s="1167">
        <f>Deflators_original!E120</f>
        <v>70.778999999999996</v>
      </c>
      <c r="H120" s="1167">
        <f>Deflators_original!F120</f>
        <v>9.0815773716175201E-3</v>
      </c>
      <c r="I120" s="1167">
        <f>Deflators_original!G120</f>
        <v>63.246000000000002</v>
      </c>
      <c r="J120" s="1167">
        <f>Deflators_original!H120</f>
        <v>1.3850149081466E-2</v>
      </c>
      <c r="K120" s="1167">
        <f>Deflators_original!I120</f>
        <v>63.857999999999997</v>
      </c>
      <c r="L120" s="1167">
        <f>Deflators_original!J120</f>
        <v>4.2144991350840898E-3</v>
      </c>
    </row>
    <row r="121" spans="1:12" x14ac:dyDescent="0.35">
      <c r="A121" s="1165" t="str">
        <f>Deflators_original!K121</f>
        <v>1999 Q4</v>
      </c>
      <c r="B121" s="1165" t="str">
        <f>Deflators_original!L121</f>
        <v>historical</v>
      </c>
      <c r="C121" s="1167">
        <f>Deflators_original!A121</f>
        <v>76.805999999999997</v>
      </c>
      <c r="D121" s="1167">
        <f>Deflators_original!B121</f>
        <v>0</v>
      </c>
      <c r="E121" s="1167">
        <f>Deflators_original!C121</f>
        <v>76.828000000000003</v>
      </c>
      <c r="F121" s="1167">
        <f>Deflators_original!D121</f>
        <v>6.06298697047092E-3</v>
      </c>
      <c r="G121" s="1167">
        <f>Deflators_original!E121</f>
        <v>71.649000000000001</v>
      </c>
      <c r="H121" s="1167">
        <f>Deflators_original!F121</f>
        <v>1.22917814606027E-2</v>
      </c>
      <c r="I121" s="1167">
        <f>Deflators_original!G121</f>
        <v>64.018000000000001</v>
      </c>
      <c r="J121" s="1167">
        <f>Deflators_original!H121</f>
        <v>1.2206305537109099E-2</v>
      </c>
      <c r="K121" s="1167">
        <f>Deflators_original!I121</f>
        <v>64.402000000000001</v>
      </c>
      <c r="L121" s="1167">
        <f>Deflators_original!J121</f>
        <v>8.5189013122866104E-3</v>
      </c>
    </row>
    <row r="122" spans="1:12" x14ac:dyDescent="0.35">
      <c r="A122" s="1165" t="str">
        <f>Deflators_original!K122</f>
        <v>2000 Q1</v>
      </c>
      <c r="B122" s="1165" t="str">
        <f>Deflators_original!L122</f>
        <v>historical</v>
      </c>
      <c r="C122" s="1167">
        <f>Deflators_original!A122</f>
        <v>77.317999999999998</v>
      </c>
      <c r="D122" s="1167">
        <f>Deflators_original!B122</f>
        <v>0</v>
      </c>
      <c r="E122" s="1167">
        <f>Deflators_original!C122</f>
        <v>77.451999999999998</v>
      </c>
      <c r="F122" s="1167">
        <f>Deflators_original!D122</f>
        <v>8.1220388400062796E-3</v>
      </c>
      <c r="G122" s="1167">
        <f>Deflators_original!E122</f>
        <v>72.346999999999994</v>
      </c>
      <c r="H122" s="1167">
        <f>Deflators_original!F122</f>
        <v>9.7419363843178602E-3</v>
      </c>
      <c r="I122" s="1167">
        <f>Deflators_original!G122</f>
        <v>64.912000000000006</v>
      </c>
      <c r="J122" s="1167">
        <f>Deflators_original!H122</f>
        <v>1.3964822393701899E-2</v>
      </c>
      <c r="K122" s="1167">
        <f>Deflators_original!I122</f>
        <v>64.912000000000006</v>
      </c>
      <c r="L122" s="1167">
        <f>Deflators_original!J122</f>
        <v>7.9190087264371396E-3</v>
      </c>
    </row>
    <row r="123" spans="1:12" x14ac:dyDescent="0.35">
      <c r="A123" s="1165" t="str">
        <f>Deflators_original!K123</f>
        <v>2000 Q2</v>
      </c>
      <c r="B123" s="1165" t="str">
        <f>Deflators_original!L123</f>
        <v>historical</v>
      </c>
      <c r="C123" s="1167">
        <f>Deflators_original!A123</f>
        <v>77.783000000000001</v>
      </c>
      <c r="D123" s="1167">
        <f>Deflators_original!B123</f>
        <v>0</v>
      </c>
      <c r="E123" s="1167">
        <f>Deflators_original!C123</f>
        <v>77.820999999999998</v>
      </c>
      <c r="F123" s="1167">
        <f>Deflators_original!D123</f>
        <v>4.7642410783452797E-3</v>
      </c>
      <c r="G123" s="1167">
        <f>Deflators_original!E123</f>
        <v>72.625</v>
      </c>
      <c r="H123" s="1167">
        <f>Deflators_original!F123</f>
        <v>3.84259195267256E-3</v>
      </c>
      <c r="I123" s="1167">
        <f>Deflators_original!G123</f>
        <v>65.59</v>
      </c>
      <c r="J123" s="1167">
        <f>Deflators_original!H123</f>
        <v>1.0444910032043399E-2</v>
      </c>
      <c r="K123" s="1167">
        <f>Deflators_original!I123</f>
        <v>65.650999999999996</v>
      </c>
      <c r="L123" s="1167">
        <f>Deflators_original!J123</f>
        <v>1.13846438254868E-2</v>
      </c>
    </row>
    <row r="124" spans="1:12" x14ac:dyDescent="0.35">
      <c r="A124" s="1165" t="str">
        <f>Deflators_original!K124</f>
        <v>2000 Q3</v>
      </c>
      <c r="B124" s="1165" t="str">
        <f>Deflators_original!L124</f>
        <v>historical</v>
      </c>
      <c r="C124" s="1167">
        <f>Deflators_original!A124</f>
        <v>78.27</v>
      </c>
      <c r="D124" s="1167">
        <f>Deflators_original!B124</f>
        <v>0</v>
      </c>
      <c r="E124" s="1167">
        <f>Deflators_original!C124</f>
        <v>78.322999999999993</v>
      </c>
      <c r="F124" s="1167">
        <f>Deflators_original!D124</f>
        <v>6.4507009676051403E-3</v>
      </c>
      <c r="G124" s="1167">
        <f>Deflators_original!E124</f>
        <v>73.144999999999996</v>
      </c>
      <c r="H124" s="1167">
        <f>Deflators_original!F124</f>
        <v>7.16006884681586E-3</v>
      </c>
      <c r="I124" s="1167">
        <f>Deflators_original!G124</f>
        <v>66.358999999999995</v>
      </c>
      <c r="J124" s="1167">
        <f>Deflators_original!H124</f>
        <v>1.1724348223814501E-2</v>
      </c>
      <c r="K124" s="1167">
        <f>Deflators_original!I124</f>
        <v>66.081000000000003</v>
      </c>
      <c r="L124" s="1167">
        <f>Deflators_original!J124</f>
        <v>6.5497859895509202E-3</v>
      </c>
    </row>
    <row r="125" spans="1:12" x14ac:dyDescent="0.35">
      <c r="A125" s="1165" t="str">
        <f>Deflators_original!K125</f>
        <v>2000 Q4</v>
      </c>
      <c r="B125" s="1165" t="str">
        <f>Deflators_original!L125</f>
        <v>historical</v>
      </c>
      <c r="C125" s="1167">
        <f>Deflators_original!A125</f>
        <v>78.694000000000003</v>
      </c>
      <c r="D125" s="1167">
        <f>Deflators_original!B125</f>
        <v>0</v>
      </c>
      <c r="E125" s="1167">
        <f>Deflators_original!C125</f>
        <v>78.766000000000005</v>
      </c>
      <c r="F125" s="1167">
        <f>Deflators_original!D125</f>
        <v>5.6560652681845198E-3</v>
      </c>
      <c r="G125" s="1167">
        <f>Deflators_original!E125</f>
        <v>73.475999999999999</v>
      </c>
      <c r="H125" s="1167">
        <f>Deflators_original!F125</f>
        <v>4.5252580490806604E-3</v>
      </c>
      <c r="I125" s="1167">
        <f>Deflators_original!G125</f>
        <v>67.293000000000006</v>
      </c>
      <c r="J125" s="1167">
        <f>Deflators_original!H125</f>
        <v>1.40749559215783E-2</v>
      </c>
      <c r="K125" s="1167">
        <f>Deflators_original!I125</f>
        <v>66.47</v>
      </c>
      <c r="L125" s="1167">
        <f>Deflators_original!J125</f>
        <v>5.8867147894250396E-3</v>
      </c>
    </row>
    <row r="126" spans="1:12" x14ac:dyDescent="0.35">
      <c r="A126" s="1165" t="str">
        <f>Deflators_original!K126</f>
        <v>2001 Q1</v>
      </c>
      <c r="B126" s="1165" t="str">
        <f>Deflators_original!L126</f>
        <v>historical</v>
      </c>
      <c r="C126" s="1167">
        <f>Deflators_original!A126</f>
        <v>79.233000000000004</v>
      </c>
      <c r="D126" s="1167">
        <f>Deflators_original!B126</f>
        <v>0</v>
      </c>
      <c r="E126" s="1167">
        <f>Deflators_original!C126</f>
        <v>79.349000000000004</v>
      </c>
      <c r="F126" s="1167">
        <f>Deflators_original!D126</f>
        <v>7.4016707716526601E-3</v>
      </c>
      <c r="G126" s="1167">
        <f>Deflators_original!E126</f>
        <v>73.600999999999999</v>
      </c>
      <c r="H126" s="1167">
        <f>Deflators_original!F126</f>
        <v>1.7012357776688999E-3</v>
      </c>
      <c r="I126" s="1167">
        <f>Deflators_original!G126</f>
        <v>68.191000000000003</v>
      </c>
      <c r="J126" s="1167">
        <f>Deflators_original!H126</f>
        <v>1.33446272272004E-2</v>
      </c>
      <c r="K126" s="1167">
        <f>Deflators_original!I126</f>
        <v>66.88</v>
      </c>
      <c r="L126" s="1167">
        <f>Deflators_original!J126</f>
        <v>6.16819617872721E-3</v>
      </c>
    </row>
    <row r="127" spans="1:12" x14ac:dyDescent="0.35">
      <c r="A127" s="1165" t="str">
        <f>Deflators_original!K127</f>
        <v>2001 Q2</v>
      </c>
      <c r="B127" s="1165" t="str">
        <f>Deflators_original!L127</f>
        <v>historical</v>
      </c>
      <c r="C127" s="1167">
        <f>Deflators_original!A127</f>
        <v>79.760999999999996</v>
      </c>
      <c r="D127" s="1167">
        <f>Deflators_original!B127</f>
        <v>0</v>
      </c>
      <c r="E127" s="1167">
        <f>Deflators_original!C127</f>
        <v>79.721000000000004</v>
      </c>
      <c r="F127" s="1167">
        <f>Deflators_original!D127</f>
        <v>4.6881498191533302E-3</v>
      </c>
      <c r="G127" s="1167">
        <f>Deflators_original!E127</f>
        <v>73.988</v>
      </c>
      <c r="H127" s="1167">
        <f>Deflators_original!F127</f>
        <v>5.2580807325988098E-3</v>
      </c>
      <c r="I127" s="1167">
        <f>Deflators_original!G127</f>
        <v>68.48</v>
      </c>
      <c r="J127" s="1167">
        <f>Deflators_original!H127</f>
        <v>4.2380959364138899E-3</v>
      </c>
      <c r="K127" s="1167">
        <f>Deflators_original!I127</f>
        <v>67.052000000000007</v>
      </c>
      <c r="L127" s="1167">
        <f>Deflators_original!J127</f>
        <v>2.5717703349283898E-3</v>
      </c>
    </row>
    <row r="128" spans="1:12" x14ac:dyDescent="0.35">
      <c r="A128" s="1165" t="str">
        <f>Deflators_original!K128</f>
        <v>2001 Q3</v>
      </c>
      <c r="B128" s="1165" t="str">
        <f>Deflators_original!L128</f>
        <v>historical</v>
      </c>
      <c r="C128" s="1167">
        <f>Deflators_original!A128</f>
        <v>80.003</v>
      </c>
      <c r="D128" s="1167">
        <f>Deflators_original!B128</f>
        <v>0</v>
      </c>
      <c r="E128" s="1167">
        <f>Deflators_original!C128</f>
        <v>79.760999999999996</v>
      </c>
      <c r="F128" s="1167">
        <f>Deflators_original!D128</f>
        <v>5.0174985261097803E-4</v>
      </c>
      <c r="G128" s="1167">
        <f>Deflators_original!E128</f>
        <v>74.462000000000003</v>
      </c>
      <c r="H128" s="1167">
        <f>Deflators_original!F128</f>
        <v>6.4064442882629802E-3</v>
      </c>
      <c r="I128" s="1167">
        <f>Deflators_original!G128</f>
        <v>68.652000000000001</v>
      </c>
      <c r="J128" s="1167">
        <f>Deflators_original!H128</f>
        <v>2.5116822429906999E-3</v>
      </c>
      <c r="K128" s="1167">
        <f>Deflators_original!I128</f>
        <v>67.262</v>
      </c>
      <c r="L128" s="1167">
        <f>Deflators_original!J128</f>
        <v>3.1318976316887502E-3</v>
      </c>
    </row>
    <row r="129" spans="1:12" x14ac:dyDescent="0.35">
      <c r="A129" s="1165" t="str">
        <f>Deflators_original!K129</f>
        <v>2001 Q4</v>
      </c>
      <c r="B129" s="1165" t="str">
        <f>Deflators_original!L129</f>
        <v>historical</v>
      </c>
      <c r="C129" s="1167">
        <f>Deflators_original!A129</f>
        <v>80.260999999999996</v>
      </c>
      <c r="D129" s="1167">
        <f>Deflators_original!B129</f>
        <v>0</v>
      </c>
      <c r="E129" s="1167">
        <f>Deflators_original!C129</f>
        <v>79.793999999999997</v>
      </c>
      <c r="F129" s="1167">
        <f>Deflators_original!D129</f>
        <v>4.1373603640870699E-4</v>
      </c>
      <c r="G129" s="1167">
        <f>Deflators_original!E129</f>
        <v>74.944000000000003</v>
      </c>
      <c r="H129" s="1167">
        <f>Deflators_original!F129</f>
        <v>6.4731003733446996E-3</v>
      </c>
      <c r="I129" s="1167">
        <f>Deflators_original!G129</f>
        <v>68.728999999999999</v>
      </c>
      <c r="J129" s="1167">
        <f>Deflators_original!H129</f>
        <v>1.1215987880905901E-3</v>
      </c>
      <c r="K129" s="1167">
        <f>Deflators_original!I129</f>
        <v>67.623000000000005</v>
      </c>
      <c r="L129" s="1167">
        <f>Deflators_original!J129</f>
        <v>5.3670720466236803E-3</v>
      </c>
    </row>
    <row r="130" spans="1:12" x14ac:dyDescent="0.35">
      <c r="A130" s="1165" t="str">
        <f>Deflators_original!K130</f>
        <v>2002 Q1</v>
      </c>
      <c r="B130" s="1165" t="str">
        <f>Deflators_original!L130</f>
        <v>historical</v>
      </c>
      <c r="C130" s="1167">
        <f>Deflators_original!A130</f>
        <v>80.474999999999994</v>
      </c>
      <c r="D130" s="1167">
        <f>Deflators_original!B130</f>
        <v>0</v>
      </c>
      <c r="E130" s="1167">
        <f>Deflators_original!C130</f>
        <v>79.953999999999994</v>
      </c>
      <c r="F130" s="1167">
        <f>Deflators_original!D130</f>
        <v>2.0051632954858302E-3</v>
      </c>
      <c r="G130" s="1167">
        <f>Deflators_original!E130</f>
        <v>75.430000000000007</v>
      </c>
      <c r="H130" s="1167">
        <f>Deflators_original!F130</f>
        <v>6.4848420153715801E-3</v>
      </c>
      <c r="I130" s="1167">
        <f>Deflators_original!G130</f>
        <v>69.174999999999997</v>
      </c>
      <c r="J130" s="1167">
        <f>Deflators_original!H130</f>
        <v>6.4892548996784401E-3</v>
      </c>
      <c r="K130" s="1167">
        <f>Deflators_original!I130</f>
        <v>67.921000000000006</v>
      </c>
      <c r="L130" s="1167">
        <f>Deflators_original!J130</f>
        <v>4.4067846738535801E-3</v>
      </c>
    </row>
    <row r="131" spans="1:12" x14ac:dyDescent="0.35">
      <c r="A131" s="1165" t="str">
        <f>Deflators_original!K131</f>
        <v>2002 Q2</v>
      </c>
      <c r="B131" s="1165" t="str">
        <f>Deflators_original!L131</f>
        <v>historical</v>
      </c>
      <c r="C131" s="1167">
        <f>Deflators_original!A131</f>
        <v>80.793999999999997</v>
      </c>
      <c r="D131" s="1167">
        <f>Deflators_original!B131</f>
        <v>0</v>
      </c>
      <c r="E131" s="1167">
        <f>Deflators_original!C131</f>
        <v>80.546999999999997</v>
      </c>
      <c r="F131" s="1167">
        <f>Deflators_original!D131</f>
        <v>7.41676463966789E-3</v>
      </c>
      <c r="G131" s="1167">
        <f>Deflators_original!E131</f>
        <v>76.143000000000001</v>
      </c>
      <c r="H131" s="1167">
        <f>Deflators_original!F131</f>
        <v>9.4524724910511893E-3</v>
      </c>
      <c r="I131" s="1167">
        <f>Deflators_original!G131</f>
        <v>69.855999999999995</v>
      </c>
      <c r="J131" s="1167">
        <f>Deflators_original!H131</f>
        <v>9.8445970365015293E-3</v>
      </c>
      <c r="K131" s="1167">
        <f>Deflators_original!I131</f>
        <v>68.290000000000006</v>
      </c>
      <c r="L131" s="1167">
        <f>Deflators_original!J131</f>
        <v>5.4327822028532599E-3</v>
      </c>
    </row>
    <row r="132" spans="1:12" x14ac:dyDescent="0.35">
      <c r="A132" s="1165" t="str">
        <f>Deflators_original!K132</f>
        <v>2002 Q3</v>
      </c>
      <c r="B132" s="1165" t="str">
        <f>Deflators_original!L132</f>
        <v>historical</v>
      </c>
      <c r="C132" s="1167">
        <f>Deflators_original!A132</f>
        <v>81.155000000000001</v>
      </c>
      <c r="D132" s="1167">
        <f>Deflators_original!B132</f>
        <v>0</v>
      </c>
      <c r="E132" s="1167">
        <f>Deflators_original!C132</f>
        <v>80.963999999999999</v>
      </c>
      <c r="F132" s="1167">
        <f>Deflators_original!D132</f>
        <v>5.1771015680286397E-3</v>
      </c>
      <c r="G132" s="1167">
        <f>Deflators_original!E132</f>
        <v>76.796999999999997</v>
      </c>
      <c r="H132" s="1167">
        <f>Deflators_original!F132</f>
        <v>8.5891020842361297E-3</v>
      </c>
      <c r="I132" s="1167">
        <f>Deflators_original!G132</f>
        <v>70.427999999999997</v>
      </c>
      <c r="J132" s="1167">
        <f>Deflators_original!H132</f>
        <v>8.1882730187814393E-3</v>
      </c>
      <c r="K132" s="1167">
        <f>Deflators_original!I132</f>
        <v>68.5</v>
      </c>
      <c r="L132" s="1167">
        <f>Deflators_original!J132</f>
        <v>3.07512080831729E-3</v>
      </c>
    </row>
    <row r="133" spans="1:12" x14ac:dyDescent="0.35">
      <c r="A133" s="1165" t="str">
        <f>Deflators_original!K133</f>
        <v>2002 Q4</v>
      </c>
      <c r="B133" s="1165" t="str">
        <f>Deflators_original!L133</f>
        <v>historical</v>
      </c>
      <c r="C133" s="1167">
        <f>Deflators_original!A133</f>
        <v>81.626999999999995</v>
      </c>
      <c r="D133" s="1167">
        <f>Deflators_original!B133</f>
        <v>0</v>
      </c>
      <c r="E133" s="1167">
        <f>Deflators_original!C133</f>
        <v>81.341999999999999</v>
      </c>
      <c r="F133" s="1167">
        <f>Deflators_original!D133</f>
        <v>4.6687416629613799E-3</v>
      </c>
      <c r="G133" s="1167">
        <f>Deflators_original!E133</f>
        <v>78.22</v>
      </c>
      <c r="H133" s="1167">
        <f>Deflators_original!F133</f>
        <v>1.85293696368347E-2</v>
      </c>
      <c r="I133" s="1167">
        <f>Deflators_original!G133</f>
        <v>71.129000000000005</v>
      </c>
      <c r="J133" s="1167">
        <f>Deflators_original!H133</f>
        <v>9.9534276140171903E-3</v>
      </c>
      <c r="K133" s="1167">
        <f>Deflators_original!I133</f>
        <v>68.617999999999995</v>
      </c>
      <c r="L133" s="1167">
        <f>Deflators_original!J133</f>
        <v>1.7226277372262E-3</v>
      </c>
    </row>
    <row r="134" spans="1:12" x14ac:dyDescent="0.35">
      <c r="A134" s="1165" t="str">
        <f>Deflators_original!K134</f>
        <v>2003 Q1</v>
      </c>
      <c r="B134" s="1165" t="str">
        <f>Deflators_original!L134</f>
        <v>historical</v>
      </c>
      <c r="C134" s="1167">
        <f>Deflators_original!A134</f>
        <v>82.067999999999998</v>
      </c>
      <c r="D134" s="1167">
        <f>Deflators_original!B134</f>
        <v>0</v>
      </c>
      <c r="E134" s="1167">
        <f>Deflators_original!C134</f>
        <v>81.963999999999999</v>
      </c>
      <c r="F134" s="1167">
        <f>Deflators_original!D134</f>
        <v>7.6467261685231299E-3</v>
      </c>
      <c r="G134" s="1167">
        <f>Deflators_original!E134</f>
        <v>79.091999999999999</v>
      </c>
      <c r="H134" s="1167">
        <f>Deflators_original!F134</f>
        <v>1.11480439785221E-2</v>
      </c>
      <c r="I134" s="1167">
        <f>Deflators_original!G134</f>
        <v>72.244</v>
      </c>
      <c r="J134" s="1167">
        <f>Deflators_original!H134</f>
        <v>1.5675744070632099E-2</v>
      </c>
      <c r="K134" s="1167">
        <f>Deflators_original!I134</f>
        <v>69.186999999999998</v>
      </c>
      <c r="L134" s="1167">
        <f>Deflators_original!J134</f>
        <v>8.2922848232243104E-3</v>
      </c>
    </row>
    <row r="135" spans="1:12" x14ac:dyDescent="0.35">
      <c r="A135" s="1165" t="str">
        <f>Deflators_original!K135</f>
        <v>2003 Q2</v>
      </c>
      <c r="B135" s="1165" t="str">
        <f>Deflators_original!L135</f>
        <v>historical</v>
      </c>
      <c r="C135" s="1167">
        <f>Deflators_original!A135</f>
        <v>82.349000000000004</v>
      </c>
      <c r="D135" s="1167">
        <f>Deflators_original!B135</f>
        <v>0</v>
      </c>
      <c r="E135" s="1167">
        <f>Deflators_original!C135</f>
        <v>82.046000000000006</v>
      </c>
      <c r="F135" s="1167">
        <f>Deflators_original!D135</f>
        <v>1.0004392172173701E-3</v>
      </c>
      <c r="G135" s="1167">
        <f>Deflators_original!E135</f>
        <v>79.653999999999996</v>
      </c>
      <c r="H135" s="1167">
        <f>Deflators_original!F135</f>
        <v>7.1056491174834599E-3</v>
      </c>
      <c r="I135" s="1167">
        <f>Deflators_original!G135</f>
        <v>72.290999999999997</v>
      </c>
      <c r="J135" s="1167">
        <f>Deflators_original!H135</f>
        <v>6.5057305797022703E-4</v>
      </c>
      <c r="K135" s="1167">
        <f>Deflators_original!I135</f>
        <v>69.259</v>
      </c>
      <c r="L135" s="1167">
        <f>Deflators_original!J135</f>
        <v>1.0406579270672001E-3</v>
      </c>
    </row>
    <row r="136" spans="1:12" x14ac:dyDescent="0.35">
      <c r="A136" s="1165" t="str">
        <f>Deflators_original!K136</f>
        <v>2003 Q3</v>
      </c>
      <c r="B136" s="1165" t="str">
        <f>Deflators_original!L136</f>
        <v>historical</v>
      </c>
      <c r="C136" s="1167">
        <f>Deflators_original!A136</f>
        <v>82.822000000000003</v>
      </c>
      <c r="D136" s="1167">
        <f>Deflators_original!B136</f>
        <v>0</v>
      </c>
      <c r="E136" s="1167">
        <f>Deflators_original!C136</f>
        <v>82.587000000000003</v>
      </c>
      <c r="F136" s="1167">
        <f>Deflators_original!D136</f>
        <v>6.5938619798648901E-3</v>
      </c>
      <c r="G136" s="1167">
        <f>Deflators_original!E136</f>
        <v>80.375</v>
      </c>
      <c r="H136" s="1167">
        <f>Deflators_original!F136</f>
        <v>9.0516483792402198E-3</v>
      </c>
      <c r="I136" s="1167">
        <f>Deflators_original!G136</f>
        <v>72.872</v>
      </c>
      <c r="J136" s="1167">
        <f>Deflators_original!H136</f>
        <v>8.0369617241426994E-3</v>
      </c>
      <c r="K136" s="1167">
        <f>Deflators_original!I136</f>
        <v>69.346999999999994</v>
      </c>
      <c r="L136" s="1167">
        <f>Deflators_original!J136</f>
        <v>1.2705929915244299E-3</v>
      </c>
    </row>
    <row r="137" spans="1:12" x14ac:dyDescent="0.35">
      <c r="A137" s="1165" t="str">
        <f>Deflators_original!K137</f>
        <v>2003 Q4</v>
      </c>
      <c r="B137" s="1165" t="str">
        <f>Deflators_original!L137</f>
        <v>historical</v>
      </c>
      <c r="C137" s="1167">
        <f>Deflators_original!A137</f>
        <v>83.302000000000007</v>
      </c>
      <c r="D137" s="1167">
        <f>Deflators_original!B137</f>
        <v>0</v>
      </c>
      <c r="E137" s="1167">
        <f>Deflators_original!C137</f>
        <v>82.992999999999995</v>
      </c>
      <c r="F137" s="1167">
        <f>Deflators_original!D137</f>
        <v>4.9160279462867598E-3</v>
      </c>
      <c r="G137" s="1167">
        <f>Deflators_original!E137</f>
        <v>80.977000000000004</v>
      </c>
      <c r="H137" s="1167">
        <f>Deflators_original!F137</f>
        <v>7.4898911353034102E-3</v>
      </c>
      <c r="I137" s="1167">
        <f>Deflators_original!G137</f>
        <v>73.531999999999996</v>
      </c>
      <c r="J137" s="1167">
        <f>Deflators_original!H137</f>
        <v>9.0569766165331505E-3</v>
      </c>
      <c r="K137" s="1167">
        <f>Deflators_original!I137</f>
        <v>69.539000000000001</v>
      </c>
      <c r="L137" s="1167">
        <f>Deflators_original!J137</f>
        <v>2.7686850188184402E-3</v>
      </c>
    </row>
    <row r="138" spans="1:12" x14ac:dyDescent="0.35">
      <c r="A138" s="1165" t="str">
        <f>Deflators_original!K138</f>
        <v>2004 Q1</v>
      </c>
      <c r="B138" s="1165" t="str">
        <f>Deflators_original!L138</f>
        <v>historical</v>
      </c>
      <c r="C138" s="1167">
        <f>Deflators_original!A138</f>
        <v>83.899000000000001</v>
      </c>
      <c r="D138" s="1167">
        <f>Deflators_original!B138</f>
        <v>0</v>
      </c>
      <c r="E138" s="1167">
        <f>Deflators_original!C138</f>
        <v>83.632999999999996</v>
      </c>
      <c r="F138" s="1167">
        <f>Deflators_original!D138</f>
        <v>7.7114937404358904E-3</v>
      </c>
      <c r="G138" s="1167">
        <f>Deflators_original!E138</f>
        <v>81.665999999999997</v>
      </c>
      <c r="H138" s="1167">
        <f>Deflators_original!F138</f>
        <v>8.5085888585647602E-3</v>
      </c>
      <c r="I138" s="1167">
        <f>Deflators_original!G138</f>
        <v>74.569999999999993</v>
      </c>
      <c r="J138" s="1167">
        <f>Deflators_original!H138</f>
        <v>1.41163031061307E-2</v>
      </c>
      <c r="K138" s="1167">
        <f>Deflators_original!I138</f>
        <v>69.992000000000004</v>
      </c>
      <c r="L138" s="1167">
        <f>Deflators_original!J138</f>
        <v>6.5143300881520504E-3</v>
      </c>
    </row>
    <row r="139" spans="1:12" x14ac:dyDescent="0.35">
      <c r="A139" s="1165" t="str">
        <f>Deflators_original!K139</f>
        <v>2004 Q2</v>
      </c>
      <c r="B139" s="1165" t="str">
        <f>Deflators_original!L139</f>
        <v>historical</v>
      </c>
      <c r="C139" s="1167">
        <f>Deflators_original!A139</f>
        <v>84.58</v>
      </c>
      <c r="D139" s="1167">
        <f>Deflators_original!B139</f>
        <v>0</v>
      </c>
      <c r="E139" s="1167">
        <f>Deflators_original!C139</f>
        <v>84.195999999999998</v>
      </c>
      <c r="F139" s="1167">
        <f>Deflators_original!D139</f>
        <v>6.7317924742624803E-3</v>
      </c>
      <c r="G139" s="1167">
        <f>Deflators_original!E139</f>
        <v>82.375</v>
      </c>
      <c r="H139" s="1167">
        <f>Deflators_original!F139</f>
        <v>8.6817035241104606E-3</v>
      </c>
      <c r="I139" s="1167">
        <f>Deflators_original!G139</f>
        <v>75.561000000000007</v>
      </c>
      <c r="J139" s="1167">
        <f>Deflators_original!H139</f>
        <v>1.3289526619284101E-2</v>
      </c>
      <c r="K139" s="1167">
        <f>Deflators_original!I139</f>
        <v>71.278000000000006</v>
      </c>
      <c r="L139" s="1167">
        <f>Deflators_original!J139</f>
        <v>1.8373528403245999E-2</v>
      </c>
    </row>
    <row r="140" spans="1:12" x14ac:dyDescent="0.35">
      <c r="A140" s="1165" t="str">
        <f>Deflators_original!K140</f>
        <v>2004 Q3</v>
      </c>
      <c r="B140" s="1165" t="str">
        <f>Deflators_original!L140</f>
        <v>historical</v>
      </c>
      <c r="C140" s="1167">
        <f>Deflators_original!A140</f>
        <v>85.116</v>
      </c>
      <c r="D140" s="1167">
        <f>Deflators_original!B140</f>
        <v>0</v>
      </c>
      <c r="E140" s="1167">
        <f>Deflators_original!C140</f>
        <v>84.61</v>
      </c>
      <c r="F140" s="1167">
        <f>Deflators_original!D140</f>
        <v>4.9170981994395299E-3</v>
      </c>
      <c r="G140" s="1167">
        <f>Deflators_original!E140</f>
        <v>83.129000000000005</v>
      </c>
      <c r="H140" s="1167">
        <f>Deflators_original!F140</f>
        <v>9.1532625189680895E-3</v>
      </c>
      <c r="I140" s="1167">
        <f>Deflators_original!G140</f>
        <v>76.591999999999999</v>
      </c>
      <c r="J140" s="1167">
        <f>Deflators_original!H140</f>
        <v>1.3644605021108799E-2</v>
      </c>
      <c r="K140" s="1167">
        <f>Deflators_original!I140</f>
        <v>73.197000000000003</v>
      </c>
      <c r="L140" s="1167">
        <f>Deflators_original!J140</f>
        <v>2.6922753163668899E-2</v>
      </c>
    </row>
    <row r="141" spans="1:12" x14ac:dyDescent="0.35">
      <c r="A141" s="1165" t="str">
        <f>Deflators_original!K141</f>
        <v>2004 Q4</v>
      </c>
      <c r="B141" s="1165" t="str">
        <f>Deflators_original!L141</f>
        <v>historical</v>
      </c>
      <c r="C141" s="1167">
        <f>Deflators_original!A141</f>
        <v>85.772000000000006</v>
      </c>
      <c r="D141" s="1167">
        <f>Deflators_original!B141</f>
        <v>0</v>
      </c>
      <c r="E141" s="1167">
        <f>Deflators_original!C141</f>
        <v>85.332999999999998</v>
      </c>
      <c r="F141" s="1167">
        <f>Deflators_original!D141</f>
        <v>8.5450892329512803E-3</v>
      </c>
      <c r="G141" s="1167">
        <f>Deflators_original!E141</f>
        <v>83.938000000000002</v>
      </c>
      <c r="H141" s="1167">
        <f>Deflators_original!F141</f>
        <v>9.7318625269160498E-3</v>
      </c>
      <c r="I141" s="1167">
        <f>Deflators_original!G141</f>
        <v>77.790000000000006</v>
      </c>
      <c r="J141" s="1167">
        <f>Deflators_original!H141</f>
        <v>1.5641320242323099E-2</v>
      </c>
      <c r="K141" s="1167">
        <f>Deflators_original!I141</f>
        <v>74.954999999999998</v>
      </c>
      <c r="L141" s="1167">
        <f>Deflators_original!J141</f>
        <v>2.4017377761383699E-2</v>
      </c>
    </row>
    <row r="142" spans="1:12" x14ac:dyDescent="0.35">
      <c r="A142" s="1165" t="str">
        <f>Deflators_original!K142</f>
        <v>2005 Q1</v>
      </c>
      <c r="B142" s="1165" t="str">
        <f>Deflators_original!L142</f>
        <v>historical</v>
      </c>
      <c r="C142" s="1167">
        <f>Deflators_original!A142</f>
        <v>86.43</v>
      </c>
      <c r="D142" s="1167">
        <f>Deflators_original!B142</f>
        <v>0</v>
      </c>
      <c r="E142" s="1167">
        <f>Deflators_original!C142</f>
        <v>85.828999999999994</v>
      </c>
      <c r="F142" s="1167">
        <f>Deflators_original!D142</f>
        <v>5.8125227051668603E-3</v>
      </c>
      <c r="G142" s="1167">
        <f>Deflators_original!E142</f>
        <v>85.043000000000006</v>
      </c>
      <c r="H142" s="1167">
        <f>Deflators_original!F142</f>
        <v>1.3164478543687101E-2</v>
      </c>
      <c r="I142" s="1167">
        <f>Deflators_original!G142</f>
        <v>78.498000000000005</v>
      </c>
      <c r="J142" s="1167">
        <f>Deflators_original!H142</f>
        <v>9.1014269186271406E-3</v>
      </c>
      <c r="K142" s="1167">
        <f>Deflators_original!I142</f>
        <v>75.587999999999994</v>
      </c>
      <c r="L142" s="1167">
        <f>Deflators_original!J142</f>
        <v>8.4450670402240694E-3</v>
      </c>
    </row>
    <row r="143" spans="1:12" x14ac:dyDescent="0.35">
      <c r="A143" s="1165" t="str">
        <f>Deflators_original!K143</f>
        <v>2005 Q2</v>
      </c>
      <c r="B143" s="1165" t="str">
        <f>Deflators_original!L143</f>
        <v>historical</v>
      </c>
      <c r="C143" s="1167">
        <f>Deflators_original!A143</f>
        <v>87.061999999999998</v>
      </c>
      <c r="D143" s="1167">
        <f>Deflators_original!B143</f>
        <v>0</v>
      </c>
      <c r="E143" s="1167">
        <f>Deflators_original!C143</f>
        <v>86.370999999999995</v>
      </c>
      <c r="F143" s="1167">
        <f>Deflators_original!D143</f>
        <v>6.3148819163685302E-3</v>
      </c>
      <c r="G143" s="1167">
        <f>Deflators_original!E143</f>
        <v>85.81</v>
      </c>
      <c r="H143" s="1167">
        <f>Deflators_original!F143</f>
        <v>9.0189668755804604E-3</v>
      </c>
      <c r="I143" s="1167">
        <f>Deflators_original!G143</f>
        <v>79.393000000000001</v>
      </c>
      <c r="J143" s="1167">
        <f>Deflators_original!H143</f>
        <v>1.14015643710668E-2</v>
      </c>
      <c r="K143" s="1167">
        <f>Deflators_original!I143</f>
        <v>77.010000000000005</v>
      </c>
      <c r="L143" s="1167">
        <f>Deflators_original!J143</f>
        <v>1.8812509922210102E-2</v>
      </c>
    </row>
    <row r="144" spans="1:12" x14ac:dyDescent="0.35">
      <c r="A144" s="1165" t="str">
        <f>Deflators_original!K144</f>
        <v>2005 Q3</v>
      </c>
      <c r="B144" s="1165" t="str">
        <f>Deflators_original!L144</f>
        <v>historical</v>
      </c>
      <c r="C144" s="1167">
        <f>Deflators_original!A144</f>
        <v>87.884</v>
      </c>
      <c r="D144" s="1167">
        <f>Deflators_original!B144</f>
        <v>0</v>
      </c>
      <c r="E144" s="1167">
        <f>Deflators_original!C144</f>
        <v>87.304000000000002</v>
      </c>
      <c r="F144" s="1167">
        <f>Deflators_original!D144</f>
        <v>1.08022368619098E-2</v>
      </c>
      <c r="G144" s="1167">
        <f>Deflators_original!E144</f>
        <v>86.706000000000003</v>
      </c>
      <c r="H144" s="1167">
        <f>Deflators_original!F144</f>
        <v>1.0441673464631099E-2</v>
      </c>
      <c r="I144" s="1167">
        <f>Deflators_original!G144</f>
        <v>80.545000000000002</v>
      </c>
      <c r="J144" s="1167">
        <f>Deflators_original!H144</f>
        <v>1.45100953484565E-2</v>
      </c>
      <c r="K144" s="1167">
        <f>Deflators_original!I144</f>
        <v>78.724999999999994</v>
      </c>
      <c r="L144" s="1167">
        <f>Deflators_original!J144</f>
        <v>2.2269835086352399E-2</v>
      </c>
    </row>
    <row r="145" spans="1:12" x14ac:dyDescent="0.35">
      <c r="A145" s="1165" t="str">
        <f>Deflators_original!K145</f>
        <v>2005 Q4</v>
      </c>
      <c r="B145" s="1165" t="str">
        <f>Deflators_original!L145</f>
        <v>historical</v>
      </c>
      <c r="C145" s="1167">
        <f>Deflators_original!A145</f>
        <v>88.584000000000003</v>
      </c>
      <c r="D145" s="1167">
        <f>Deflators_original!B145</f>
        <v>0</v>
      </c>
      <c r="E145" s="1167">
        <f>Deflators_original!C145</f>
        <v>87.998999999999995</v>
      </c>
      <c r="F145" s="1167">
        <f>Deflators_original!D145</f>
        <v>7.9606890864105696E-3</v>
      </c>
      <c r="G145" s="1167">
        <f>Deflators_original!E145</f>
        <v>87.328999999999994</v>
      </c>
      <c r="H145" s="1167">
        <f>Deflators_original!F145</f>
        <v>7.1852005628214597E-3</v>
      </c>
      <c r="I145" s="1167">
        <f>Deflators_original!G145</f>
        <v>81.906000000000006</v>
      </c>
      <c r="J145" s="1167">
        <f>Deflators_original!H145</f>
        <v>1.68973865541002E-2</v>
      </c>
      <c r="K145" s="1167">
        <f>Deflators_original!I145</f>
        <v>79.822999999999993</v>
      </c>
      <c r="L145" s="1167">
        <f>Deflators_original!J145</f>
        <v>1.39472848523341E-2</v>
      </c>
    </row>
    <row r="146" spans="1:12" x14ac:dyDescent="0.35">
      <c r="A146" s="1165" t="str">
        <f>Deflators_original!K146</f>
        <v>2006 Q1</v>
      </c>
      <c r="B146" s="1165" t="str">
        <f>Deflators_original!L146</f>
        <v>historical</v>
      </c>
      <c r="C146" s="1167">
        <f>Deflators_original!A146</f>
        <v>89.203999999999994</v>
      </c>
      <c r="D146" s="1167">
        <f>Deflators_original!B146</f>
        <v>0</v>
      </c>
      <c r="E146" s="1167">
        <f>Deflators_original!C146</f>
        <v>88.456000000000003</v>
      </c>
      <c r="F146" s="1167">
        <f>Deflators_original!D146</f>
        <v>5.1932408322823403E-3</v>
      </c>
      <c r="G146" s="1167">
        <f>Deflators_original!E146</f>
        <v>88.063999999999993</v>
      </c>
      <c r="H146" s="1167">
        <f>Deflators_original!F146</f>
        <v>8.4164481443735895E-3</v>
      </c>
      <c r="I146" s="1167">
        <f>Deflators_original!G146</f>
        <v>82.507999999999996</v>
      </c>
      <c r="J146" s="1167">
        <f>Deflators_original!H146</f>
        <v>7.3498888970282604E-3</v>
      </c>
      <c r="K146" s="1167">
        <f>Deflators_original!I146</f>
        <v>80.319000000000003</v>
      </c>
      <c r="L146" s="1167">
        <f>Deflators_original!J146</f>
        <v>6.2137479172670301E-3</v>
      </c>
    </row>
    <row r="147" spans="1:12" x14ac:dyDescent="0.35">
      <c r="A147" s="1165" t="str">
        <f>Deflators_original!K147</f>
        <v>2006 Q2</v>
      </c>
      <c r="B147" s="1165" t="str">
        <f>Deflators_original!L147</f>
        <v>historical</v>
      </c>
      <c r="C147" s="1167">
        <f>Deflators_original!A147</f>
        <v>89.992999999999995</v>
      </c>
      <c r="D147" s="1167">
        <f>Deflators_original!B147</f>
        <v>0</v>
      </c>
      <c r="E147" s="1167">
        <f>Deflators_original!C147</f>
        <v>89.231999999999999</v>
      </c>
      <c r="F147" s="1167">
        <f>Deflators_original!D147</f>
        <v>8.772723161798E-3</v>
      </c>
      <c r="G147" s="1167">
        <f>Deflators_original!E147</f>
        <v>88.677000000000007</v>
      </c>
      <c r="H147" s="1167">
        <f>Deflators_original!F147</f>
        <v>6.9608466569768303E-3</v>
      </c>
      <c r="I147" s="1167">
        <f>Deflators_original!G147</f>
        <v>83.641999999999996</v>
      </c>
      <c r="J147" s="1167">
        <f>Deflators_original!H147</f>
        <v>1.37441217821301E-2</v>
      </c>
      <c r="K147" s="1167">
        <f>Deflators_original!I147</f>
        <v>82.088999999999999</v>
      </c>
      <c r="L147" s="1167">
        <f>Deflators_original!J147</f>
        <v>2.20371269562618E-2</v>
      </c>
    </row>
    <row r="148" spans="1:12" x14ac:dyDescent="0.35">
      <c r="A148" s="1165" t="str">
        <f>Deflators_original!K148</f>
        <v>2006 Q3</v>
      </c>
      <c r="B148" s="1165" t="str">
        <f>Deflators_original!L148</f>
        <v>historical</v>
      </c>
      <c r="C148" s="1167">
        <f>Deflators_original!A148</f>
        <v>90.652000000000001</v>
      </c>
      <c r="D148" s="1167">
        <f>Deflators_original!B148</f>
        <v>0</v>
      </c>
      <c r="E148" s="1167">
        <f>Deflators_original!C148</f>
        <v>89.873999999999995</v>
      </c>
      <c r="F148" s="1167">
        <f>Deflators_original!D148</f>
        <v>7.1947283485744896E-3</v>
      </c>
      <c r="G148" s="1167">
        <f>Deflators_original!E148</f>
        <v>89.334000000000003</v>
      </c>
      <c r="H148" s="1167">
        <f>Deflators_original!F148</f>
        <v>7.4089109915760299E-3</v>
      </c>
      <c r="I148" s="1167">
        <f>Deflators_original!G148</f>
        <v>84.402000000000001</v>
      </c>
      <c r="J148" s="1167">
        <f>Deflators_original!H148</f>
        <v>9.0863441811530592E-3</v>
      </c>
      <c r="K148" s="1167">
        <f>Deflators_original!I148</f>
        <v>83.231999999999999</v>
      </c>
      <c r="L148" s="1167">
        <f>Deflators_original!J148</f>
        <v>1.39239118517707E-2</v>
      </c>
    </row>
    <row r="149" spans="1:12" x14ac:dyDescent="0.35">
      <c r="A149" s="1165" t="str">
        <f>Deflators_original!K149</f>
        <v>2006 Q4</v>
      </c>
      <c r="B149" s="1165" t="str">
        <f>Deflators_original!L149</f>
        <v>historical</v>
      </c>
      <c r="C149" s="1167">
        <f>Deflators_original!A149</f>
        <v>90.997</v>
      </c>
      <c r="D149" s="1167">
        <f>Deflators_original!B149</f>
        <v>0</v>
      </c>
      <c r="E149" s="1167">
        <f>Deflators_original!C149</f>
        <v>89.725999999999999</v>
      </c>
      <c r="F149" s="1167">
        <f>Deflators_original!D149</f>
        <v>-1.6467498942963599E-3</v>
      </c>
      <c r="G149" s="1167">
        <f>Deflators_original!E149</f>
        <v>89.799000000000007</v>
      </c>
      <c r="H149" s="1167">
        <f>Deflators_original!F149</f>
        <v>5.2051850359326997E-3</v>
      </c>
      <c r="I149" s="1167">
        <f>Deflators_original!G149</f>
        <v>85.034999999999997</v>
      </c>
      <c r="J149" s="1167">
        <f>Deflators_original!H149</f>
        <v>7.4998222790929603E-3</v>
      </c>
      <c r="K149" s="1167">
        <f>Deflators_original!I149</f>
        <v>85.185000000000002</v>
      </c>
      <c r="L149" s="1167">
        <f>Deflators_original!J149</f>
        <v>2.34645328719723E-2</v>
      </c>
    </row>
    <row r="150" spans="1:12" x14ac:dyDescent="0.35">
      <c r="A150" s="1165" t="str">
        <f>Deflators_original!K150</f>
        <v>2007 Q1</v>
      </c>
      <c r="B150" s="1165" t="str">
        <f>Deflators_original!L150</f>
        <v>historical</v>
      </c>
      <c r="C150" s="1167">
        <f>Deflators_original!A150</f>
        <v>91.908000000000001</v>
      </c>
      <c r="D150" s="1167">
        <f>Deflators_original!B150</f>
        <v>0</v>
      </c>
      <c r="E150" s="1167">
        <f>Deflators_original!C150</f>
        <v>90.546000000000006</v>
      </c>
      <c r="F150" s="1167">
        <f>Deflators_original!D150</f>
        <v>9.1389340882241897E-3</v>
      </c>
      <c r="G150" s="1167">
        <f>Deflators_original!E150</f>
        <v>90.566999999999993</v>
      </c>
      <c r="H150" s="1167">
        <f>Deflators_original!F150</f>
        <v>8.5524337687501503E-3</v>
      </c>
      <c r="I150" s="1167">
        <f>Deflators_original!G150</f>
        <v>86.531999999999996</v>
      </c>
      <c r="J150" s="1167">
        <f>Deflators_original!H150</f>
        <v>1.7604515787616799E-2</v>
      </c>
      <c r="K150" s="1167">
        <f>Deflators_original!I150</f>
        <v>87.334000000000003</v>
      </c>
      <c r="L150" s="1167">
        <f>Deflators_original!J150</f>
        <v>2.5227446146622E-2</v>
      </c>
    </row>
    <row r="151" spans="1:12" x14ac:dyDescent="0.35">
      <c r="A151" s="1165" t="str">
        <f>Deflators_original!K151</f>
        <v>2007 Q2</v>
      </c>
      <c r="B151" s="1165" t="str">
        <f>Deflators_original!L151</f>
        <v>historical</v>
      </c>
      <c r="C151" s="1167">
        <f>Deflators_original!A151</f>
        <v>92.491</v>
      </c>
      <c r="D151" s="1167">
        <f>Deflators_original!B151</f>
        <v>0</v>
      </c>
      <c r="E151" s="1167">
        <f>Deflators_original!C151</f>
        <v>91.314999999999998</v>
      </c>
      <c r="F151" s="1167">
        <f>Deflators_original!D151</f>
        <v>8.4929207253770008E-3</v>
      </c>
      <c r="G151" s="1167">
        <f>Deflators_original!E151</f>
        <v>91.290999999999997</v>
      </c>
      <c r="H151" s="1167">
        <f>Deflators_original!F151</f>
        <v>7.9940817295483003E-3</v>
      </c>
      <c r="I151" s="1167">
        <f>Deflators_original!G151</f>
        <v>87.468999999999994</v>
      </c>
      <c r="J151" s="1167">
        <f>Deflators_original!H151</f>
        <v>1.0828364073406401E-2</v>
      </c>
      <c r="K151" s="1167">
        <f>Deflators_original!I151</f>
        <v>88.247</v>
      </c>
      <c r="L151" s="1167">
        <f>Deflators_original!J151</f>
        <v>1.0454118670849799E-2</v>
      </c>
    </row>
    <row r="152" spans="1:12" x14ac:dyDescent="0.35">
      <c r="A152" s="1165" t="str">
        <f>Deflators_original!K152</f>
        <v>2007 Q3</v>
      </c>
      <c r="B152" s="1165" t="str">
        <f>Deflators_original!L152</f>
        <v>historical</v>
      </c>
      <c r="C152" s="1167">
        <f>Deflators_original!A152</f>
        <v>92.882000000000005</v>
      </c>
      <c r="D152" s="1167">
        <f>Deflators_original!B152</f>
        <v>0</v>
      </c>
      <c r="E152" s="1167">
        <f>Deflators_original!C152</f>
        <v>91.831000000000003</v>
      </c>
      <c r="F152" s="1167">
        <f>Deflators_original!D152</f>
        <v>5.6507693150085201E-3</v>
      </c>
      <c r="G152" s="1167">
        <f>Deflators_original!E152</f>
        <v>91.92</v>
      </c>
      <c r="H152" s="1167">
        <f>Deflators_original!F152</f>
        <v>6.8900548794514904E-3</v>
      </c>
      <c r="I152" s="1167">
        <f>Deflators_original!G152</f>
        <v>88.447000000000003</v>
      </c>
      <c r="J152" s="1167">
        <f>Deflators_original!H152</f>
        <v>1.11811041626177E-2</v>
      </c>
      <c r="K152" s="1167">
        <f>Deflators_original!I152</f>
        <v>89.096999999999994</v>
      </c>
      <c r="L152" s="1167">
        <f>Deflators_original!J152</f>
        <v>9.6320554806394992E-3</v>
      </c>
    </row>
    <row r="153" spans="1:12" x14ac:dyDescent="0.35">
      <c r="A153" s="1165" t="str">
        <f>Deflators_original!K153</f>
        <v>2007 Q4</v>
      </c>
      <c r="B153" s="1165" t="str">
        <f>Deflators_original!L153</f>
        <v>historical</v>
      </c>
      <c r="C153" s="1167">
        <f>Deflators_original!A153</f>
        <v>93.331999999999994</v>
      </c>
      <c r="D153" s="1167">
        <f>Deflators_original!B153</f>
        <v>0</v>
      </c>
      <c r="E153" s="1167">
        <f>Deflators_original!C153</f>
        <v>92.765000000000001</v>
      </c>
      <c r="F153" s="1167">
        <f>Deflators_original!D153</f>
        <v>1.0170857335758E-2</v>
      </c>
      <c r="G153" s="1167">
        <f>Deflators_original!E153</f>
        <v>92.656999999999996</v>
      </c>
      <c r="H153" s="1167">
        <f>Deflators_original!F153</f>
        <v>8.0178416013925204E-3</v>
      </c>
      <c r="I153" s="1167">
        <f>Deflators_original!G153</f>
        <v>89.787999999999997</v>
      </c>
      <c r="J153" s="1167">
        <f>Deflators_original!H153</f>
        <v>1.51616222144335E-2</v>
      </c>
      <c r="K153" s="1167">
        <f>Deflators_original!I153</f>
        <v>90.144999999999996</v>
      </c>
      <c r="L153" s="1167">
        <f>Deflators_original!J153</f>
        <v>1.1762461137861099E-2</v>
      </c>
    </row>
    <row r="154" spans="1:12" x14ac:dyDescent="0.35">
      <c r="A154" s="1165" t="str">
        <f>Deflators_original!K154</f>
        <v>2008 Q1</v>
      </c>
      <c r="B154" s="1165" t="str">
        <f>Deflators_original!L154</f>
        <v>historical</v>
      </c>
      <c r="C154" s="1167">
        <f>Deflators_original!A154</f>
        <v>93.734999999999999</v>
      </c>
      <c r="D154" s="1167">
        <f>Deflators_original!B154</f>
        <v>0</v>
      </c>
      <c r="E154" s="1167">
        <f>Deflators_original!C154</f>
        <v>93.52</v>
      </c>
      <c r="F154" s="1167">
        <f>Deflators_original!D154</f>
        <v>8.1388454697353101E-3</v>
      </c>
      <c r="G154" s="1167">
        <f>Deflators_original!E154</f>
        <v>93.438000000000002</v>
      </c>
      <c r="H154" s="1167">
        <f>Deflators_original!F154</f>
        <v>8.4289368315399998E-3</v>
      </c>
      <c r="I154" s="1167">
        <f>Deflators_original!G154</f>
        <v>91.369</v>
      </c>
      <c r="J154" s="1167">
        <f>Deflators_original!H154</f>
        <v>1.7608143627210901E-2</v>
      </c>
      <c r="K154" s="1167">
        <f>Deflators_original!I154</f>
        <v>90.998999999999995</v>
      </c>
      <c r="L154" s="1167">
        <f>Deflators_original!J154</f>
        <v>9.4736258250596207E-3</v>
      </c>
    </row>
    <row r="155" spans="1:12" x14ac:dyDescent="0.35">
      <c r="A155" s="1165" t="str">
        <f>Deflators_original!K155</f>
        <v>2008 Q2</v>
      </c>
      <c r="B155" s="1165" t="str">
        <f>Deflators_original!L155</f>
        <v>historical</v>
      </c>
      <c r="C155" s="1167">
        <f>Deflators_original!A155</f>
        <v>94.075000000000003</v>
      </c>
      <c r="D155" s="1167">
        <f>Deflators_original!B155</f>
        <v>0</v>
      </c>
      <c r="E155" s="1167">
        <f>Deflators_original!C155</f>
        <v>94.43</v>
      </c>
      <c r="F155" s="1167">
        <f>Deflators_original!D155</f>
        <v>9.7305389221558104E-3</v>
      </c>
      <c r="G155" s="1167">
        <f>Deflators_original!E155</f>
        <v>94.394999999999996</v>
      </c>
      <c r="H155" s="1167">
        <f>Deflators_original!F155</f>
        <v>1.02420856610801E-2</v>
      </c>
      <c r="I155" s="1167">
        <f>Deflators_original!G155</f>
        <v>92.781000000000006</v>
      </c>
      <c r="J155" s="1167">
        <f>Deflators_original!H155</f>
        <v>1.5453819129026301E-2</v>
      </c>
      <c r="K155" s="1167">
        <f>Deflators_original!I155</f>
        <v>91.698999999999998</v>
      </c>
      <c r="L155" s="1167">
        <f>Deflators_original!J155</f>
        <v>7.6923922240903497E-3</v>
      </c>
    </row>
    <row r="156" spans="1:12" x14ac:dyDescent="0.35">
      <c r="A156" s="1165" t="str">
        <f>Deflators_original!K156</f>
        <v>2008 Q3</v>
      </c>
      <c r="B156" s="1165" t="str">
        <f>Deflators_original!L156</f>
        <v>historical</v>
      </c>
      <c r="C156" s="1167">
        <f>Deflators_original!A156</f>
        <v>94.804000000000002</v>
      </c>
      <c r="D156" s="1167">
        <f>Deflators_original!B156</f>
        <v>0</v>
      </c>
      <c r="E156" s="1167">
        <f>Deflators_original!C156</f>
        <v>95.438000000000002</v>
      </c>
      <c r="F156" s="1167">
        <f>Deflators_original!D156</f>
        <v>1.06745737583394E-2</v>
      </c>
      <c r="G156" s="1167">
        <f>Deflators_original!E156</f>
        <v>95.102999999999994</v>
      </c>
      <c r="H156" s="1167">
        <f>Deflators_original!F156</f>
        <v>7.5003972668044004E-3</v>
      </c>
      <c r="I156" s="1167">
        <f>Deflators_original!G156</f>
        <v>94.036000000000001</v>
      </c>
      <c r="J156" s="1167">
        <f>Deflators_original!H156</f>
        <v>1.35264763259719E-2</v>
      </c>
      <c r="K156" s="1167">
        <f>Deflators_original!I156</f>
        <v>92.884</v>
      </c>
      <c r="L156" s="1167">
        <f>Deflators_original!J156</f>
        <v>1.29227145334192E-2</v>
      </c>
    </row>
    <row r="157" spans="1:12" x14ac:dyDescent="0.35">
      <c r="A157" s="1165" t="str">
        <f>Deflators_original!K157</f>
        <v>2008 Q4</v>
      </c>
      <c r="B157" s="1165" t="str">
        <f>Deflators_original!L157</f>
        <v>historical</v>
      </c>
      <c r="C157" s="1167">
        <f>Deflators_original!A157</f>
        <v>94.974999999999994</v>
      </c>
      <c r="D157" s="1167">
        <f>Deflators_original!B157</f>
        <v>0</v>
      </c>
      <c r="E157" s="1167">
        <f>Deflators_original!C157</f>
        <v>93.914000000000001</v>
      </c>
      <c r="F157" s="1167">
        <f>Deflators_original!D157</f>
        <v>-1.59684821559547E-2</v>
      </c>
      <c r="G157" s="1167">
        <f>Deflators_original!E157</f>
        <v>94.65</v>
      </c>
      <c r="H157" s="1167">
        <f>Deflators_original!F157</f>
        <v>-4.7632566795998699E-3</v>
      </c>
      <c r="I157" s="1167">
        <f>Deflators_original!G157</f>
        <v>92.242000000000004</v>
      </c>
      <c r="J157" s="1167">
        <f>Deflators_original!H157</f>
        <v>-1.9077799991492599E-2</v>
      </c>
      <c r="K157" s="1167">
        <f>Deflators_original!I157</f>
        <v>94.585999999999999</v>
      </c>
      <c r="L157" s="1167">
        <f>Deflators_original!J157</f>
        <v>1.8323930924594199E-2</v>
      </c>
    </row>
    <row r="158" spans="1:12" x14ac:dyDescent="0.35">
      <c r="A158" s="1165" t="str">
        <f>Deflators_original!K158</f>
        <v>2009 Q1</v>
      </c>
      <c r="B158" s="1165" t="str">
        <f>Deflators_original!L158</f>
        <v>historical</v>
      </c>
      <c r="C158" s="1167">
        <f>Deflators_original!A158</f>
        <v>95.001000000000005</v>
      </c>
      <c r="D158" s="1167">
        <f>Deflators_original!B158</f>
        <v>0</v>
      </c>
      <c r="E158" s="1167">
        <f>Deflators_original!C158</f>
        <v>93.28</v>
      </c>
      <c r="F158" s="1167">
        <f>Deflators_original!D158</f>
        <v>-6.7508571671954804E-3</v>
      </c>
      <c r="G158" s="1167">
        <f>Deflators_original!E158</f>
        <v>93.855999999999995</v>
      </c>
      <c r="H158" s="1167">
        <f>Deflators_original!F158</f>
        <v>-8.3888008452193095E-3</v>
      </c>
      <c r="I158" s="1167">
        <f>Deflators_original!G158</f>
        <v>90.620999999999995</v>
      </c>
      <c r="J158" s="1167">
        <f>Deflators_original!H158</f>
        <v>-1.7573339693415201E-2</v>
      </c>
      <c r="K158" s="1167">
        <f>Deflators_original!I158</f>
        <v>95.176000000000002</v>
      </c>
      <c r="L158" s="1167">
        <f>Deflators_original!J158</f>
        <v>6.2377095976149403E-3</v>
      </c>
    </row>
    <row r="159" spans="1:12" x14ac:dyDescent="0.35">
      <c r="A159" s="1165" t="str">
        <f>Deflators_original!K159</f>
        <v>2009 Q2</v>
      </c>
      <c r="B159" s="1165" t="str">
        <f>Deflators_original!L159</f>
        <v>historical</v>
      </c>
      <c r="C159" s="1167">
        <f>Deflators_original!A159</f>
        <v>94.87</v>
      </c>
      <c r="D159" s="1167">
        <f>Deflators_original!B159</f>
        <v>0</v>
      </c>
      <c r="E159" s="1167">
        <f>Deflators_original!C159</f>
        <v>93.650999999999996</v>
      </c>
      <c r="F159" s="1167">
        <f>Deflators_original!D159</f>
        <v>3.9772727272726601E-3</v>
      </c>
      <c r="G159" s="1167">
        <f>Deflators_original!E159</f>
        <v>93.873000000000005</v>
      </c>
      <c r="H159" s="1167">
        <f>Deflators_original!F159</f>
        <v>1.81128537333874E-4</v>
      </c>
      <c r="I159" s="1167">
        <f>Deflators_original!G159</f>
        <v>91.066999999999993</v>
      </c>
      <c r="J159" s="1167">
        <f>Deflators_original!H159</f>
        <v>4.9215965394333603E-3</v>
      </c>
      <c r="K159" s="1167">
        <f>Deflators_original!I159</f>
        <v>94.34</v>
      </c>
      <c r="L159" s="1167">
        <f>Deflators_original!J159</f>
        <v>-8.7837269899974108E-3</v>
      </c>
    </row>
    <row r="160" spans="1:12" x14ac:dyDescent="0.35">
      <c r="A160" s="1165" t="str">
        <f>Deflators_original!K160</f>
        <v>2009 Q3</v>
      </c>
      <c r="B160" s="1165" t="str">
        <f>Deflators_original!L160</f>
        <v>historical</v>
      </c>
      <c r="C160" s="1167">
        <f>Deflators_original!A160</f>
        <v>94.927999999999997</v>
      </c>
      <c r="D160" s="1167">
        <f>Deflators_original!B160</f>
        <v>0</v>
      </c>
      <c r="E160" s="1167">
        <f>Deflators_original!C160</f>
        <v>94.296000000000006</v>
      </c>
      <c r="F160" s="1167">
        <f>Deflators_original!D160</f>
        <v>6.88727296024605E-3</v>
      </c>
      <c r="G160" s="1167">
        <f>Deflators_original!E160</f>
        <v>94.16</v>
      </c>
      <c r="H160" s="1167">
        <f>Deflators_original!F160</f>
        <v>3.0573221267029501E-3</v>
      </c>
      <c r="I160" s="1167">
        <f>Deflators_original!G160</f>
        <v>91.849000000000004</v>
      </c>
      <c r="J160" s="1167">
        <f>Deflators_original!H160</f>
        <v>8.5870842346844594E-3</v>
      </c>
      <c r="K160" s="1167">
        <f>Deflators_original!I160</f>
        <v>93.49</v>
      </c>
      <c r="L160" s="1167">
        <f>Deflators_original!J160</f>
        <v>-9.0099639601441996E-3</v>
      </c>
    </row>
    <row r="161" spans="1:12" x14ac:dyDescent="0.35">
      <c r="A161" s="1165" t="str">
        <f>Deflators_original!K161</f>
        <v>2009 Q4</v>
      </c>
      <c r="B161" s="1165" t="str">
        <f>Deflators_original!L161</f>
        <v>historical</v>
      </c>
      <c r="C161" s="1167">
        <f>Deflators_original!A161</f>
        <v>95.277000000000001</v>
      </c>
      <c r="D161" s="1167">
        <f>Deflators_original!B161</f>
        <v>0</v>
      </c>
      <c r="E161" s="1167">
        <f>Deflators_original!C161</f>
        <v>95.024000000000001</v>
      </c>
      <c r="F161" s="1167">
        <f>Deflators_original!D161</f>
        <v>7.7203698990413504E-3</v>
      </c>
      <c r="G161" s="1167">
        <f>Deflators_original!E161</f>
        <v>94.884</v>
      </c>
      <c r="H161" s="1167">
        <f>Deflators_original!F161</f>
        <v>7.6890399320306297E-3</v>
      </c>
      <c r="I161" s="1167">
        <f>Deflators_original!G161</f>
        <v>92.700999999999993</v>
      </c>
      <c r="J161" s="1167">
        <f>Deflators_original!H161</f>
        <v>9.2760944593843798E-3</v>
      </c>
      <c r="K161" s="1167">
        <f>Deflators_original!I161</f>
        <v>93.418000000000006</v>
      </c>
      <c r="L161" s="1167">
        <f>Deflators_original!J161</f>
        <v>-7.7013584340557305E-4</v>
      </c>
    </row>
    <row r="162" spans="1:12" x14ac:dyDescent="0.35">
      <c r="A162" s="1165" t="str">
        <f>Deflators_original!K162</f>
        <v>2010 Q1</v>
      </c>
      <c r="B162" s="1165" t="str">
        <f>Deflators_original!L162</f>
        <v>historical</v>
      </c>
      <c r="C162" s="1167">
        <f>Deflators_original!A162</f>
        <v>95.518000000000001</v>
      </c>
      <c r="D162" s="1167">
        <f>Deflators_original!B162</f>
        <v>0</v>
      </c>
      <c r="E162" s="1167">
        <f>Deflators_original!C162</f>
        <v>95.391000000000005</v>
      </c>
      <c r="F162" s="1167">
        <f>Deflators_original!D162</f>
        <v>3.8621821855531202E-3</v>
      </c>
      <c r="G162" s="1167">
        <f>Deflators_original!E162</f>
        <v>95.488</v>
      </c>
      <c r="H162" s="1167">
        <f>Deflators_original!F162</f>
        <v>6.3656675519581096E-3</v>
      </c>
      <c r="I162" s="1167">
        <f>Deflators_original!G162</f>
        <v>93.771000000000001</v>
      </c>
      <c r="J162" s="1167">
        <f>Deflators_original!H162</f>
        <v>1.15424860573241E-2</v>
      </c>
      <c r="K162" s="1167">
        <f>Deflators_original!I162</f>
        <v>93.683000000000007</v>
      </c>
      <c r="L162" s="1167">
        <f>Deflators_original!J162</f>
        <v>2.8367124108843499E-3</v>
      </c>
    </row>
    <row r="163" spans="1:12" x14ac:dyDescent="0.35">
      <c r="A163" s="1165" t="str">
        <f>Deflators_original!K163</f>
        <v>2010 Q2</v>
      </c>
      <c r="B163" s="1165" t="str">
        <f>Deflators_original!L163</f>
        <v>historical</v>
      </c>
      <c r="C163" s="1167">
        <f>Deflators_original!A163</f>
        <v>95.962999999999994</v>
      </c>
      <c r="D163" s="1167">
        <f>Deflators_original!B163</f>
        <v>0</v>
      </c>
      <c r="E163" s="1167">
        <f>Deflators_original!C163</f>
        <v>95.539000000000001</v>
      </c>
      <c r="F163" s="1167">
        <f>Deflators_original!D163</f>
        <v>1.5515090522166799E-3</v>
      </c>
      <c r="G163" s="1167">
        <f>Deflators_original!E163</f>
        <v>96.22</v>
      </c>
      <c r="H163" s="1167">
        <f>Deflators_original!F163</f>
        <v>7.6658847184987201E-3</v>
      </c>
      <c r="I163" s="1167">
        <f>Deflators_original!G163</f>
        <v>94.444999999999993</v>
      </c>
      <c r="J163" s="1167">
        <f>Deflators_original!H163</f>
        <v>7.18772328331774E-3</v>
      </c>
      <c r="K163" s="1167">
        <f>Deflators_original!I163</f>
        <v>94.09</v>
      </c>
      <c r="L163" s="1167">
        <f>Deflators_original!J163</f>
        <v>4.3444381584705196E-3</v>
      </c>
    </row>
    <row r="164" spans="1:12" x14ac:dyDescent="0.35">
      <c r="A164" s="1165" t="str">
        <f>Deflators_original!K164</f>
        <v>2010 Q3</v>
      </c>
      <c r="B164" s="1165" t="str">
        <f>Deflators_original!L164</f>
        <v>historical</v>
      </c>
      <c r="C164" s="1167">
        <f>Deflators_original!A164</f>
        <v>96.311999999999998</v>
      </c>
      <c r="D164" s="1167">
        <f>Deflators_original!B164</f>
        <v>0</v>
      </c>
      <c r="E164" s="1167">
        <f>Deflators_original!C164</f>
        <v>95.722999999999999</v>
      </c>
      <c r="F164" s="1167">
        <f>Deflators_original!D164</f>
        <v>1.925915071332E-3</v>
      </c>
      <c r="G164" s="1167">
        <f>Deflators_original!E164</f>
        <v>96.602000000000004</v>
      </c>
      <c r="H164" s="1167">
        <f>Deflators_original!F164</f>
        <v>3.97006859280813E-3</v>
      </c>
      <c r="I164" s="1167">
        <f>Deflators_original!G164</f>
        <v>94.984999999999999</v>
      </c>
      <c r="J164" s="1167">
        <f>Deflators_original!H164</f>
        <v>5.7176134258034601E-3</v>
      </c>
      <c r="K164" s="1167">
        <f>Deflators_original!I164</f>
        <v>94.385999999999996</v>
      </c>
      <c r="L164" s="1167">
        <f>Deflators_original!J164</f>
        <v>3.1459241152087501E-3</v>
      </c>
    </row>
    <row r="165" spans="1:12" x14ac:dyDescent="0.35">
      <c r="A165" s="1165" t="str">
        <f>Deflators_original!K165</f>
        <v>2010 Q4</v>
      </c>
      <c r="B165" s="1165" t="str">
        <f>Deflators_original!L165</f>
        <v>historical</v>
      </c>
      <c r="C165" s="1167">
        <f>Deflators_original!A165</f>
        <v>96.864000000000004</v>
      </c>
      <c r="D165" s="1167">
        <f>Deflators_original!B165</f>
        <v>0</v>
      </c>
      <c r="E165" s="1167">
        <f>Deflators_original!C165</f>
        <v>96.335999999999999</v>
      </c>
      <c r="F165" s="1167">
        <f>Deflators_original!D165</f>
        <v>6.4038945707927102E-3</v>
      </c>
      <c r="G165" s="1167">
        <f>Deflators_original!E165</f>
        <v>97.388000000000005</v>
      </c>
      <c r="H165" s="1167">
        <f>Deflators_original!F165</f>
        <v>8.1364775056416098E-3</v>
      </c>
      <c r="I165" s="1167">
        <f>Deflators_original!G165</f>
        <v>95.872</v>
      </c>
      <c r="J165" s="1167">
        <f>Deflators_original!H165</f>
        <v>9.3383165763014607E-3</v>
      </c>
      <c r="K165" s="1167">
        <f>Deflators_original!I165</f>
        <v>94.81</v>
      </c>
      <c r="L165" s="1167">
        <f>Deflators_original!J165</f>
        <v>4.4921916385904899E-3</v>
      </c>
    </row>
    <row r="166" spans="1:12" x14ac:dyDescent="0.35">
      <c r="A166" s="1165" t="str">
        <f>Deflators_original!K166</f>
        <v>2011 Q1</v>
      </c>
      <c r="B166" s="1165" t="str">
        <f>Deflators_original!L166</f>
        <v>historical</v>
      </c>
      <c r="C166" s="1167">
        <f>Deflators_original!A166</f>
        <v>97.338999999999999</v>
      </c>
      <c r="D166" s="1167">
        <f>Deflators_original!B166</f>
        <v>0</v>
      </c>
      <c r="E166" s="1167">
        <f>Deflators_original!C166</f>
        <v>97.144999999999996</v>
      </c>
      <c r="F166" s="1167">
        <f>Deflators_original!D166</f>
        <v>8.3976914133865304E-3</v>
      </c>
      <c r="G166" s="1167">
        <f>Deflators_original!E166</f>
        <v>98.263000000000005</v>
      </c>
      <c r="H166" s="1167">
        <f>Deflators_original!F166</f>
        <v>8.9846798373516296E-3</v>
      </c>
      <c r="I166" s="1167">
        <f>Deflators_original!G166</f>
        <v>96.936000000000007</v>
      </c>
      <c r="J166" s="1167">
        <f>Deflators_original!H166</f>
        <v>1.10981308411215E-2</v>
      </c>
      <c r="K166" s="1167">
        <f>Deflators_original!I166</f>
        <v>95.382999999999996</v>
      </c>
      <c r="L166" s="1167">
        <f>Deflators_original!J166</f>
        <v>6.0436662799281402E-3</v>
      </c>
    </row>
    <row r="167" spans="1:12" x14ac:dyDescent="0.35">
      <c r="A167" s="1165" t="str">
        <f>Deflators_original!K167</f>
        <v>2011 Q2</v>
      </c>
      <c r="B167" s="1165" t="str">
        <f>Deflators_original!L167</f>
        <v>historical</v>
      </c>
      <c r="C167" s="1167">
        <f>Deflators_original!A167</f>
        <v>98.042000000000002</v>
      </c>
      <c r="D167" s="1167">
        <f>Deflators_original!B167</f>
        <v>0</v>
      </c>
      <c r="E167" s="1167">
        <f>Deflators_original!C167</f>
        <v>98.1</v>
      </c>
      <c r="F167" s="1167">
        <f>Deflators_original!D167</f>
        <v>9.8306655000257592E-3</v>
      </c>
      <c r="G167" s="1167">
        <f>Deflators_original!E167</f>
        <v>99.152000000000001</v>
      </c>
      <c r="H167" s="1167">
        <f>Deflators_original!F167</f>
        <v>9.0471489777432801E-3</v>
      </c>
      <c r="I167" s="1167">
        <f>Deflators_original!G167</f>
        <v>98.144999999999996</v>
      </c>
      <c r="J167" s="1167">
        <f>Deflators_original!H167</f>
        <v>1.24721465709332E-2</v>
      </c>
      <c r="K167" s="1167">
        <f>Deflators_original!I167</f>
        <v>96.346999999999994</v>
      </c>
      <c r="L167" s="1167">
        <f>Deflators_original!J167</f>
        <v>1.01066227734501E-2</v>
      </c>
    </row>
    <row r="168" spans="1:12" x14ac:dyDescent="0.35">
      <c r="A168" s="1165" t="str">
        <f>Deflators_original!K168</f>
        <v>2011 Q3</v>
      </c>
      <c r="B168" s="1165" t="str">
        <f>Deflators_original!L168</f>
        <v>historical</v>
      </c>
      <c r="C168" s="1167">
        <f>Deflators_original!A168</f>
        <v>98.561000000000007</v>
      </c>
      <c r="D168" s="1167">
        <f>Deflators_original!B168</f>
        <v>0</v>
      </c>
      <c r="E168" s="1167">
        <f>Deflators_original!C168</f>
        <v>98.554000000000002</v>
      </c>
      <c r="F168" s="1167">
        <f>Deflators_original!D168</f>
        <v>4.6279306829766203E-3</v>
      </c>
      <c r="G168" s="1167">
        <f>Deflators_original!E168</f>
        <v>99.497</v>
      </c>
      <c r="H168" s="1167">
        <f>Deflators_original!F168</f>
        <v>3.4795062126835598E-3</v>
      </c>
      <c r="I168" s="1167">
        <f>Deflators_original!G168</f>
        <v>98.516999999999996</v>
      </c>
      <c r="J168" s="1167">
        <f>Deflators_original!H168</f>
        <v>3.7903102552345699E-3</v>
      </c>
      <c r="K168" s="1167">
        <f>Deflators_original!I168</f>
        <v>97.436000000000007</v>
      </c>
      <c r="L168" s="1167">
        <f>Deflators_original!J168</f>
        <v>1.13028947450362E-2</v>
      </c>
    </row>
    <row r="169" spans="1:12" x14ac:dyDescent="0.35">
      <c r="A169" s="1165" t="str">
        <f>Deflators_original!K169</f>
        <v>2011 Q4</v>
      </c>
      <c r="B169" s="1165" t="str">
        <f>Deflators_original!L169</f>
        <v>historical</v>
      </c>
      <c r="C169" s="1167">
        <f>Deflators_original!A169</f>
        <v>98.686999999999998</v>
      </c>
      <c r="D169" s="1167">
        <f>Deflators_original!B169</f>
        <v>0</v>
      </c>
      <c r="E169" s="1167">
        <f>Deflators_original!C169</f>
        <v>98.879000000000005</v>
      </c>
      <c r="F169" s="1167">
        <f>Deflators_original!D169</f>
        <v>3.2976845181322801E-3</v>
      </c>
      <c r="G169" s="1167">
        <f>Deflators_original!E169</f>
        <v>99.364000000000004</v>
      </c>
      <c r="H169" s="1167">
        <f>Deflators_original!F169</f>
        <v>-1.3367237203131301E-3</v>
      </c>
      <c r="I169" s="1167">
        <f>Deflators_original!G169</f>
        <v>98.168000000000006</v>
      </c>
      <c r="J169" s="1167">
        <f>Deflators_original!H169</f>
        <v>-3.54253580600294E-3</v>
      </c>
      <c r="K169" s="1167">
        <f>Deflators_original!I169</f>
        <v>98.352000000000004</v>
      </c>
      <c r="L169" s="1167">
        <f>Deflators_original!J169</f>
        <v>9.4010427357444897E-3</v>
      </c>
    </row>
    <row r="170" spans="1:12" x14ac:dyDescent="0.35">
      <c r="A170" s="1165" t="str">
        <f>Deflators_original!K170</f>
        <v>2012 Q1</v>
      </c>
      <c r="B170" s="1165" t="str">
        <f>Deflators_original!L170</f>
        <v>historical</v>
      </c>
      <c r="C170" s="1167">
        <f>Deflators_original!A170</f>
        <v>99.277000000000001</v>
      </c>
      <c r="D170" s="1167">
        <f>Deflators_original!B170</f>
        <v>0</v>
      </c>
      <c r="E170" s="1167">
        <f>Deflators_original!C170</f>
        <v>99.534000000000006</v>
      </c>
      <c r="F170" s="1167">
        <f>Deflators_original!D170</f>
        <v>6.6242579314110799E-3</v>
      </c>
      <c r="G170" s="1167">
        <f>Deflators_original!E170</f>
        <v>99.707999999999998</v>
      </c>
      <c r="H170" s="1167">
        <f>Deflators_original!F170</f>
        <v>3.4620184372609101E-3</v>
      </c>
      <c r="I170" s="1167">
        <f>Deflators_original!G170</f>
        <v>99.47</v>
      </c>
      <c r="J170" s="1167">
        <f>Deflators_original!H170</f>
        <v>1.32629777524242E-2</v>
      </c>
      <c r="K170" s="1167">
        <f>Deflators_original!I170</f>
        <v>99.088999999999999</v>
      </c>
      <c r="L170" s="1167">
        <f>Deflators_original!J170</f>
        <v>7.4934927606962196E-3</v>
      </c>
    </row>
    <row r="171" spans="1:12" x14ac:dyDescent="0.35">
      <c r="A171" s="1165" t="str">
        <f>Deflators_original!K171</f>
        <v>2012 Q2</v>
      </c>
      <c r="B171" s="1165" t="str">
        <f>Deflators_original!L171</f>
        <v>historical</v>
      </c>
      <c r="C171" s="1167">
        <f>Deflators_original!A171</f>
        <v>99.69</v>
      </c>
      <c r="D171" s="1167">
        <f>Deflators_original!B171</f>
        <v>0</v>
      </c>
      <c r="E171" s="1167">
        <f>Deflators_original!C171</f>
        <v>99.775000000000006</v>
      </c>
      <c r="F171" s="1167">
        <f>Deflators_original!D171</f>
        <v>2.4212831796171E-3</v>
      </c>
      <c r="G171" s="1167">
        <f>Deflators_original!E171</f>
        <v>99.927999999999997</v>
      </c>
      <c r="H171" s="1167">
        <f>Deflators_original!F171</f>
        <v>2.2064428130139598E-3</v>
      </c>
      <c r="I171" s="1167">
        <f>Deflators_original!G171</f>
        <v>99.296000000000006</v>
      </c>
      <c r="J171" s="1167">
        <f>Deflators_original!H171</f>
        <v>-1.7492711370261599E-3</v>
      </c>
      <c r="K171" s="1167">
        <f>Deflators_original!I171</f>
        <v>99.879000000000005</v>
      </c>
      <c r="L171" s="1167">
        <f>Deflators_original!J171</f>
        <v>7.9726306653615797E-3</v>
      </c>
    </row>
    <row r="172" spans="1:12" x14ac:dyDescent="0.35">
      <c r="A172" s="1165" t="str">
        <f>Deflators_original!K172</f>
        <v>2012 Q3</v>
      </c>
      <c r="B172" s="1165" t="str">
        <f>Deflators_original!L172</f>
        <v>historical</v>
      </c>
      <c r="C172" s="1167">
        <f>Deflators_original!A172</f>
        <v>100.304</v>
      </c>
      <c r="D172" s="1167">
        <f>Deflators_original!B172</f>
        <v>0</v>
      </c>
      <c r="E172" s="1167">
        <f>Deflators_original!C172</f>
        <v>100.065</v>
      </c>
      <c r="F172" s="1167">
        <f>Deflators_original!D172</f>
        <v>2.90653971435728E-3</v>
      </c>
      <c r="G172" s="1167">
        <f>Deflators_original!E172</f>
        <v>100.12</v>
      </c>
      <c r="H172" s="1167">
        <f>Deflators_original!F172</f>
        <v>1.9213833960451999E-3</v>
      </c>
      <c r="I172" s="1167">
        <f>Deflators_original!G172</f>
        <v>99.897000000000006</v>
      </c>
      <c r="J172" s="1167">
        <f>Deflators_original!H172</f>
        <v>6.0526103770543998E-3</v>
      </c>
      <c r="K172" s="1167">
        <f>Deflators_original!I172</f>
        <v>100.417</v>
      </c>
      <c r="L172" s="1167">
        <f>Deflators_original!J172</f>
        <v>5.3865176864005297E-3</v>
      </c>
    </row>
    <row r="173" spans="1:12" x14ac:dyDescent="0.35">
      <c r="A173" s="1165" t="str">
        <f>Deflators_original!K173</f>
        <v>2012 Q4</v>
      </c>
      <c r="B173" s="1165" t="str">
        <f>Deflators_original!L173</f>
        <v>historical</v>
      </c>
      <c r="C173" s="1167">
        <f>Deflators_original!A173</f>
        <v>100.73</v>
      </c>
      <c r="D173" s="1167">
        <f>Deflators_original!B173</f>
        <v>0</v>
      </c>
      <c r="E173" s="1167">
        <f>Deflators_original!C173</f>
        <v>100.626</v>
      </c>
      <c r="F173" s="1167">
        <f>Deflators_original!D173</f>
        <v>5.6063558686854104E-3</v>
      </c>
      <c r="G173" s="1167">
        <f>Deflators_original!E173</f>
        <v>100.244</v>
      </c>
      <c r="H173" s="1167">
        <f>Deflators_original!F173</f>
        <v>1.2385137834598501E-3</v>
      </c>
      <c r="I173" s="1167">
        <f>Deflators_original!G173</f>
        <v>101.337</v>
      </c>
      <c r="J173" s="1167">
        <f>Deflators_original!H173</f>
        <v>1.4414847292711501E-2</v>
      </c>
      <c r="K173" s="1167">
        <f>Deflators_original!I173</f>
        <v>100.61499999999999</v>
      </c>
      <c r="L173" s="1167">
        <f>Deflators_original!J173</f>
        <v>1.9717776870449301E-3</v>
      </c>
    </row>
    <row r="174" spans="1:12" x14ac:dyDescent="0.35">
      <c r="A174" s="1165" t="str">
        <f>Deflators_original!K174</f>
        <v>2013 Q1</v>
      </c>
      <c r="B174" s="1165" t="str">
        <f>Deflators_original!L174</f>
        <v>historical</v>
      </c>
      <c r="C174" s="1167">
        <f>Deflators_original!A174</f>
        <v>101.124</v>
      </c>
      <c r="D174" s="1167">
        <f>Deflators_original!B174</f>
        <v>0</v>
      </c>
      <c r="E174" s="1167">
        <f>Deflators_original!C174</f>
        <v>100.989</v>
      </c>
      <c r="F174" s="1167">
        <f>Deflators_original!D174</f>
        <v>3.60741756603655E-3</v>
      </c>
      <c r="G174" s="1167">
        <f>Deflators_original!E174</f>
        <v>100.239</v>
      </c>
      <c r="H174" s="1167">
        <f>Deflators_original!F174</f>
        <v>-4.9878296955352397E-5</v>
      </c>
      <c r="I174" s="1167">
        <f>Deflators_original!G174</f>
        <v>102.663</v>
      </c>
      <c r="J174" s="1167">
        <f>Deflators_original!H174</f>
        <v>1.3085052843482501E-2</v>
      </c>
      <c r="K174" s="1167">
        <f>Deflators_original!I174</f>
        <v>101.023</v>
      </c>
      <c r="L174" s="1167">
        <f>Deflators_original!J174</f>
        <v>4.05506137255873E-3</v>
      </c>
    </row>
    <row r="175" spans="1:12" x14ac:dyDescent="0.35">
      <c r="A175" s="1165" t="str">
        <f>Deflators_original!K175</f>
        <v>2013 Q2</v>
      </c>
      <c r="B175" s="1165" t="str">
        <f>Deflators_original!L175</f>
        <v>historical</v>
      </c>
      <c r="C175" s="1167">
        <f>Deflators_original!A175</f>
        <v>101.428</v>
      </c>
      <c r="D175" s="1167">
        <f>Deflators_original!B175</f>
        <v>0</v>
      </c>
      <c r="E175" s="1167">
        <f>Deflators_original!C175</f>
        <v>101.06100000000001</v>
      </c>
      <c r="F175" s="1167">
        <f>Deflators_original!D175</f>
        <v>7.1294893503259804E-4</v>
      </c>
      <c r="G175" s="1167">
        <f>Deflators_original!E175</f>
        <v>100.437</v>
      </c>
      <c r="H175" s="1167">
        <f>Deflators_original!F175</f>
        <v>1.9752790829916699E-3</v>
      </c>
      <c r="I175" s="1167">
        <f>Deflators_original!G175</f>
        <v>103.21</v>
      </c>
      <c r="J175" s="1167">
        <f>Deflators_original!H175</f>
        <v>5.3281123676494103E-3</v>
      </c>
      <c r="K175" s="1167">
        <f>Deflators_original!I175</f>
        <v>101.538</v>
      </c>
      <c r="L175" s="1167">
        <f>Deflators_original!J175</f>
        <v>5.0978490046820202E-3</v>
      </c>
    </row>
    <row r="176" spans="1:12" x14ac:dyDescent="0.35">
      <c r="A176" s="1165" t="str">
        <f>Deflators_original!K176</f>
        <v>2013 Q3</v>
      </c>
      <c r="B176" s="1165" t="str">
        <f>Deflators_original!L176</f>
        <v>historical</v>
      </c>
      <c r="C176" s="1167">
        <f>Deflators_original!A176</f>
        <v>101.973</v>
      </c>
      <c r="D176" s="1167">
        <f>Deflators_original!B176</f>
        <v>0</v>
      </c>
      <c r="E176" s="1167">
        <f>Deflators_original!C176</f>
        <v>101.471</v>
      </c>
      <c r="F176" s="1167">
        <f>Deflators_original!D176</f>
        <v>4.0569557000227404E-3</v>
      </c>
      <c r="G176" s="1167">
        <f>Deflators_original!E176</f>
        <v>100.762</v>
      </c>
      <c r="H176" s="1167">
        <f>Deflators_original!F176</f>
        <v>3.23585929488135E-3</v>
      </c>
      <c r="I176" s="1167">
        <f>Deflators_original!G176</f>
        <v>104.08199999999999</v>
      </c>
      <c r="J176" s="1167">
        <f>Deflators_original!H176</f>
        <v>8.4487937215385108E-3</v>
      </c>
      <c r="K176" s="1167">
        <f>Deflators_original!I176</f>
        <v>102.08499999999999</v>
      </c>
      <c r="L176" s="1167">
        <f>Deflators_original!J176</f>
        <v>5.3871456991470001E-3</v>
      </c>
    </row>
    <row r="177" spans="1:12" x14ac:dyDescent="0.35">
      <c r="A177" s="1165" t="str">
        <f>Deflators_original!K177</f>
        <v>2013 Q4</v>
      </c>
      <c r="B177" s="1165" t="str">
        <f>Deflators_original!L177</f>
        <v>historical</v>
      </c>
      <c r="C177" s="1167">
        <f>Deflators_original!A177</f>
        <v>102.55</v>
      </c>
      <c r="D177" s="1167">
        <f>Deflators_original!B177</f>
        <v>0</v>
      </c>
      <c r="E177" s="1167">
        <f>Deflators_original!C177</f>
        <v>101.896</v>
      </c>
      <c r="F177" s="1167">
        <f>Deflators_original!D177</f>
        <v>4.1883888007410199E-3</v>
      </c>
      <c r="G177" s="1167">
        <f>Deflators_original!E177</f>
        <v>102.295</v>
      </c>
      <c r="H177" s="1167">
        <f>Deflators_original!F177</f>
        <v>1.5214068795776199E-2</v>
      </c>
      <c r="I177" s="1167">
        <f>Deflators_original!G177</f>
        <v>104.636</v>
      </c>
      <c r="J177" s="1167">
        <f>Deflators_original!H177</f>
        <v>5.3227263119464104E-3</v>
      </c>
      <c r="K177" s="1167">
        <f>Deflators_original!I177</f>
        <v>102.85599999999999</v>
      </c>
      <c r="L177" s="1167">
        <f>Deflators_original!J177</f>
        <v>7.55252975461618E-3</v>
      </c>
    </row>
    <row r="178" spans="1:12" x14ac:dyDescent="0.35">
      <c r="A178" s="1165" t="str">
        <f>Deflators_original!K178</f>
        <v>2014 Q1</v>
      </c>
      <c r="B178" s="1165" t="str">
        <f>Deflators_original!L178</f>
        <v>historical</v>
      </c>
      <c r="C178" s="1167">
        <f>Deflators_original!A178</f>
        <v>102.965</v>
      </c>
      <c r="D178" s="1167">
        <f>Deflators_original!B178</f>
        <v>0</v>
      </c>
      <c r="E178" s="1167">
        <f>Deflators_original!C178</f>
        <v>102.386</v>
      </c>
      <c r="F178" s="1167">
        <f>Deflators_original!D178</f>
        <v>4.8088246839914604E-3</v>
      </c>
      <c r="G178" s="1167">
        <f>Deflators_original!E178</f>
        <v>102.03100000000001</v>
      </c>
      <c r="H178" s="1167">
        <f>Deflators_original!F178</f>
        <v>-2.5807712986949398E-3</v>
      </c>
      <c r="I178" s="1167">
        <f>Deflators_original!G178</f>
        <v>105.515</v>
      </c>
      <c r="J178" s="1167">
        <f>Deflators_original!H178</f>
        <v>8.4005504797584098E-3</v>
      </c>
      <c r="K178" s="1167">
        <f>Deflators_original!I178</f>
        <v>103.435</v>
      </c>
      <c r="L178" s="1167">
        <f>Deflators_original!J178</f>
        <v>5.6292292136579398E-3</v>
      </c>
    </row>
    <row r="179" spans="1:12" x14ac:dyDescent="0.35">
      <c r="A179" s="1165" t="str">
        <f>Deflators_original!K179</f>
        <v>2014 Q2</v>
      </c>
      <c r="B179" s="1165" t="str">
        <f>Deflators_original!L179</f>
        <v>historical</v>
      </c>
      <c r="C179" s="1167">
        <f>Deflators_original!A179</f>
        <v>103.55200000000001</v>
      </c>
      <c r="D179" s="1167">
        <f>Deflators_original!B179</f>
        <v>0</v>
      </c>
      <c r="E179" s="1167">
        <f>Deflators_original!C179</f>
        <v>102.899</v>
      </c>
      <c r="F179" s="1167">
        <f>Deflators_original!D179</f>
        <v>5.0104506475494599E-3</v>
      </c>
      <c r="G179" s="1167">
        <f>Deflators_original!E179</f>
        <v>102.482</v>
      </c>
      <c r="H179" s="1167">
        <f>Deflators_original!F179</f>
        <v>4.4202252256666501E-3</v>
      </c>
      <c r="I179" s="1167">
        <f>Deflators_original!G179</f>
        <v>105.848</v>
      </c>
      <c r="J179" s="1167">
        <f>Deflators_original!H179</f>
        <v>3.1559493910817702E-3</v>
      </c>
      <c r="K179" s="1167">
        <f>Deflators_original!I179</f>
        <v>103.907</v>
      </c>
      <c r="L179" s="1167">
        <f>Deflators_original!J179</f>
        <v>4.5632522840430801E-3</v>
      </c>
    </row>
    <row r="180" spans="1:12" x14ac:dyDescent="0.35">
      <c r="A180" s="1165" t="str">
        <f>Deflators_original!K180</f>
        <v>2014 Q3</v>
      </c>
      <c r="B180" s="1165" t="str">
        <f>Deflators_original!L180</f>
        <v>historical</v>
      </c>
      <c r="C180" s="1167">
        <f>Deflators_original!A180</f>
        <v>104.029</v>
      </c>
      <c r="D180" s="1167">
        <f>Deflators_original!B180</f>
        <v>0</v>
      </c>
      <c r="E180" s="1167">
        <f>Deflators_original!C180</f>
        <v>103.19</v>
      </c>
      <c r="F180" s="1167">
        <f>Deflators_original!D180</f>
        <v>2.8280158213393998E-3</v>
      </c>
      <c r="G180" s="1167">
        <f>Deflators_original!E180</f>
        <v>102.961</v>
      </c>
      <c r="H180" s="1167">
        <f>Deflators_original!F180</f>
        <v>4.6739915302198599E-3</v>
      </c>
      <c r="I180" s="1167">
        <f>Deflators_original!G180</f>
        <v>106.45399999999999</v>
      </c>
      <c r="J180" s="1167">
        <f>Deflators_original!H180</f>
        <v>5.7251908396946903E-3</v>
      </c>
      <c r="K180" s="1167">
        <f>Deflators_original!I180</f>
        <v>104.40900000000001</v>
      </c>
      <c r="L180" s="1167">
        <f>Deflators_original!J180</f>
        <v>4.8312433233566E-3</v>
      </c>
    </row>
    <row r="181" spans="1:12" x14ac:dyDescent="0.35">
      <c r="A181" s="1165" t="str">
        <f>Deflators_original!K181</f>
        <v>2014 Q4</v>
      </c>
      <c r="B181" s="1165" t="str">
        <f>Deflators_original!L181</f>
        <v>historical</v>
      </c>
      <c r="C181" s="1167">
        <f>Deflators_original!A181</f>
        <v>104.104</v>
      </c>
      <c r="D181" s="1167">
        <f>Deflators_original!B181</f>
        <v>0</v>
      </c>
      <c r="E181" s="1167">
        <f>Deflators_original!C181</f>
        <v>103.071</v>
      </c>
      <c r="F181" s="1167">
        <f>Deflators_original!D181</f>
        <v>-1.15321252059308E-3</v>
      </c>
      <c r="G181" s="1167">
        <f>Deflators_original!E181</f>
        <v>103.099</v>
      </c>
      <c r="H181" s="1167">
        <f>Deflators_original!F181</f>
        <v>1.3403133225202699E-3</v>
      </c>
      <c r="I181" s="1167">
        <f>Deflators_original!G181</f>
        <v>106.371</v>
      </c>
      <c r="J181" s="1167">
        <f>Deflators_original!H181</f>
        <v>-7.7967948597512703E-4</v>
      </c>
      <c r="K181" s="1167">
        <f>Deflators_original!I181</f>
        <v>104.593</v>
      </c>
      <c r="L181" s="1167">
        <f>Deflators_original!J181</f>
        <v>1.76230018484991E-3</v>
      </c>
    </row>
    <row r="182" spans="1:12" x14ac:dyDescent="0.35">
      <c r="A182" s="1165" t="str">
        <f>Deflators_original!K182</f>
        <v>2015 Q1</v>
      </c>
      <c r="B182" s="1165" t="str">
        <f>Deflators_original!L182</f>
        <v>historical</v>
      </c>
      <c r="C182" s="1167">
        <f>Deflators_original!A182</f>
        <v>104.092</v>
      </c>
      <c r="D182" s="1167">
        <f>Deflators_original!B182</f>
        <v>0</v>
      </c>
      <c r="E182" s="1167">
        <f>Deflators_original!C182</f>
        <v>102.643</v>
      </c>
      <c r="F182" s="1167">
        <f>Deflators_original!D182</f>
        <v>-4.1524774184784601E-3</v>
      </c>
      <c r="G182" s="1167">
        <f>Deflators_original!E182</f>
        <v>102.93300000000001</v>
      </c>
      <c r="H182" s="1167">
        <f>Deflators_original!F182</f>
        <v>-1.6101029107944401E-3</v>
      </c>
      <c r="I182" s="1167">
        <f>Deflators_original!G182</f>
        <v>105.31</v>
      </c>
      <c r="J182" s="1167">
        <f>Deflators_original!H182</f>
        <v>-9.9745231313045392E-3</v>
      </c>
      <c r="K182" s="1167">
        <f>Deflators_original!I182</f>
        <v>104.562</v>
      </c>
      <c r="L182" s="1167">
        <f>Deflators_original!J182</f>
        <v>-2.9638694750133698E-4</v>
      </c>
    </row>
    <row r="183" spans="1:12" x14ac:dyDescent="0.35">
      <c r="A183" s="1165" t="str">
        <f>Deflators_original!K183</f>
        <v>2015 Q2</v>
      </c>
      <c r="B183" s="1165" t="str">
        <f>Deflators_original!L183</f>
        <v>historical</v>
      </c>
      <c r="C183" s="1167">
        <f>Deflators_original!A183</f>
        <v>104.68300000000001</v>
      </c>
      <c r="D183" s="1167">
        <f>Deflators_original!B183</f>
        <v>0</v>
      </c>
      <c r="E183" s="1167">
        <f>Deflators_original!C183</f>
        <v>103.14100000000001</v>
      </c>
      <c r="F183" s="1167">
        <f>Deflators_original!D183</f>
        <v>4.8517677776371802E-3</v>
      </c>
      <c r="G183" s="1167">
        <f>Deflators_original!E183</f>
        <v>103.13500000000001</v>
      </c>
      <c r="H183" s="1167">
        <f>Deflators_original!F183</f>
        <v>1.9624415882175698E-3</v>
      </c>
      <c r="I183" s="1167">
        <f>Deflators_original!G183</f>
        <v>106.047</v>
      </c>
      <c r="J183" s="1167">
        <f>Deflators_original!H183</f>
        <v>6.9983857183553199E-3</v>
      </c>
      <c r="K183" s="1167">
        <f>Deflators_original!I183</f>
        <v>105.021</v>
      </c>
      <c r="L183" s="1167">
        <f>Deflators_original!J183</f>
        <v>4.3897400585299904E-3</v>
      </c>
    </row>
    <row r="184" spans="1:12" x14ac:dyDescent="0.35">
      <c r="A184" s="1165" t="str">
        <f>Deflators_original!K184</f>
        <v>2015 Q3</v>
      </c>
      <c r="B184" s="1165" t="str">
        <f>Deflators_original!L184</f>
        <v>historical</v>
      </c>
      <c r="C184" s="1167">
        <f>Deflators_original!A184</f>
        <v>104.93899999999999</v>
      </c>
      <c r="D184" s="1167">
        <f>Deflators_original!B184</f>
        <v>0</v>
      </c>
      <c r="E184" s="1167">
        <f>Deflators_original!C184</f>
        <v>103.39</v>
      </c>
      <c r="F184" s="1167">
        <f>Deflators_original!D184</f>
        <v>2.4141708922735799E-3</v>
      </c>
      <c r="G184" s="1167">
        <f>Deflators_original!E184</f>
        <v>103.29300000000001</v>
      </c>
      <c r="H184" s="1167">
        <f>Deflators_original!F184</f>
        <v>1.53197265719696E-3</v>
      </c>
      <c r="I184" s="1167">
        <f>Deflators_original!G184</f>
        <v>106.111</v>
      </c>
      <c r="J184" s="1167">
        <f>Deflators_original!H184</f>
        <v>6.0350599262592997E-4</v>
      </c>
      <c r="K184" s="1167">
        <f>Deflators_original!I184</f>
        <v>105.319</v>
      </c>
      <c r="L184" s="1167">
        <f>Deflators_original!J184</f>
        <v>2.8375277325487498E-3</v>
      </c>
    </row>
    <row r="185" spans="1:12" x14ac:dyDescent="0.35">
      <c r="A185" s="1165" t="str">
        <f>Deflators_original!K185</f>
        <v>2015 Q4</v>
      </c>
      <c r="B185" s="1165" t="str">
        <f>Deflators_original!L185</f>
        <v>historical</v>
      </c>
      <c r="C185" s="1167">
        <f>Deflators_original!A185</f>
        <v>104.932</v>
      </c>
      <c r="D185" s="1167">
        <f>Deflators_original!B185</f>
        <v>0</v>
      </c>
      <c r="E185" s="1167">
        <f>Deflators_original!C185</f>
        <v>103.288</v>
      </c>
      <c r="F185" s="1167">
        <f>Deflators_original!D185</f>
        <v>-9.8655575974471209E-4</v>
      </c>
      <c r="G185" s="1167">
        <f>Deflators_original!E185</f>
        <v>103.211</v>
      </c>
      <c r="H185" s="1167">
        <f>Deflators_original!F185</f>
        <v>-7.9385824789679504E-4</v>
      </c>
      <c r="I185" s="1167">
        <f>Deflators_original!G185</f>
        <v>105.693</v>
      </c>
      <c r="J185" s="1167">
        <f>Deflators_original!H185</f>
        <v>-3.9392711405981098E-3</v>
      </c>
      <c r="K185" s="1167">
        <f>Deflators_original!I185</f>
        <v>105.261</v>
      </c>
      <c r="L185" s="1167">
        <f>Deflators_original!J185</f>
        <v>-5.5070784948596497E-4</v>
      </c>
    </row>
    <row r="186" spans="1:12" x14ac:dyDescent="0.35">
      <c r="A186" s="1165" t="str">
        <f>Deflators_original!K186</f>
        <v>2016 Q1</v>
      </c>
      <c r="B186" s="1165" t="str">
        <f>Deflators_original!L186</f>
        <v>historical</v>
      </c>
      <c r="C186" s="1167">
        <f>Deflators_original!A186</f>
        <v>104.873</v>
      </c>
      <c r="D186" s="1167">
        <f>Deflators_original!B186</f>
        <v>0</v>
      </c>
      <c r="E186" s="1167">
        <f>Deflators_original!C186</f>
        <v>103.343</v>
      </c>
      <c r="F186" s="1167">
        <f>Deflators_original!D186</f>
        <v>5.3249167376656604E-4</v>
      </c>
      <c r="G186" s="1167">
        <f>Deflators_original!E186</f>
        <v>102.953</v>
      </c>
      <c r="H186" s="1167">
        <f>Deflators_original!F186</f>
        <v>-2.4997335555317899E-3</v>
      </c>
      <c r="I186" s="1167">
        <f>Deflators_original!G186</f>
        <v>104.792</v>
      </c>
      <c r="J186" s="1167">
        <f>Deflators_original!H186</f>
        <v>-8.5246894307096106E-3</v>
      </c>
      <c r="K186" s="1167">
        <f>Deflators_original!I186</f>
        <v>105.006</v>
      </c>
      <c r="L186" s="1167">
        <f>Deflators_original!J186</f>
        <v>-2.4225496622680702E-3</v>
      </c>
    </row>
    <row r="187" spans="1:12" x14ac:dyDescent="0.35">
      <c r="A187" s="1165" t="str">
        <f>Deflators_original!K187</f>
        <v>2016 Q2</v>
      </c>
      <c r="B187" s="1165" t="str">
        <f>Deflators_original!L187</f>
        <v>historical</v>
      </c>
      <c r="C187" s="1167">
        <f>Deflators_original!A187</f>
        <v>105.57599999999999</v>
      </c>
      <c r="D187" s="1167">
        <f>Deflators_original!B187</f>
        <v>0</v>
      </c>
      <c r="E187" s="1167">
        <f>Deflators_original!C187</f>
        <v>103.992</v>
      </c>
      <c r="F187" s="1167">
        <f>Deflators_original!D187</f>
        <v>6.2800576720243298E-3</v>
      </c>
      <c r="G187" s="1167">
        <f>Deflators_original!E187</f>
        <v>103.50700000000001</v>
      </c>
      <c r="H187" s="1167">
        <f>Deflators_original!F187</f>
        <v>5.3810962283760101E-3</v>
      </c>
      <c r="I187" s="1167">
        <f>Deflators_original!G187</f>
        <v>105.589</v>
      </c>
      <c r="J187" s="1167">
        <f>Deflators_original!H187</f>
        <v>7.6055424078174099E-3</v>
      </c>
      <c r="K187" s="1167">
        <f>Deflators_original!I187</f>
        <v>105.86199999999999</v>
      </c>
      <c r="L187" s="1167">
        <f>Deflators_original!J187</f>
        <v>8.1519151286593202E-3</v>
      </c>
    </row>
    <row r="188" spans="1:12" x14ac:dyDescent="0.35">
      <c r="A188" s="1165" t="str">
        <f>Deflators_original!K188</f>
        <v>2016 Q3</v>
      </c>
      <c r="B188" s="1165" t="str">
        <f>Deflators_original!L188</f>
        <v>historical</v>
      </c>
      <c r="C188" s="1167">
        <f>Deflators_original!A188</f>
        <v>105.89400000000001</v>
      </c>
      <c r="D188" s="1167">
        <f>Deflators_original!B188</f>
        <v>0</v>
      </c>
      <c r="E188" s="1167">
        <f>Deflators_original!C188</f>
        <v>104.38200000000001</v>
      </c>
      <c r="F188" s="1167">
        <f>Deflators_original!D188</f>
        <v>3.7502884837294901E-3</v>
      </c>
      <c r="G188" s="1167">
        <f>Deflators_original!E188</f>
        <v>103.90900000000001</v>
      </c>
      <c r="H188" s="1167">
        <f>Deflators_original!F188</f>
        <v>3.8837952988686202E-3</v>
      </c>
      <c r="I188" s="1167">
        <f>Deflators_original!G188</f>
        <v>105.995</v>
      </c>
      <c r="J188" s="1167">
        <f>Deflators_original!H188</f>
        <v>3.8450975006867299E-3</v>
      </c>
      <c r="K188" s="1167">
        <f>Deflators_original!I188</f>
        <v>105.94199999999999</v>
      </c>
      <c r="L188" s="1167">
        <f>Deflators_original!J188</f>
        <v>7.5570081804610101E-4</v>
      </c>
    </row>
    <row r="189" spans="1:12" x14ac:dyDescent="0.35">
      <c r="A189" s="1165" t="str">
        <f>Deflators_original!K189</f>
        <v>2016 Q4</v>
      </c>
      <c r="B189" s="1165" t="str">
        <f>Deflators_original!L189</f>
        <v>historical</v>
      </c>
      <c r="C189" s="1167">
        <f>Deflators_original!A189</f>
        <v>106.47</v>
      </c>
      <c r="D189" s="1167">
        <f>Deflators_original!B189</f>
        <v>0</v>
      </c>
      <c r="E189" s="1167">
        <f>Deflators_original!C189</f>
        <v>104.876</v>
      </c>
      <c r="F189" s="1167">
        <f>Deflators_original!D189</f>
        <v>4.7326167346859504E-3</v>
      </c>
      <c r="G189" s="1167">
        <f>Deflators_original!E189</f>
        <v>104.41</v>
      </c>
      <c r="H189" s="1167">
        <f>Deflators_original!F189</f>
        <v>4.8215265280195903E-3</v>
      </c>
      <c r="I189" s="1167">
        <f>Deflators_original!G189</f>
        <v>106.51600000000001</v>
      </c>
      <c r="J189" s="1167">
        <f>Deflators_original!H189</f>
        <v>4.9153261946317502E-3</v>
      </c>
      <c r="K189" s="1167">
        <f>Deflators_original!I189</f>
        <v>106.45399999999999</v>
      </c>
      <c r="L189" s="1167">
        <f>Deflators_original!J189</f>
        <v>4.8328330595985803E-3</v>
      </c>
    </row>
    <row r="190" spans="1:12" x14ac:dyDescent="0.35">
      <c r="A190" s="1165" t="str">
        <f>Deflators_original!K190</f>
        <v>2017 Q1</v>
      </c>
      <c r="B190" s="1165" t="str">
        <f>Deflators_original!L190</f>
        <v>historical</v>
      </c>
      <c r="C190" s="1167">
        <f>Deflators_original!A190</f>
        <v>107.00700000000001</v>
      </c>
      <c r="D190" s="1167">
        <f>Deflators_original!B190</f>
        <v>0</v>
      </c>
      <c r="E190" s="1167">
        <f>Deflators_original!C190</f>
        <v>105.453</v>
      </c>
      <c r="F190" s="1167">
        <f>Deflators_original!D190</f>
        <v>5.50173538273779E-3</v>
      </c>
      <c r="G190" s="1167">
        <f>Deflators_original!E190</f>
        <v>104.958</v>
      </c>
      <c r="H190" s="1167">
        <f>Deflators_original!F190</f>
        <v>5.2485394119337102E-3</v>
      </c>
      <c r="I190" s="1167">
        <f>Deflators_original!G190</f>
        <v>107.53400000000001</v>
      </c>
      <c r="J190" s="1167">
        <f>Deflators_original!H190</f>
        <v>9.5572496150813108E-3</v>
      </c>
      <c r="K190" s="1167">
        <f>Deflators_original!I190</f>
        <v>107.188</v>
      </c>
      <c r="L190" s="1167">
        <f>Deflators_original!J190</f>
        <v>6.8949969000695601E-3</v>
      </c>
    </row>
    <row r="191" spans="1:12" x14ac:dyDescent="0.35">
      <c r="A191" s="1165" t="str">
        <f>Deflators_original!K191</f>
        <v>2017 Q2</v>
      </c>
      <c r="B191" s="1165" t="str">
        <f>Deflators_original!L191</f>
        <v>historical</v>
      </c>
      <c r="C191" s="1167">
        <f>Deflators_original!A191</f>
        <v>107.361</v>
      </c>
      <c r="D191" s="1167">
        <f>Deflators_original!B191</f>
        <v>8.8232683683218092E-3</v>
      </c>
      <c r="E191" s="1167">
        <f>Deflators_original!C191</f>
        <v>105.751</v>
      </c>
      <c r="F191" s="1167">
        <f>Deflators_original!D191</f>
        <v>2.8259034830682198E-3</v>
      </c>
      <c r="G191" s="1167">
        <f>Deflators_original!E191</f>
        <v>105.35599999999999</v>
      </c>
      <c r="H191" s="1167">
        <f>Deflators_original!F191</f>
        <v>3.7919929876712999E-3</v>
      </c>
      <c r="I191" s="1167">
        <f>Deflators_original!G191</f>
        <v>107.80200000000001</v>
      </c>
      <c r="J191" s="1167">
        <f>Deflators_original!H191</f>
        <v>2.49223501404217E-3</v>
      </c>
      <c r="K191" s="1167">
        <f>Deflators_original!I191</f>
        <v>107.712</v>
      </c>
      <c r="L191" s="1167">
        <f>Deflators_original!J191</f>
        <v>4.8886069336120403E-3</v>
      </c>
    </row>
    <row r="192" spans="1:12" x14ac:dyDescent="0.35">
      <c r="A192" s="1165" t="str">
        <f>Deflators_original!K192</f>
        <v>2017 Q3</v>
      </c>
      <c r="B192" s="1165" t="str">
        <f>Deflators_original!L192</f>
        <v>historical</v>
      </c>
      <c r="C192" s="1167">
        <f>Deflators_original!A192</f>
        <v>107.94199999999999</v>
      </c>
      <c r="D192" s="1167">
        <f>Deflators_original!B192</f>
        <v>1.2203137210253101E-2</v>
      </c>
      <c r="E192" s="1167">
        <f>Deflators_original!C192</f>
        <v>106.146</v>
      </c>
      <c r="F192" s="1167">
        <f>Deflators_original!D192</f>
        <v>3.7351892653496601E-3</v>
      </c>
      <c r="G192" s="1167">
        <f>Deflators_original!E192</f>
        <v>105.86</v>
      </c>
      <c r="H192" s="1167">
        <f>Deflators_original!F192</f>
        <v>4.7837807054178496E-3</v>
      </c>
      <c r="I192" s="1167">
        <f>Deflators_original!G192</f>
        <v>108.785</v>
      </c>
      <c r="J192" s="1167">
        <f>Deflators_original!H192</f>
        <v>9.1185692287711895E-3</v>
      </c>
      <c r="K192" s="1167">
        <f>Deflators_original!I192</f>
        <v>108.676</v>
      </c>
      <c r="L192" s="1167">
        <f>Deflators_original!J192</f>
        <v>8.94979203802726E-3</v>
      </c>
    </row>
    <row r="193" spans="1:12" x14ac:dyDescent="0.35">
      <c r="A193" s="1165" t="str">
        <f>Deflators_original!K193</f>
        <v>2017 Q4</v>
      </c>
      <c r="B193" s="1165" t="str">
        <f>Deflators_original!L193</f>
        <v>historical</v>
      </c>
      <c r="C193" s="1167">
        <f>Deflators_original!A193</f>
        <v>108.658</v>
      </c>
      <c r="D193" s="1167">
        <f>Deflators_original!B193</f>
        <v>1.65808566008987E-2</v>
      </c>
      <c r="E193" s="1167">
        <f>Deflators_original!C193</f>
        <v>106.85599999999999</v>
      </c>
      <c r="F193" s="1167">
        <f>Deflators_original!D193</f>
        <v>6.6889001940722004E-3</v>
      </c>
      <c r="G193" s="1167">
        <f>Deflators_original!E193</f>
        <v>106.633</v>
      </c>
      <c r="H193" s="1167">
        <f>Deflators_original!F193</f>
        <v>7.3020971093897798E-3</v>
      </c>
      <c r="I193" s="1167">
        <f>Deflators_original!G193</f>
        <v>110.252</v>
      </c>
      <c r="J193" s="1167">
        <f>Deflators_original!H193</f>
        <v>1.3485315071011699E-2</v>
      </c>
      <c r="K193" s="1167">
        <f>Deflators_original!I193</f>
        <v>109.285</v>
      </c>
      <c r="L193" s="1167">
        <f>Deflators_original!J193</f>
        <v>5.6038131694209304E-3</v>
      </c>
    </row>
    <row r="194" spans="1:12" x14ac:dyDescent="0.35">
      <c r="A194" s="1165" t="str">
        <f>Deflators_original!K194</f>
        <v>2018 Q1</v>
      </c>
      <c r="B194" s="1165" t="str">
        <f>Deflators_original!L194</f>
        <v>historical</v>
      </c>
      <c r="C194" s="1167">
        <f>Deflators_original!A194</f>
        <v>109.312</v>
      </c>
      <c r="D194" s="1167">
        <f>Deflators_original!B194</f>
        <v>1.31117034652719E-2</v>
      </c>
      <c r="E194" s="1167">
        <f>Deflators_original!C194</f>
        <v>107.557</v>
      </c>
      <c r="F194" s="1167">
        <f>Deflators_original!D194</f>
        <v>6.56023059070154E-3</v>
      </c>
      <c r="G194" s="1167">
        <f>Deflators_original!E194</f>
        <v>107.655</v>
      </c>
      <c r="H194" s="1167">
        <f>Deflators_original!F194</f>
        <v>9.5842750368084796E-3</v>
      </c>
      <c r="I194" s="1167">
        <f>Deflators_original!G194</f>
        <v>111.627</v>
      </c>
      <c r="J194" s="1167">
        <f>Deflators_original!H194</f>
        <v>1.24714290897217E-2</v>
      </c>
      <c r="K194" s="1167">
        <f>Deflators_original!I194</f>
        <v>110.291</v>
      </c>
      <c r="L194" s="1167">
        <f>Deflators_original!J194</f>
        <v>9.2052889234570702E-3</v>
      </c>
    </row>
    <row r="195" spans="1:12" x14ac:dyDescent="0.35">
      <c r="A195" s="1165" t="str">
        <f>Deflators_original!K195</f>
        <v>2018 Q2</v>
      </c>
      <c r="B195" s="1165" t="str">
        <f>Deflators_original!L195</f>
        <v>historical</v>
      </c>
      <c r="C195" s="1167">
        <f>Deflators_original!A195</f>
        <v>110.15600000000001</v>
      </c>
      <c r="D195" s="1167">
        <f>Deflators_original!B195</f>
        <v>1.7315587503785399E-2</v>
      </c>
      <c r="E195" s="1167">
        <f>Deflators_original!C195</f>
        <v>108.184</v>
      </c>
      <c r="F195" s="1167">
        <f>Deflators_original!D195</f>
        <v>5.8294671662466602E-3</v>
      </c>
      <c r="G195" s="1167">
        <f>Deflators_original!E195</f>
        <v>108.447</v>
      </c>
      <c r="H195" s="1167">
        <f>Deflators_original!F195</f>
        <v>7.3568343318934897E-3</v>
      </c>
      <c r="I195" s="1167">
        <f>Deflators_original!G195</f>
        <v>112.81100000000001</v>
      </c>
      <c r="J195" s="1167">
        <f>Deflators_original!H195</f>
        <v>1.06067528465337E-2</v>
      </c>
      <c r="K195" s="1167">
        <f>Deflators_original!I195</f>
        <v>111.736</v>
      </c>
      <c r="L195" s="1167">
        <f>Deflators_original!J195</f>
        <v>1.3101703674824E-2</v>
      </c>
    </row>
    <row r="196" spans="1:12" x14ac:dyDescent="0.35">
      <c r="A196" s="1165" t="str">
        <f>Deflators_original!K196</f>
        <v>2018 Q3</v>
      </c>
      <c r="B196" s="1165" t="str">
        <f>Deflators_original!L196</f>
        <v>historical</v>
      </c>
      <c r="C196" s="1167">
        <f>Deflators_original!A196</f>
        <v>110.64700000000001</v>
      </c>
      <c r="D196" s="1167">
        <f>Deflators_original!B196</f>
        <v>8.1298035866779195E-3</v>
      </c>
      <c r="E196" s="1167">
        <f>Deflators_original!C196</f>
        <v>108.54600000000001</v>
      </c>
      <c r="F196" s="1167">
        <f>Deflators_original!D196</f>
        <v>3.3461510019967599E-3</v>
      </c>
      <c r="G196" s="1167">
        <f>Deflators_original!E196</f>
        <v>109.07299999999999</v>
      </c>
      <c r="H196" s="1167">
        <f>Deflators_original!F196</f>
        <v>5.7724049535716696E-3</v>
      </c>
      <c r="I196" s="1167">
        <f>Deflators_original!G196</f>
        <v>113.875</v>
      </c>
      <c r="J196" s="1167">
        <f>Deflators_original!H196</f>
        <v>9.4317043550717905E-3</v>
      </c>
      <c r="K196" s="1167">
        <f>Deflators_original!I196</f>
        <v>112.542</v>
      </c>
      <c r="L196" s="1167">
        <f>Deflators_original!J196</f>
        <v>7.2134316603422698E-3</v>
      </c>
    </row>
    <row r="197" spans="1:12" x14ac:dyDescent="0.35">
      <c r="A197" s="1165" t="str">
        <f>Deflators_original!K197</f>
        <v>2018 Q4</v>
      </c>
      <c r="B197" s="1165" t="str">
        <f>Deflators_original!L197</f>
        <v>historical</v>
      </c>
      <c r="C197" s="1167">
        <f>Deflators_original!A197</f>
        <v>111.191</v>
      </c>
      <c r="D197" s="1167">
        <f>Deflators_original!B197</f>
        <v>7.4640231181417596E-3</v>
      </c>
      <c r="E197" s="1167">
        <f>Deflators_original!C197</f>
        <v>108.986</v>
      </c>
      <c r="F197" s="1167">
        <f>Deflators_original!D197</f>
        <v>4.0535809702799703E-3</v>
      </c>
      <c r="G197" s="1167">
        <f>Deflators_original!E197</f>
        <v>109.928</v>
      </c>
      <c r="H197" s="1167">
        <f>Deflators_original!F197</f>
        <v>7.8387868675107199E-3</v>
      </c>
      <c r="I197" s="1167">
        <f>Deflators_original!G197</f>
        <v>114.43899999999999</v>
      </c>
      <c r="J197" s="1167">
        <f>Deflators_original!H197</f>
        <v>4.9527991218440998E-3</v>
      </c>
      <c r="K197" s="1167">
        <f>Deflators_original!I197</f>
        <v>113.715</v>
      </c>
      <c r="L197" s="1167">
        <f>Deflators_original!J197</f>
        <v>1.0422775497147801E-2</v>
      </c>
    </row>
    <row r="198" spans="1:12" x14ac:dyDescent="0.35">
      <c r="A198" s="1165" t="str">
        <f>Deflators_original!K198</f>
        <v>2019 Q1</v>
      </c>
      <c r="B198" s="1165" t="str">
        <f>Deflators_original!L198</f>
        <v>historical</v>
      </c>
      <c r="C198" s="1167">
        <f>Deflators_original!A198</f>
        <v>111.502</v>
      </c>
      <c r="D198" s="1167">
        <f>Deflators_original!B198</f>
        <v>9.0470996910629892E-3</v>
      </c>
      <c r="E198" s="1167">
        <f>Deflators_original!C198</f>
        <v>109.1</v>
      </c>
      <c r="F198" s="1167">
        <f>Deflators_original!D198</f>
        <v>1.0460059090158201E-3</v>
      </c>
      <c r="G198" s="1167">
        <f>Deflators_original!E198</f>
        <v>111.078</v>
      </c>
      <c r="H198" s="1167">
        <f>Deflators_original!F198</f>
        <v>1.0461392911724101E-2</v>
      </c>
      <c r="I198" s="1167">
        <f>Deflators_original!G198</f>
        <v>113.98</v>
      </c>
      <c r="J198" s="1167">
        <f>Deflators_original!H198</f>
        <v>-4.0108704200489996E-3</v>
      </c>
      <c r="K198" s="1167">
        <f>Deflators_original!I198</f>
        <v>114.175</v>
      </c>
      <c r="L198" s="1167">
        <f>Deflators_original!J198</f>
        <v>4.0452007211009304E-3</v>
      </c>
    </row>
    <row r="199" spans="1:12" x14ac:dyDescent="0.35">
      <c r="A199" s="1165" t="str">
        <f>Deflators_original!K199</f>
        <v>2019 Q2</v>
      </c>
      <c r="B199" s="1165" t="str">
        <f>Deflators_original!L199</f>
        <v>historical</v>
      </c>
      <c r="C199" s="1167">
        <f>Deflators_original!A199</f>
        <v>112.142</v>
      </c>
      <c r="D199" s="1167">
        <f>Deflators_original!B199</f>
        <v>1.3698956269998499E-2</v>
      </c>
      <c r="E199" s="1167">
        <f>Deflators_original!C199</f>
        <v>109.83499999999999</v>
      </c>
      <c r="F199" s="1167">
        <f>Deflators_original!D199</f>
        <v>6.7369385884510401E-3</v>
      </c>
      <c r="G199" s="1167">
        <f>Deflators_original!E199</f>
        <v>110.303</v>
      </c>
      <c r="H199" s="1167">
        <f>Deflators_original!F199</f>
        <v>-6.9770791695925602E-3</v>
      </c>
      <c r="I199" s="1167">
        <f>Deflators_original!G199</f>
        <v>114.758</v>
      </c>
      <c r="J199" s="1167">
        <f>Deflators_original!H199</f>
        <v>6.8257589050710896E-3</v>
      </c>
      <c r="K199" s="1167">
        <f>Deflators_original!I199</f>
        <v>115.41800000000001</v>
      </c>
      <c r="L199" s="1167">
        <f>Deflators_original!J199</f>
        <v>1.0886796584191E-2</v>
      </c>
    </row>
    <row r="200" spans="1:12" x14ac:dyDescent="0.35">
      <c r="A200" s="1165" t="str">
        <f>Deflators_original!K200</f>
        <v>2019 Q3</v>
      </c>
      <c r="B200" s="1165" t="str">
        <f>Deflators_original!L200</f>
        <v>historical</v>
      </c>
      <c r="C200" s="1167">
        <f>Deflators_original!A200</f>
        <v>112.524</v>
      </c>
      <c r="D200" s="1167">
        <f>Deflators_original!B200</f>
        <v>1.01318502722025E-2</v>
      </c>
      <c r="E200" s="1167">
        <f>Deflators_original!C200</f>
        <v>110.14100000000001</v>
      </c>
      <c r="F200" s="1167">
        <f>Deflators_original!D200</f>
        <v>2.78599717758476E-3</v>
      </c>
      <c r="G200" s="1167">
        <f>Deflators_original!E200</f>
        <v>110.673</v>
      </c>
      <c r="H200" s="1167">
        <f>Deflators_original!F200</f>
        <v>3.3543965259330601E-3</v>
      </c>
      <c r="I200" s="1167">
        <f>Deflators_original!G200</f>
        <v>114.919</v>
      </c>
      <c r="J200" s="1167">
        <f>Deflators_original!H200</f>
        <v>1.40295229962173E-3</v>
      </c>
      <c r="K200" s="1167">
        <f>Deflators_original!I200</f>
        <v>115.982</v>
      </c>
      <c r="L200" s="1167">
        <f>Deflators_original!J200</f>
        <v>4.8865861477411796E-3</v>
      </c>
    </row>
    <row r="201" spans="1:12" x14ac:dyDescent="0.35">
      <c r="A201" s="1165" t="str">
        <f>Deflators_original!K201</f>
        <v>2019 Q4</v>
      </c>
      <c r="B201" s="1165" t="str">
        <f>Deflators_original!L201</f>
        <v>historical</v>
      </c>
      <c r="C201" s="1167">
        <f>Deflators_original!A201</f>
        <v>112.947</v>
      </c>
      <c r="D201" s="1167">
        <f>Deflators_original!B201</f>
        <v>8.8119042083236697E-3</v>
      </c>
      <c r="E201" s="1167">
        <f>Deflators_original!C201</f>
        <v>110.61199999999999</v>
      </c>
      <c r="F201" s="1167">
        <f>Deflators_original!D201</f>
        <v>4.2763366956899401E-3</v>
      </c>
      <c r="G201" s="1167">
        <f>Deflators_original!E201</f>
        <v>111.068</v>
      </c>
      <c r="H201" s="1167">
        <f>Deflators_original!F201</f>
        <v>3.5690728542643298E-3</v>
      </c>
      <c r="I201" s="1167">
        <f>Deflators_original!G201</f>
        <v>115.285</v>
      </c>
      <c r="J201" s="1167">
        <f>Deflators_original!H201</f>
        <v>3.1848519391919298E-3</v>
      </c>
      <c r="K201" s="1167">
        <f>Deflators_original!I201</f>
        <v>116.167</v>
      </c>
      <c r="L201" s="1167">
        <f>Deflators_original!J201</f>
        <v>1.59507509785994E-3</v>
      </c>
    </row>
    <row r="202" spans="1:12" x14ac:dyDescent="0.35">
      <c r="A202" s="1165" t="str">
        <f>Deflators_original!K202</f>
        <v>2020 Q1</v>
      </c>
      <c r="B202" s="1165" t="str">
        <f>Deflators_original!L202</f>
        <v>historical</v>
      </c>
      <c r="C202" s="1167">
        <f>Deflators_original!A202</f>
        <v>113.39700000000001</v>
      </c>
      <c r="D202" s="1167">
        <f>Deflators_original!B202</f>
        <v>-9.82276613888311E-3</v>
      </c>
      <c r="E202" s="1167">
        <f>Deflators_original!C202</f>
        <v>110.958</v>
      </c>
      <c r="F202" s="1167">
        <f>Deflators_original!D202</f>
        <v>3.1280512060174498E-3</v>
      </c>
      <c r="G202" s="1167">
        <f>Deflators_original!E202</f>
        <v>111.4</v>
      </c>
      <c r="H202" s="1167">
        <f>Deflators_original!F202</f>
        <v>2.9891597940001598E-3</v>
      </c>
      <c r="I202" s="1167">
        <f>Deflators_original!G202</f>
        <v>116.54600000000001</v>
      </c>
      <c r="J202" s="1167">
        <f>Deflators_original!H202</f>
        <v>1.09381099015484E-2</v>
      </c>
      <c r="K202" s="1167">
        <f>Deflators_original!I202</f>
        <v>116.5</v>
      </c>
      <c r="L202" s="1167">
        <f>Deflators_original!J202</f>
        <v>2.86656279322006E-3</v>
      </c>
    </row>
    <row r="203" spans="1:12" x14ac:dyDescent="0.35">
      <c r="A203" s="1165" t="str">
        <f>Deflators_original!K203</f>
        <v>2020 Q2</v>
      </c>
      <c r="B203" s="1165" t="str">
        <f>Deflators_original!L203</f>
        <v>historical</v>
      </c>
      <c r="C203" s="1167">
        <f>Deflators_original!A203</f>
        <v>112.96899999999999</v>
      </c>
      <c r="D203" s="1167">
        <f>Deflators_original!B203</f>
        <v>-9.3290009031068793E-2</v>
      </c>
      <c r="E203" s="1167">
        <f>Deflators_original!C203</f>
        <v>110.505</v>
      </c>
      <c r="F203" s="1167">
        <f>Deflators_original!D203</f>
        <v>-4.0826258584330003E-3</v>
      </c>
      <c r="G203" s="1167">
        <f>Deflators_original!E203</f>
        <v>111.444</v>
      </c>
      <c r="H203" s="1167">
        <f>Deflators_original!F203</f>
        <v>3.94973070017901E-4</v>
      </c>
      <c r="I203" s="1167">
        <f>Deflators_original!G203</f>
        <v>116.072</v>
      </c>
      <c r="J203" s="1167">
        <f>Deflators_original!H203</f>
        <v>-4.0670636486881398E-3</v>
      </c>
      <c r="K203" s="1167">
        <f>Deflators_original!I203</f>
        <v>116.19499999999999</v>
      </c>
      <c r="L203" s="1167">
        <f>Deflators_original!J203</f>
        <v>-2.61802575107306E-3</v>
      </c>
    </row>
    <row r="204" spans="1:12" x14ac:dyDescent="0.35">
      <c r="A204" s="1165" t="str">
        <f>Deflators_original!K204</f>
        <v>2020 Q3</v>
      </c>
      <c r="B204" s="1165" t="str">
        <f>Deflators_original!L204</f>
        <v>historical</v>
      </c>
      <c r="C204" s="1167">
        <f>Deflators_original!A204</f>
        <v>113.98399999999999</v>
      </c>
      <c r="D204" s="1167">
        <f>Deflators_original!B204</f>
        <v>8.5288590879686099E-2</v>
      </c>
      <c r="E204" s="1167">
        <f>Deflators_original!C204</f>
        <v>111.50700000000001</v>
      </c>
      <c r="F204" s="1167">
        <f>Deflators_original!D204</f>
        <v>9.0674630107234807E-3</v>
      </c>
      <c r="G204" s="1167">
        <f>Deflators_original!E204</f>
        <v>112.26900000000001</v>
      </c>
      <c r="H204" s="1167">
        <f>Deflators_original!F204</f>
        <v>7.4028211478411902E-3</v>
      </c>
      <c r="I204" s="1167">
        <f>Deflators_original!G204</f>
        <v>116.51900000000001</v>
      </c>
      <c r="J204" s="1167">
        <f>Deflators_original!H204</f>
        <v>3.8510579640223001E-3</v>
      </c>
      <c r="K204" s="1167">
        <f>Deflators_original!I204</f>
        <v>117.285</v>
      </c>
      <c r="L204" s="1167">
        <f>Deflators_original!J204</f>
        <v>9.3807823056069103E-3</v>
      </c>
    </row>
    <row r="205" spans="1:12" x14ac:dyDescent="0.35">
      <c r="A205" s="1165" t="str">
        <f>Deflators_original!K205</f>
        <v>2020 Q4</v>
      </c>
      <c r="B205" s="1165" t="str">
        <f>Deflators_original!L205</f>
        <v>historical</v>
      </c>
      <c r="C205" s="1167">
        <f>Deflators_original!A205</f>
        <v>114.611</v>
      </c>
      <c r="D205" s="1167">
        <f>Deflators_original!B205</f>
        <v>1.60370128579943E-2</v>
      </c>
      <c r="E205" s="1167">
        <f>Deflators_original!C205</f>
        <v>111.928</v>
      </c>
      <c r="F205" s="1167">
        <f>Deflators_original!D205</f>
        <v>3.7755477234613401E-3</v>
      </c>
      <c r="G205" s="1167">
        <f>Deflators_original!E205</f>
        <v>112.959</v>
      </c>
      <c r="H205" s="1167">
        <f>Deflators_original!F205</f>
        <v>6.1459530235417103E-3</v>
      </c>
      <c r="I205" s="1167">
        <f>Deflators_original!G205</f>
        <v>117.593</v>
      </c>
      <c r="J205" s="1167">
        <f>Deflators_original!H205</f>
        <v>9.2173808563409398E-3</v>
      </c>
      <c r="K205" s="1167">
        <f>Deflators_original!I205</f>
        <v>117.706</v>
      </c>
      <c r="L205" s="1167">
        <f>Deflators_original!J205</f>
        <v>3.5895468303705999E-3</v>
      </c>
    </row>
    <row r="206" spans="1:12" x14ac:dyDescent="0.35">
      <c r="A206" s="1165" t="str">
        <f>Deflators_original!K206</f>
        <v>2021 Q1</v>
      </c>
      <c r="B206" s="1165" t="str">
        <f>Deflators_original!L206</f>
        <v>historical</v>
      </c>
      <c r="C206" s="1167">
        <f>Deflators_original!A206</f>
        <v>115.82599999999999</v>
      </c>
      <c r="D206" s="1167">
        <f>Deflators_original!B206</f>
        <v>2.6101612843148402E-2</v>
      </c>
      <c r="E206" s="1167">
        <f>Deflators_original!C206</f>
        <v>112.989</v>
      </c>
      <c r="F206" s="1167">
        <f>Deflators_original!D206</f>
        <v>9.4793081266528693E-3</v>
      </c>
      <c r="G206" s="1167">
        <f>Deflators_original!E206</f>
        <v>114.065</v>
      </c>
      <c r="H206" s="1167">
        <f>Deflators_original!F206</f>
        <v>9.7911631653961901E-3</v>
      </c>
      <c r="I206" s="1167">
        <f>Deflators_original!G206</f>
        <v>119.419</v>
      </c>
      <c r="J206" s="1167">
        <f>Deflators_original!H206</f>
        <v>1.5528135178114201E-2</v>
      </c>
      <c r="K206" s="1167">
        <f>Deflators_original!I206</f>
        <v>119.416</v>
      </c>
      <c r="L206" s="1167">
        <f>Deflators_original!J206</f>
        <v>1.45277216114725E-2</v>
      </c>
    </row>
    <row r="207" spans="1:12" x14ac:dyDescent="0.35">
      <c r="A207" s="1165" t="str">
        <f>Deflators_original!K207</f>
        <v>2021 Q2</v>
      </c>
      <c r="B207" s="1165" t="str">
        <f>Deflators_original!L207</f>
        <v>historical</v>
      </c>
      <c r="C207" s="1167">
        <f>Deflators_original!A207</f>
        <v>117.54600000000001</v>
      </c>
      <c r="D207" s="1167">
        <f>Deflators_original!B207</f>
        <v>3.1890081767113498E-2</v>
      </c>
      <c r="E207" s="1167">
        <f>Deflators_original!C207</f>
        <v>114.77200000000001</v>
      </c>
      <c r="F207" s="1167">
        <f>Deflators_original!D207</f>
        <v>1.5780297197072201E-2</v>
      </c>
      <c r="G207" s="1167">
        <f>Deflators_original!E207</f>
        <v>115.22799999999999</v>
      </c>
      <c r="H207" s="1167">
        <f>Deflators_original!F207</f>
        <v>1.0195940910884001E-2</v>
      </c>
      <c r="I207" s="1167">
        <f>Deflators_original!G207</f>
        <v>121.425</v>
      </c>
      <c r="J207" s="1167">
        <f>Deflators_original!H207</f>
        <v>1.6797996968656699E-2</v>
      </c>
      <c r="K207" s="1167">
        <f>Deflators_original!I207</f>
        <v>122.101</v>
      </c>
      <c r="L207" s="1167">
        <f>Deflators_original!J207</f>
        <v>2.24844241977624E-2</v>
      </c>
    </row>
    <row r="208" spans="1:12" x14ac:dyDescent="0.35">
      <c r="A208" s="1165" t="str">
        <f>Deflators_original!K208</f>
        <v>2021 Q3</v>
      </c>
      <c r="B208" s="1165" t="str">
        <f>Deflators_original!L208</f>
        <v>historical</v>
      </c>
      <c r="C208" s="1167">
        <f>Deflators_original!A208</f>
        <v>119.259</v>
      </c>
      <c r="D208" s="1167">
        <f>Deflators_original!B208</f>
        <v>2.02849478914735E-2</v>
      </c>
      <c r="E208" s="1167">
        <f>Deflators_original!C208</f>
        <v>116.277</v>
      </c>
      <c r="F208" s="1167">
        <f>Deflators_original!D208</f>
        <v>1.3112954379116901E-2</v>
      </c>
      <c r="G208" s="1167">
        <f>Deflators_original!E208</f>
        <v>116.643</v>
      </c>
      <c r="H208" s="1167">
        <f>Deflators_original!F208</f>
        <v>1.2280001388551299E-2</v>
      </c>
      <c r="I208" s="1167">
        <f>Deflators_original!G208</f>
        <v>123.291</v>
      </c>
      <c r="J208" s="1167">
        <f>Deflators_original!H208</f>
        <v>1.53675108091413E-2</v>
      </c>
      <c r="K208" s="1167">
        <f>Deflators_original!I208</f>
        <v>124.71</v>
      </c>
      <c r="L208" s="1167">
        <f>Deflators_original!J208</f>
        <v>2.13675563672697E-2</v>
      </c>
    </row>
    <row r="209" spans="1:12" x14ac:dyDescent="0.35">
      <c r="A209" s="1165" t="str">
        <f>Deflators_original!K209</f>
        <v>2021 Q4</v>
      </c>
      <c r="B209" s="1165" t="str">
        <f>Deflators_original!L209</f>
        <v>historical</v>
      </c>
      <c r="C209" s="1167">
        <f>Deflators_original!A209</f>
        <v>121.331</v>
      </c>
      <c r="D209" s="1167">
        <f>Deflators_original!B209</f>
        <v>3.4746555298397201E-2</v>
      </c>
      <c r="E209" s="1167">
        <f>Deflators_original!C209</f>
        <v>118.081</v>
      </c>
      <c r="F209" s="1167">
        <f>Deflators_original!D209</f>
        <v>1.55146761612357E-2</v>
      </c>
      <c r="G209" s="1167">
        <f>Deflators_original!E209</f>
        <v>118.261</v>
      </c>
      <c r="H209" s="1167">
        <f>Deflators_original!F209</f>
        <v>1.38713853381685E-2</v>
      </c>
      <c r="I209" s="1167">
        <f>Deflators_original!G209</f>
        <v>125.712</v>
      </c>
      <c r="J209" s="1167">
        <f>Deflators_original!H209</f>
        <v>1.96364698153151E-2</v>
      </c>
      <c r="K209" s="1167">
        <f>Deflators_original!I209</f>
        <v>128.44900000000001</v>
      </c>
      <c r="L209" s="1167">
        <f>Deflators_original!J209</f>
        <v>2.9981557212733798E-2</v>
      </c>
    </row>
    <row r="210" spans="1:12" x14ac:dyDescent="0.35">
      <c r="A210" s="1165" t="str">
        <f>Deflators_original!K210</f>
        <v>2022 Q1</v>
      </c>
      <c r="B210" s="1165" t="str">
        <f>Deflators_original!L210</f>
        <v>historical</v>
      </c>
      <c r="C210" s="1167">
        <f>Deflators_original!A210</f>
        <v>123.745</v>
      </c>
      <c r="D210" s="1167">
        <f>Deflators_original!B210</f>
        <v>1.7256388362455001E-2</v>
      </c>
      <c r="E210" s="1167">
        <f>Deflators_original!C210</f>
        <v>120.11199999999999</v>
      </c>
      <c r="F210" s="1167">
        <f>Deflators_original!D210</f>
        <v>1.7200057587588101E-2</v>
      </c>
      <c r="G210" s="1167">
        <f>Deflators_original!E210</f>
        <v>120.43</v>
      </c>
      <c r="H210" s="1167">
        <f>Deflators_original!F210</f>
        <v>1.8340788594718702E-2</v>
      </c>
      <c r="I210" s="1167">
        <f>Deflators_original!G210</f>
        <v>129</v>
      </c>
      <c r="J210" s="1167">
        <f>Deflators_original!H210</f>
        <v>2.6155021000381799E-2</v>
      </c>
      <c r="K210" s="1167">
        <f>Deflators_original!I210</f>
        <v>132.33099999999999</v>
      </c>
      <c r="L210" s="1167">
        <f>Deflators_original!J210</f>
        <v>3.0222111499505398E-2</v>
      </c>
    </row>
    <row r="211" spans="1:12" x14ac:dyDescent="0.35">
      <c r="A211" s="1165" t="str">
        <f>Deflators_original!K211</f>
        <v>2022 Q2</v>
      </c>
      <c r="B211" s="1165" t="str">
        <f>Deflators_original!L211</f>
        <v>historical</v>
      </c>
      <c r="C211" s="1167">
        <f>Deflators_original!A211</f>
        <v>126.367</v>
      </c>
      <c r="D211" s="1167">
        <f>Deflators_original!B211</f>
        <v>2.1868909379759899E-2</v>
      </c>
      <c r="E211" s="1167">
        <f>Deflators_original!C211</f>
        <v>122.17700000000001</v>
      </c>
      <c r="F211" s="1167">
        <f>Deflators_original!D211</f>
        <v>1.7192287198614799E-2</v>
      </c>
      <c r="G211" s="1167">
        <f>Deflators_original!E211</f>
        <v>122.277</v>
      </c>
      <c r="H211" s="1167">
        <f>Deflators_original!F211</f>
        <v>1.5336710122062501E-2</v>
      </c>
      <c r="I211" s="1167">
        <f>Deflators_original!G211</f>
        <v>133.62100000000001</v>
      </c>
      <c r="J211" s="1167">
        <f>Deflators_original!H211</f>
        <v>3.5821705426356799E-2</v>
      </c>
      <c r="K211" s="1167">
        <f>Deflators_original!I211</f>
        <v>136.69900000000001</v>
      </c>
      <c r="L211" s="1167">
        <f>Deflators_original!J211</f>
        <v>3.3008138682546297E-2</v>
      </c>
    </row>
    <row r="212" spans="1:12" x14ac:dyDescent="0.35">
      <c r="A212" s="1165" t="str">
        <f>Deflators_original!K212</f>
        <v>2022 Q3</v>
      </c>
      <c r="B212" s="1165" t="str">
        <f>Deflators_original!L212</f>
        <v>projection</v>
      </c>
      <c r="C212" s="1167">
        <f>Deflators_original!A212</f>
        <v>125.25700000000001</v>
      </c>
      <c r="D212" s="1167">
        <f>Deflators_original!B212</f>
        <v>1.7285800720441901E-2</v>
      </c>
      <c r="E212" s="1167">
        <f>Deflators_original!C212</f>
        <v>1.2198714458453199</v>
      </c>
      <c r="F212" s="1167">
        <f>Deflators_original!D212</f>
        <v>7.5981647669616202E-3</v>
      </c>
      <c r="G212" s="1167">
        <f>Deflators_original!E212</f>
        <v>1.2131432020522099</v>
      </c>
      <c r="H212" s="1167">
        <f>Deflators_original!F212</f>
        <v>7.4714439061212001E-3</v>
      </c>
      <c r="I212" s="1167">
        <f>Deflators_original!G212</f>
        <v>0</v>
      </c>
      <c r="J212" s="1167">
        <f>Deflators_original!H212</f>
        <v>1.10762503071244E-2</v>
      </c>
      <c r="K212" s="1167">
        <f>Deflators_original!I212</f>
        <v>0</v>
      </c>
      <c r="L212" s="1167">
        <f>Deflators_original!J212</f>
        <v>1.10762503071244E-2</v>
      </c>
    </row>
    <row r="213" spans="1:12" x14ac:dyDescent="0.35">
      <c r="A213" s="1165" t="str">
        <f>Deflators_original!K213</f>
        <v>2022 Q4</v>
      </c>
      <c r="B213" s="1165" t="str">
        <f>Deflators_original!L213</f>
        <v>projection</v>
      </c>
      <c r="C213" s="1167">
        <f>Deflators_original!A213</f>
        <v>126.15</v>
      </c>
      <c r="D213" s="1167">
        <f>Deflators_original!B213</f>
        <v>1.5172343165946499E-2</v>
      </c>
      <c r="E213" s="1167">
        <f>Deflators_original!C213</f>
        <v>1.22815728301251</v>
      </c>
      <c r="F213" s="1167">
        <f>Deflators_original!D213</f>
        <v>6.7923855381670801E-3</v>
      </c>
      <c r="G213" s="1167">
        <f>Deflators_original!E213</f>
        <v>1.2201338245244699</v>
      </c>
      <c r="H213" s="1167">
        <f>Deflators_original!F213</f>
        <v>5.7624050156945801E-3</v>
      </c>
      <c r="I213" s="1167">
        <f>Deflators_original!G213</f>
        <v>0</v>
      </c>
      <c r="J213" s="1167">
        <f>Deflators_original!H213</f>
        <v>9.4401732935755992E-3</v>
      </c>
      <c r="K213" s="1167">
        <f>Deflators_original!I213</f>
        <v>0</v>
      </c>
      <c r="L213" s="1167">
        <f>Deflators_original!J213</f>
        <v>9.4401732935755992E-3</v>
      </c>
    </row>
    <row r="214" spans="1:12" x14ac:dyDescent="0.35">
      <c r="A214" s="1165" t="str">
        <f>Deflators_original!K214</f>
        <v>2023 Q1</v>
      </c>
      <c r="B214" s="1165" t="str">
        <f>Deflators_original!L214</f>
        <v>projection</v>
      </c>
      <c r="C214" s="1167">
        <f>Deflators_original!A214</f>
        <v>126.935</v>
      </c>
      <c r="D214" s="1167">
        <f>Deflators_original!B214</f>
        <v>1.24779327603934E-2</v>
      </c>
      <c r="E214" s="1167">
        <f>Deflators_original!C214</f>
        <v>1.23573743469393</v>
      </c>
      <c r="F214" s="1167">
        <f>Deflators_original!D214</f>
        <v>6.1719714455739103E-3</v>
      </c>
      <c r="G214" s="1167">
        <f>Deflators_original!E214</f>
        <v>1.2267045879799401</v>
      </c>
      <c r="H214" s="1167">
        <f>Deflators_original!F214</f>
        <v>5.3852809613164103E-3</v>
      </c>
      <c r="I214" s="1167">
        <f>Deflators_original!G214</f>
        <v>0</v>
      </c>
      <c r="J214" s="1167">
        <f>Deflators_original!H214</f>
        <v>8.9018658885664497E-3</v>
      </c>
      <c r="K214" s="1167">
        <f>Deflators_original!I214</f>
        <v>0</v>
      </c>
      <c r="L214" s="1167">
        <f>Deflators_original!J214</f>
        <v>8.9018658885664497E-3</v>
      </c>
    </row>
    <row r="215" spans="1:12" x14ac:dyDescent="0.35">
      <c r="A215" s="1165" t="str">
        <f>Deflators_original!K215</f>
        <v>2023 Q2</v>
      </c>
      <c r="B215" s="1165" t="str">
        <f>Deflators_original!L215</f>
        <v>projection</v>
      </c>
      <c r="C215" s="1167">
        <f>Deflators_original!A215</f>
        <v>127.651</v>
      </c>
      <c r="D215" s="1167">
        <f>Deflators_original!B215</f>
        <v>1.18259749914735E-2</v>
      </c>
      <c r="E215" s="1167">
        <f>Deflators_original!C215</f>
        <v>1.2428869130314</v>
      </c>
      <c r="F215" s="1167">
        <f>Deflators_original!D215</f>
        <v>5.7855966297839503E-3</v>
      </c>
      <c r="G215" s="1167">
        <f>Deflators_original!E215</f>
        <v>1.23324136902543</v>
      </c>
      <c r="H215" s="1167">
        <f>Deflators_original!F215</f>
        <v>5.3287328583728798E-3</v>
      </c>
      <c r="I215" s="1167">
        <f>Deflators_original!G215</f>
        <v>0</v>
      </c>
      <c r="J215" s="1167">
        <f>Deflators_original!H215</f>
        <v>7.9070438771131606E-3</v>
      </c>
      <c r="K215" s="1167">
        <f>Deflators_original!I215</f>
        <v>0</v>
      </c>
      <c r="L215" s="1167">
        <f>Deflators_original!J215</f>
        <v>7.9070438771131606E-3</v>
      </c>
    </row>
    <row r="216" spans="1:12" x14ac:dyDescent="0.35">
      <c r="A216" s="1165" t="str">
        <f>Deflators_original!K216</f>
        <v>2023 Q3</v>
      </c>
      <c r="B216" s="1165" t="str">
        <f>Deflators_original!L216</f>
        <v>projection</v>
      </c>
      <c r="C216" s="1167">
        <f>Deflators_original!A216</f>
        <v>128.34299999999999</v>
      </c>
      <c r="D216" s="1167">
        <f>Deflators_original!B216</f>
        <v>1.0703045406514899E-2</v>
      </c>
      <c r="E216" s="1167">
        <f>Deflators_original!C216</f>
        <v>1.2498738813448</v>
      </c>
      <c r="F216" s="1167">
        <f>Deflators_original!D216</f>
        <v>5.6215639895718103E-3</v>
      </c>
      <c r="G216" s="1167">
        <f>Deflators_original!E216</f>
        <v>1.23988697204045</v>
      </c>
      <c r="H216" s="1167">
        <f>Deflators_original!F216</f>
        <v>5.3887285830158697E-3</v>
      </c>
      <c r="I216" s="1167">
        <f>Deflators_original!G216</f>
        <v>0</v>
      </c>
      <c r="J216" s="1167">
        <f>Deflators_original!H216</f>
        <v>7.3042210756391101E-3</v>
      </c>
      <c r="K216" s="1167">
        <f>Deflators_original!I216</f>
        <v>0</v>
      </c>
      <c r="L216" s="1167">
        <f>Deflators_original!J216</f>
        <v>7.3042210756391101E-3</v>
      </c>
    </row>
    <row r="217" spans="1:12" x14ac:dyDescent="0.35">
      <c r="A217" s="1165" t="str">
        <f>Deflators_original!K217</f>
        <v>2023 Q4</v>
      </c>
      <c r="B217" s="1165" t="str">
        <f>Deflators_original!L217</f>
        <v>projection</v>
      </c>
      <c r="C217" s="1167">
        <f>Deflators_original!A217</f>
        <v>129.029</v>
      </c>
      <c r="D217" s="1167">
        <f>Deflators_original!B217</f>
        <v>9.1844879207683104E-3</v>
      </c>
      <c r="E217" s="1167">
        <f>Deflators_original!C217</f>
        <v>1.2567469954114201</v>
      </c>
      <c r="F217" s="1167">
        <f>Deflators_original!D217</f>
        <v>5.4990460791324303E-3</v>
      </c>
      <c r="G217" s="1167">
        <f>Deflators_original!E217</f>
        <v>1.2467339667458399</v>
      </c>
      <c r="H217" s="1167">
        <f>Deflators_original!F217</f>
        <v>5.5222732876392096E-3</v>
      </c>
      <c r="I217" s="1167">
        <f>Deflators_original!G217</f>
        <v>0</v>
      </c>
      <c r="J217" s="1167">
        <f>Deflators_original!H217</f>
        <v>7.0530654325617901E-3</v>
      </c>
      <c r="K217" s="1167">
        <f>Deflators_original!I217</f>
        <v>0</v>
      </c>
      <c r="L217" s="1167">
        <f>Deflators_original!J217</f>
        <v>7.0530654325617901E-3</v>
      </c>
    </row>
    <row r="218" spans="1:12" x14ac:dyDescent="0.35">
      <c r="A218" s="1165" t="str">
        <f>Deflators_original!K218</f>
        <v>2024 Q1</v>
      </c>
      <c r="B218" s="1165" t="str">
        <f>Deflators_original!L218</f>
        <v>projection</v>
      </c>
      <c r="C218" s="1167">
        <f>Deflators_original!A218</f>
        <v>129.727</v>
      </c>
      <c r="D218" s="1167">
        <f>Deflators_original!B218</f>
        <v>9.0043592238056008E-3</v>
      </c>
      <c r="E218" s="1167">
        <f>Deflators_original!C218</f>
        <v>1.2634278982479701</v>
      </c>
      <c r="F218" s="1167">
        <f>Deflators_original!D218</f>
        <v>5.3160284933546596E-3</v>
      </c>
      <c r="G218" s="1167">
        <f>Deflators_original!E218</f>
        <v>1.25364625749611</v>
      </c>
      <c r="H218" s="1167">
        <f>Deflators_original!F218</f>
        <v>5.5443189442509998E-3</v>
      </c>
      <c r="I218" s="1167">
        <f>Deflators_original!G218</f>
        <v>0</v>
      </c>
      <c r="J218" s="1167">
        <f>Deflators_original!H218</f>
        <v>6.9971134735056202E-3</v>
      </c>
      <c r="K218" s="1167">
        <f>Deflators_original!I218</f>
        <v>0</v>
      </c>
      <c r="L218" s="1167">
        <f>Deflators_original!J218</f>
        <v>6.9971134735056202E-3</v>
      </c>
    </row>
    <row r="219" spans="1:12" x14ac:dyDescent="0.35">
      <c r="A219" s="1165" t="str">
        <f>Deflators_original!K219</f>
        <v>2024 Q2</v>
      </c>
      <c r="B219" s="1165" t="str">
        <f>Deflators_original!L219</f>
        <v>projection</v>
      </c>
      <c r="C219" s="1167">
        <f>Deflators_original!A219</f>
        <v>130.39599999999999</v>
      </c>
      <c r="D219" s="1167">
        <f>Deflators_original!B219</f>
        <v>8.7289641899026497E-3</v>
      </c>
      <c r="E219" s="1167">
        <f>Deflators_original!C219</f>
        <v>1.2700115316643099</v>
      </c>
      <c r="F219" s="1167">
        <f>Deflators_original!D219</f>
        <v>5.21092927065592E-3</v>
      </c>
      <c r="G219" s="1167">
        <f>Deflators_original!E219</f>
        <v>1.2606382978723401</v>
      </c>
      <c r="H219" s="1167">
        <f>Deflators_original!F219</f>
        <v>5.5773630993742902E-3</v>
      </c>
      <c r="I219" s="1167">
        <f>Deflators_original!G219</f>
        <v>0</v>
      </c>
      <c r="J219" s="1167">
        <f>Deflators_original!H219</f>
        <v>6.8431490448084302E-3</v>
      </c>
      <c r="K219" s="1167">
        <f>Deflators_original!I219</f>
        <v>0</v>
      </c>
      <c r="L219" s="1167">
        <f>Deflators_original!J219</f>
        <v>6.8431490448084302E-3</v>
      </c>
    </row>
    <row r="220" spans="1:12" x14ac:dyDescent="0.35">
      <c r="A220" s="1165" t="str">
        <f>Deflators_original!K220</f>
        <v>2024 Q3</v>
      </c>
      <c r="B220" s="1165" t="str">
        <f>Deflators_original!L220</f>
        <v>projection</v>
      </c>
      <c r="C220" s="1167">
        <f>Deflators_original!A220</f>
        <v>131.059</v>
      </c>
      <c r="D220" s="1167">
        <f>Deflators_original!B220</f>
        <v>8.5914100492137102E-3</v>
      </c>
      <c r="E220" s="1167">
        <f>Deflators_original!C220</f>
        <v>1.2764995444594001</v>
      </c>
      <c r="F220" s="1167">
        <f>Deflators_original!D220</f>
        <v>5.1086251056220401E-3</v>
      </c>
      <c r="G220" s="1167">
        <f>Deflators_original!E220</f>
        <v>1.2676741614448901</v>
      </c>
      <c r="H220" s="1167">
        <f>Deflators_original!F220</f>
        <v>5.5811913571317496E-3</v>
      </c>
      <c r="I220" s="1167">
        <f>Deflators_original!G220</f>
        <v>0</v>
      </c>
      <c r="J220" s="1167">
        <f>Deflators_original!H220</f>
        <v>6.8673504076357502E-3</v>
      </c>
      <c r="K220" s="1167">
        <f>Deflators_original!I220</f>
        <v>0</v>
      </c>
      <c r="L220" s="1167">
        <f>Deflators_original!J220</f>
        <v>6.8673504076357502E-3</v>
      </c>
    </row>
    <row r="221" spans="1:12" x14ac:dyDescent="0.35">
      <c r="A221" s="1165" t="str">
        <f>Deflators_original!K221</f>
        <v>2024 Q4</v>
      </c>
      <c r="B221" s="1165" t="str">
        <f>Deflators_original!L221</f>
        <v>projection</v>
      </c>
      <c r="C221" s="1167">
        <f>Deflators_original!A221</f>
        <v>131.71700000000001</v>
      </c>
      <c r="D221" s="1167">
        <f>Deflators_original!B221</f>
        <v>8.9161054162174604E-3</v>
      </c>
      <c r="E221" s="1167">
        <f>Deflators_original!C221</f>
        <v>1.28294387302533</v>
      </c>
      <c r="F221" s="1167">
        <f>Deflators_original!D221</f>
        <v>5.0484378109654201E-3</v>
      </c>
      <c r="G221" s="1167">
        <f>Deflators_original!E221</f>
        <v>1.27486756915833</v>
      </c>
      <c r="H221" s="1167">
        <f>Deflators_original!F221</f>
        <v>5.6744926513563297E-3</v>
      </c>
      <c r="I221" s="1167">
        <f>Deflators_original!G221</f>
        <v>0</v>
      </c>
      <c r="J221" s="1167">
        <f>Deflators_original!H221</f>
        <v>6.9547108559351303E-3</v>
      </c>
      <c r="K221" s="1167">
        <f>Deflators_original!I221</f>
        <v>0</v>
      </c>
      <c r="L221" s="1167">
        <f>Deflators_original!J221</f>
        <v>6.9547108559351303E-3</v>
      </c>
    </row>
    <row r="222" spans="1:12" x14ac:dyDescent="0.35">
      <c r="A222" s="1165" t="str">
        <f>Deflators_original!K222</f>
        <v>2025 Q1</v>
      </c>
      <c r="B222" s="1165" t="str">
        <f>Deflators_original!L222</f>
        <v>projection</v>
      </c>
      <c r="C222" s="1167">
        <f>Deflators_original!A222</f>
        <v>132.387</v>
      </c>
      <c r="D222" s="1167">
        <f>Deflators_original!B222</f>
        <v>8.9448645005396604E-3</v>
      </c>
      <c r="E222" s="1167">
        <f>Deflators_original!C222</f>
        <v>1.2894325064411301</v>
      </c>
      <c r="F222" s="1167">
        <f>Deflators_original!D222</f>
        <v>5.0576128482484597E-3</v>
      </c>
      <c r="G222" s="1167">
        <f>Deflators_original!E222</f>
        <v>1.2820380854348901</v>
      </c>
      <c r="H222" s="1167">
        <f>Deflators_original!F222</f>
        <v>5.6245185382668402E-3</v>
      </c>
      <c r="I222" s="1167">
        <f>Deflators_original!G222</f>
        <v>0</v>
      </c>
      <c r="J222" s="1167">
        <f>Deflators_original!H222</f>
        <v>7.1644853940870902E-3</v>
      </c>
      <c r="K222" s="1167">
        <f>Deflators_original!I222</f>
        <v>0</v>
      </c>
      <c r="L222" s="1167">
        <f>Deflators_original!J222</f>
        <v>7.1644853940870902E-3</v>
      </c>
    </row>
    <row r="223" spans="1:12" x14ac:dyDescent="0.35">
      <c r="A223" s="1165" t="str">
        <f>Deflators_original!K223</f>
        <v>2025 Q2</v>
      </c>
      <c r="B223" s="1165" t="str">
        <f>Deflators_original!L223</f>
        <v>projection</v>
      </c>
      <c r="C223" s="1167">
        <f>Deflators_original!A223</f>
        <v>133.06</v>
      </c>
      <c r="D223" s="1167">
        <f>Deflators_original!B223</f>
        <v>9.1533831273586906E-3</v>
      </c>
      <c r="E223" s="1167">
        <f>Deflators_original!C223</f>
        <v>1.2958992443324899</v>
      </c>
      <c r="F223" s="1167">
        <f>Deflators_original!D223</f>
        <v>5.0151813755774403E-3</v>
      </c>
      <c r="G223" s="1167">
        <f>Deflators_original!E223</f>
        <v>1.2893035556861601</v>
      </c>
      <c r="H223" s="1167">
        <f>Deflators_original!F223</f>
        <v>5.6671251297499801E-3</v>
      </c>
      <c r="I223" s="1167">
        <f>Deflators_original!G223</f>
        <v>0</v>
      </c>
      <c r="J223" s="1167">
        <f>Deflators_original!H223</f>
        <v>7.3479141028771596E-3</v>
      </c>
      <c r="K223" s="1167">
        <f>Deflators_original!I223</f>
        <v>0</v>
      </c>
      <c r="L223" s="1167">
        <f>Deflators_original!J223</f>
        <v>7.3479141028771596E-3</v>
      </c>
    </row>
    <row r="224" spans="1:12" x14ac:dyDescent="0.35">
      <c r="A224" s="1165" t="str">
        <f>Deflators_original!K224</f>
        <v>2025 Q3</v>
      </c>
      <c r="B224" s="1165" t="str">
        <f>Deflators_original!L224</f>
        <v>projection</v>
      </c>
      <c r="C224" s="1167">
        <f>Deflators_original!A224</f>
        <v>133.74</v>
      </c>
      <c r="D224" s="1167">
        <f>Deflators_original!B224</f>
        <v>8.7464172787514692E-3</v>
      </c>
      <c r="E224" s="1167">
        <f>Deflators_original!C224</f>
        <v>1.30236106649534</v>
      </c>
      <c r="F224" s="1167">
        <f>Deflators_original!D224</f>
        <v>4.9863615486378503E-3</v>
      </c>
      <c r="G224" s="1167">
        <f>Deflators_original!E224</f>
        <v>1.2965871559633</v>
      </c>
      <c r="H224" s="1167">
        <f>Deflators_original!F224</f>
        <v>5.6492516793433803E-3</v>
      </c>
      <c r="I224" s="1167">
        <f>Deflators_original!G224</f>
        <v>0</v>
      </c>
      <c r="J224" s="1167">
        <f>Deflators_original!H224</f>
        <v>7.4104265836887296E-3</v>
      </c>
      <c r="K224" s="1167">
        <f>Deflators_original!I224</f>
        <v>0</v>
      </c>
      <c r="L224" s="1167">
        <f>Deflators_original!J224</f>
        <v>7.4104265836887296E-3</v>
      </c>
    </row>
    <row r="225" spans="1:12" x14ac:dyDescent="0.35">
      <c r="A225" s="1165" t="str">
        <f>Deflators_original!K225</f>
        <v>2025 Q4</v>
      </c>
      <c r="B225" s="1165" t="str">
        <f>Deflators_original!L225</f>
        <v>projection</v>
      </c>
      <c r="C225" s="1167">
        <f>Deflators_original!A225</f>
        <v>134.423</v>
      </c>
      <c r="D225" s="1167">
        <f>Deflators_original!B225</f>
        <v>9.1103928289688607E-3</v>
      </c>
      <c r="E225" s="1167">
        <f>Deflators_original!C225</f>
        <v>1.3088263705223599</v>
      </c>
      <c r="F225" s="1167">
        <f>Deflators_original!D225</f>
        <v>4.9642946133339203E-3</v>
      </c>
      <c r="G225" s="1167">
        <f>Deflators_original!E225</f>
        <v>1.3039812302954801</v>
      </c>
      <c r="H225" s="1167">
        <f>Deflators_original!F225</f>
        <v>5.7027206371482696E-3</v>
      </c>
      <c r="I225" s="1167">
        <f>Deflators_original!G225</f>
        <v>0</v>
      </c>
      <c r="J225" s="1167">
        <f>Deflators_original!H225</f>
        <v>7.5096199742570296E-3</v>
      </c>
      <c r="K225" s="1167">
        <f>Deflators_original!I225</f>
        <v>0</v>
      </c>
      <c r="L225" s="1167">
        <f>Deflators_original!J225</f>
        <v>7.5096199742570296E-3</v>
      </c>
    </row>
    <row r="226" spans="1:12" x14ac:dyDescent="0.35">
      <c r="A226" s="1165" t="str">
        <f>Deflators_original!K226</f>
        <v>2026 Q1</v>
      </c>
      <c r="B226" s="1165" t="str">
        <f>Deflators_original!L226</f>
        <v>projection</v>
      </c>
      <c r="C226" s="1167">
        <f>Deflators_original!A226</f>
        <v>135.11199999999999</v>
      </c>
      <c r="D226" s="1167">
        <f>Deflators_original!B226</f>
        <v>7.5615020615988904E-3</v>
      </c>
      <c r="E226" s="1167">
        <f>Deflators_original!C226</f>
        <v>1.31531956761644</v>
      </c>
      <c r="F226" s="1167">
        <f>Deflators_original!D226</f>
        <v>4.9610836397546701E-3</v>
      </c>
      <c r="G226" s="1167">
        <f>Deflators_original!E226</f>
        <v>1.3113732962040201</v>
      </c>
      <c r="H226" s="1167">
        <f>Deflators_original!F226</f>
        <v>5.6688437968273097E-3</v>
      </c>
      <c r="I226" s="1167">
        <f>Deflators_original!G226</f>
        <v>0</v>
      </c>
      <c r="J226" s="1167">
        <f>Deflators_original!H226</f>
        <v>7.5110387764860701E-3</v>
      </c>
      <c r="K226" s="1167">
        <f>Deflators_original!I226</f>
        <v>0</v>
      </c>
      <c r="L226" s="1167">
        <f>Deflators_original!J226</f>
        <v>7.5110387764860701E-3</v>
      </c>
    </row>
    <row r="227" spans="1:12" x14ac:dyDescent="0.35">
      <c r="A227" s="1165" t="str">
        <f>Deflators_original!K227</f>
        <v>2026 Q2</v>
      </c>
      <c r="B227" s="1165" t="str">
        <f>Deflators_original!L227</f>
        <v>projection</v>
      </c>
      <c r="C227" s="1167">
        <f>Deflators_original!A227</f>
        <v>135.804</v>
      </c>
      <c r="D227" s="1167">
        <f>Deflators_original!B227</f>
        <v>8.7303712553470393E-3</v>
      </c>
      <c r="E227" s="1167">
        <f>Deflators_original!C227</f>
        <v>1.32183093460853</v>
      </c>
      <c r="F227" s="1167">
        <f>Deflators_original!D227</f>
        <v>4.9504068459142996E-3</v>
      </c>
      <c r="G227" s="1167">
        <f>Deflators_original!E227</f>
        <v>1.3188342120679599</v>
      </c>
      <c r="H227" s="1167">
        <f>Deflators_original!F227</f>
        <v>5.68939133161894E-3</v>
      </c>
      <c r="I227" s="1167">
        <f>Deflators_original!G227</f>
        <v>0</v>
      </c>
      <c r="J227" s="1167">
        <f>Deflators_original!H227</f>
        <v>7.6079053396602703E-3</v>
      </c>
      <c r="K227" s="1167">
        <f>Deflators_original!I227</f>
        <v>0</v>
      </c>
      <c r="L227" s="1167">
        <f>Deflators_original!J227</f>
        <v>7.6079053396602703E-3</v>
      </c>
    </row>
    <row r="228" spans="1:12" x14ac:dyDescent="0.35">
      <c r="A228" s="1165" t="str">
        <f>Deflators_original!K228</f>
        <v>2026 Q3</v>
      </c>
      <c r="B228" s="1165" t="str">
        <f>Deflators_original!L228</f>
        <v>projection</v>
      </c>
      <c r="C228" s="1167">
        <f>Deflators_original!A228</f>
        <v>136.50200000000001</v>
      </c>
      <c r="D228" s="1167">
        <f>Deflators_original!B228</f>
        <v>8.9577129243598695E-3</v>
      </c>
      <c r="E228" s="1167">
        <f>Deflators_original!C228</f>
        <v>1.3283841123407201</v>
      </c>
      <c r="F228" s="1167">
        <f>Deflators_original!D228</f>
        <v>4.9576519663812003E-3</v>
      </c>
      <c r="G228" s="1167">
        <f>Deflators_original!E228</f>
        <v>1.32638279192274</v>
      </c>
      <c r="H228" s="1167">
        <f>Deflators_original!F228</f>
        <v>5.7236760964425298E-3</v>
      </c>
      <c r="I228" s="1167">
        <f>Deflators_original!G228</f>
        <v>0</v>
      </c>
      <c r="J228" s="1167">
        <f>Deflators_original!H228</f>
        <v>7.6427931995954896E-3</v>
      </c>
      <c r="K228" s="1167">
        <f>Deflators_original!I228</f>
        <v>0</v>
      </c>
      <c r="L228" s="1167">
        <f>Deflators_original!J228</f>
        <v>7.6427931995954896E-3</v>
      </c>
    </row>
    <row r="229" spans="1:12" x14ac:dyDescent="0.35">
      <c r="A229" s="1165" t="str">
        <f>Deflators_original!K229</f>
        <v>2026 Q4</v>
      </c>
      <c r="B229" s="1165" t="str">
        <f>Deflators_original!L229</f>
        <v>projection</v>
      </c>
      <c r="C229" s="1167">
        <f>Deflators_original!A229</f>
        <v>137.20500000000001</v>
      </c>
      <c r="D229" s="1167">
        <f>Deflators_original!B229</f>
        <v>8.9456481041094698E-3</v>
      </c>
      <c r="E229" s="1167">
        <f>Deflators_original!C229</f>
        <v>1.3349681151798001</v>
      </c>
      <c r="F229" s="1167">
        <f>Deflators_original!D229</f>
        <v>4.9563998680208802E-3</v>
      </c>
      <c r="G229" s="1167">
        <f>Deflators_original!E229</f>
        <v>1.3339181286549699</v>
      </c>
      <c r="H229" s="1167">
        <f>Deflators_original!F229</f>
        <v>5.6811176819537802E-3</v>
      </c>
      <c r="I229" s="1167">
        <f>Deflators_original!G229</f>
        <v>0</v>
      </c>
      <c r="J229" s="1167">
        <f>Deflators_original!H229</f>
        <v>7.6468716160857904E-3</v>
      </c>
      <c r="K229" s="1167">
        <f>Deflators_original!I229</f>
        <v>0</v>
      </c>
      <c r="L229" s="1167">
        <f>Deflators_original!J229</f>
        <v>7.6468716160857904E-3</v>
      </c>
    </row>
    <row r="230" spans="1:12" x14ac:dyDescent="0.35">
      <c r="A230" s="1165" t="str">
        <f>Deflators_original!K230</f>
        <v>2027 Q1</v>
      </c>
      <c r="B230" s="1165" t="str">
        <f>Deflators_original!L230</f>
        <v>projection</v>
      </c>
      <c r="C230" s="1167">
        <f>Deflators_original!A230</f>
        <v>137.91399999999999</v>
      </c>
      <c r="D230" s="1167">
        <f>Deflators_original!B230</f>
        <v>9.3644791698008802E-3</v>
      </c>
      <c r="E230" s="1167">
        <f>Deflators_original!C230</f>
        <v>1.3416021043815101</v>
      </c>
      <c r="F230" s="1167">
        <f>Deflators_original!D230</f>
        <v>4.9693989888390799E-3</v>
      </c>
      <c r="G230" s="1167">
        <f>Deflators_original!E230</f>
        <v>1.34166118781503</v>
      </c>
      <c r="H230" s="1167">
        <f>Deflators_original!F230</f>
        <v>5.8047484277543599E-3</v>
      </c>
      <c r="I230" s="1167">
        <f>Deflators_original!G230</f>
        <v>0</v>
      </c>
      <c r="J230" s="1167">
        <f>Deflators_original!H230</f>
        <v>7.6361657960506398E-3</v>
      </c>
      <c r="K230" s="1167">
        <f>Deflators_original!I230</f>
        <v>0</v>
      </c>
      <c r="L230" s="1167">
        <f>Deflators_original!J230</f>
        <v>7.6361657960506398E-3</v>
      </c>
    </row>
    <row r="231" spans="1:12" x14ac:dyDescent="0.35">
      <c r="A231" s="1165" t="str">
        <f>Deflators_original!K231</f>
        <v>2027 Q2</v>
      </c>
      <c r="B231" s="1165" t="str">
        <f>Deflators_original!L231</f>
        <v>projection</v>
      </c>
      <c r="C231" s="1167">
        <f>Deflators_original!A231</f>
        <v>138.62700000000001</v>
      </c>
      <c r="D231" s="1167">
        <f>Deflators_original!B231</f>
        <v>9.2842237752972494E-3</v>
      </c>
      <c r="E231" s="1167">
        <f>Deflators_original!C231</f>
        <v>1.3482829151358799</v>
      </c>
      <c r="F231" s="1167">
        <f>Deflators_original!D231</f>
        <v>4.9797259057300404E-3</v>
      </c>
      <c r="G231" s="1167">
        <f>Deflators_original!E231</f>
        <v>1.34929556901964</v>
      </c>
      <c r="H231" s="1167">
        <f>Deflators_original!F231</f>
        <v>5.6902452526301798E-3</v>
      </c>
      <c r="I231" s="1167">
        <f>Deflators_original!G231</f>
        <v>0</v>
      </c>
      <c r="J231" s="1167">
        <f>Deflators_original!H231</f>
        <v>7.7033226228278E-3</v>
      </c>
      <c r="K231" s="1167">
        <f>Deflators_original!I231</f>
        <v>0</v>
      </c>
      <c r="L231" s="1167">
        <f>Deflators_original!J231</f>
        <v>7.7033226228278E-3</v>
      </c>
    </row>
    <row r="232" spans="1:12" x14ac:dyDescent="0.35">
      <c r="A232" s="1165" t="str">
        <f>Deflators_original!K232</f>
        <v>2027 Q3</v>
      </c>
      <c r="B232" s="1165" t="str">
        <f>Deflators_original!L232</f>
        <v>projection</v>
      </c>
      <c r="C232" s="1167">
        <f>Deflators_original!A232</f>
        <v>139.346</v>
      </c>
      <c r="D232" s="1167">
        <f>Deflators_original!B232</f>
        <v>9.2775825120687792E-3</v>
      </c>
      <c r="E232" s="1167">
        <f>Deflators_original!C232</f>
        <v>1.3549987033194999</v>
      </c>
      <c r="F232" s="1167">
        <f>Deflators_original!D232</f>
        <v>4.9809933124782503E-3</v>
      </c>
      <c r="G232" s="1167">
        <f>Deflators_original!E232</f>
        <v>1.35701779982492</v>
      </c>
      <c r="H232" s="1167">
        <f>Deflators_original!F232</f>
        <v>5.7231573145193303E-3</v>
      </c>
      <c r="I232" s="1167">
        <f>Deflators_original!G232</f>
        <v>0</v>
      </c>
      <c r="J232" s="1167">
        <f>Deflators_original!H232</f>
        <v>7.6930261622452098E-3</v>
      </c>
      <c r="K232" s="1167">
        <f>Deflators_original!I232</f>
        <v>0</v>
      </c>
      <c r="L232" s="1167">
        <f>Deflators_original!J232</f>
        <v>7.6930261622452098E-3</v>
      </c>
    </row>
    <row r="233" spans="1:12" x14ac:dyDescent="0.35">
      <c r="A233" s="1165" t="str">
        <f>Deflators_original!K233</f>
        <v>2027 Q4</v>
      </c>
      <c r="B233" s="1165" t="str">
        <f>Deflators_original!L233</f>
        <v>projection</v>
      </c>
      <c r="C233" s="1167">
        <f>Deflators_original!A233</f>
        <v>140.06800000000001</v>
      </c>
      <c r="D233" s="1167">
        <f>Deflators_original!B233</f>
        <v>9.2605839890744796E-3</v>
      </c>
      <c r="E233" s="1167">
        <f>Deflators_original!C233</f>
        <v>1.36175128590698</v>
      </c>
      <c r="F233" s="1167">
        <f>Deflators_original!D233</f>
        <v>4.9834605530849601E-3</v>
      </c>
      <c r="G233" s="1167">
        <f>Deflators_original!E233</f>
        <v>1.3647496173190501</v>
      </c>
      <c r="H233" s="1167">
        <f>Deflators_original!F233</f>
        <v>5.6976537044128896E-3</v>
      </c>
      <c r="I233" s="1167">
        <f>Deflators_original!G233</f>
        <v>0</v>
      </c>
      <c r="J233" s="1167">
        <f>Deflators_original!H233</f>
        <v>7.72989197946106E-3</v>
      </c>
      <c r="K233" s="1167">
        <f>Deflators_original!I233</f>
        <v>0</v>
      </c>
      <c r="L233" s="1167">
        <f>Deflators_original!J233</f>
        <v>7.72989197946106E-3</v>
      </c>
    </row>
    <row r="234" spans="1:12" x14ac:dyDescent="0.35">
      <c r="A234" s="1165" t="str">
        <f>Deflators_original!K234</f>
        <v>2028 Q1</v>
      </c>
      <c r="B234" s="1165" t="str">
        <f>Deflators_original!L234</f>
        <v>projection</v>
      </c>
      <c r="C234" s="1167">
        <f>Deflators_original!A234</f>
        <v>140.79400000000001</v>
      </c>
      <c r="D234" s="1167">
        <f>Deflators_original!B234</f>
        <v>9.5654471178010497E-3</v>
      </c>
      <c r="E234" s="1167">
        <f>Deflators_original!C234</f>
        <v>1.3685565521093499</v>
      </c>
      <c r="F234" s="1167">
        <f>Deflators_original!D234</f>
        <v>4.9974369569547603E-3</v>
      </c>
      <c r="G234" s="1167">
        <f>Deflators_original!E234</f>
        <v>1.3725775899752299</v>
      </c>
      <c r="H234" s="1167">
        <f>Deflators_original!F234</f>
        <v>5.7358306291819296E-3</v>
      </c>
      <c r="I234" s="1167">
        <f>Deflators_original!G234</f>
        <v>0</v>
      </c>
      <c r="J234" s="1167">
        <f>Deflators_original!H234</f>
        <v>7.76710044167461E-3</v>
      </c>
      <c r="K234" s="1167">
        <f>Deflators_original!I234</f>
        <v>0</v>
      </c>
      <c r="L234" s="1167">
        <f>Deflators_original!J234</f>
        <v>7.76710044167461E-3</v>
      </c>
    </row>
    <row r="235" spans="1:12" x14ac:dyDescent="0.35">
      <c r="A235" s="1165" t="str">
        <f>Deflators_original!K235</f>
        <v>2028 Q2</v>
      </c>
      <c r="B235" s="1165" t="str">
        <f>Deflators_original!L235</f>
        <v>projection</v>
      </c>
      <c r="C235" s="1167">
        <f>Deflators_original!A235</f>
        <v>141.52500000000001</v>
      </c>
      <c r="D235" s="1167">
        <f>Deflators_original!B235</f>
        <v>9.5131112437252304E-3</v>
      </c>
      <c r="E235" s="1167">
        <f>Deflators_original!C235</f>
        <v>1.3754167465031599</v>
      </c>
      <c r="F235" s="1167">
        <f>Deflators_original!D235</f>
        <v>5.0127226260690003E-3</v>
      </c>
      <c r="G235" s="1167">
        <f>Deflators_original!E235</f>
        <v>1.3803975824655901</v>
      </c>
      <c r="H235" s="1167">
        <f>Deflators_original!F235</f>
        <v>5.6973045075765496E-3</v>
      </c>
      <c r="I235" s="1167">
        <f>Deflators_original!G235</f>
        <v>0</v>
      </c>
      <c r="J235" s="1167">
        <f>Deflators_original!H235</f>
        <v>7.7117945916846996E-3</v>
      </c>
      <c r="K235" s="1167">
        <f>Deflators_original!I235</f>
        <v>0</v>
      </c>
      <c r="L235" s="1167">
        <f>Deflators_original!J235</f>
        <v>7.7117945916846996E-3</v>
      </c>
    </row>
    <row r="236" spans="1:12" x14ac:dyDescent="0.35">
      <c r="A236" s="1165" t="str">
        <f>Deflators_original!K236</f>
        <v>2028 Q3</v>
      </c>
      <c r="B236" s="1165" t="str">
        <f>Deflators_original!L236</f>
        <v>projection</v>
      </c>
      <c r="C236" s="1167">
        <f>Deflators_original!A236</f>
        <v>142.261</v>
      </c>
      <c r="D236" s="1167">
        <f>Deflators_original!B236</f>
        <v>9.6226188444006305E-3</v>
      </c>
      <c r="E236" s="1167">
        <f>Deflators_original!C236</f>
        <v>1.38231462830346</v>
      </c>
      <c r="F236" s="1167">
        <f>Deflators_original!D236</f>
        <v>5.01512128439097E-3</v>
      </c>
      <c r="G236" s="1167">
        <f>Deflators_original!E236</f>
        <v>1.3882378630176899</v>
      </c>
      <c r="H236" s="1167">
        <f>Deflators_original!F236</f>
        <v>5.6797263713610499E-3</v>
      </c>
      <c r="I236" s="1167">
        <f>Deflators_original!G236</f>
        <v>0</v>
      </c>
      <c r="J236" s="1167">
        <f>Deflators_original!H236</f>
        <v>7.7619204183672101E-3</v>
      </c>
      <c r="K236" s="1167">
        <f>Deflators_original!I236</f>
        <v>0</v>
      </c>
      <c r="L236" s="1167">
        <f>Deflators_original!J236</f>
        <v>7.7619204183672101E-3</v>
      </c>
    </row>
    <row r="237" spans="1:12" x14ac:dyDescent="0.35">
      <c r="A237" s="1165" t="str">
        <f>Deflators_original!K237</f>
        <v>2028 Q4</v>
      </c>
      <c r="B237" s="1165" t="str">
        <f>Deflators_original!L237</f>
        <v>projection</v>
      </c>
      <c r="C237" s="1167">
        <f>Deflators_original!A237</f>
        <v>143.001</v>
      </c>
      <c r="D237" s="1167">
        <f>Deflators_original!B237</f>
        <v>9.63423110882888E-3</v>
      </c>
      <c r="E237" s="1167">
        <f>Deflators_original!C237</f>
        <v>1.3892738376724401</v>
      </c>
      <c r="F237" s="1167">
        <f>Deflators_original!D237</f>
        <v>5.0344612047694701E-3</v>
      </c>
      <c r="G237" s="1167">
        <f>Deflators_original!E237</f>
        <v>1.39614405238268</v>
      </c>
      <c r="H237" s="1167">
        <f>Deflators_original!F237</f>
        <v>5.69512586828003E-3</v>
      </c>
      <c r="I237" s="1167">
        <f>Deflators_original!G237</f>
        <v>0</v>
      </c>
      <c r="J237" s="1167">
        <f>Deflators_original!H237</f>
        <v>7.7995328359632401E-3</v>
      </c>
      <c r="K237" s="1167">
        <f>Deflators_original!I237</f>
        <v>0</v>
      </c>
      <c r="L237" s="1167">
        <f>Deflators_original!J237</f>
        <v>7.7995328359632401E-3</v>
      </c>
    </row>
    <row r="238" spans="1:12" x14ac:dyDescent="0.35">
      <c r="A238" s="1165" t="str">
        <f>Deflators_original!K238</f>
        <v>2029 Q1</v>
      </c>
      <c r="B238" s="1165" t="str">
        <f>Deflators_original!L238</f>
        <v>projection</v>
      </c>
      <c r="C238" s="1167">
        <f>Deflators_original!A238</f>
        <v>143.74600000000001</v>
      </c>
      <c r="D238" s="1167">
        <f>Deflators_original!B238</f>
        <v>9.6539405009628005E-3</v>
      </c>
      <c r="E238" s="1167">
        <f>Deflators_original!C238</f>
        <v>1.39627437041138</v>
      </c>
      <c r="F238" s="1167">
        <f>Deflators_original!D238</f>
        <v>5.0389869506730599E-3</v>
      </c>
      <c r="G238" s="1167">
        <f>Deflators_original!E238</f>
        <v>1.4040433423023799</v>
      </c>
      <c r="H238" s="1167">
        <f>Deflators_original!F238</f>
        <v>5.6579332957886804E-3</v>
      </c>
      <c r="I238" s="1167">
        <f>Deflators_original!G238</f>
        <v>0</v>
      </c>
      <c r="J238" s="1167">
        <f>Deflators_original!H238</f>
        <v>7.7912884572341997E-3</v>
      </c>
      <c r="K238" s="1167">
        <f>Deflators_original!I238</f>
        <v>0</v>
      </c>
      <c r="L238" s="1167">
        <f>Deflators_original!J238</f>
        <v>7.7912884572341997E-3</v>
      </c>
    </row>
    <row r="239" spans="1:12" x14ac:dyDescent="0.35">
      <c r="A239" s="1165" t="str">
        <f>Deflators_original!K239</f>
        <v>2029 Q2</v>
      </c>
      <c r="B239" s="1165" t="str">
        <f>Deflators_original!L239</f>
        <v>projection</v>
      </c>
      <c r="C239" s="1167">
        <f>Deflators_original!A239</f>
        <v>144.49700000000001</v>
      </c>
      <c r="D239" s="1167">
        <f>Deflators_original!B239</f>
        <v>9.6691361665008895E-3</v>
      </c>
      <c r="E239" s="1167">
        <f>Deflators_original!C239</f>
        <v>1.4033099027935101</v>
      </c>
      <c r="F239" s="1167">
        <f>Deflators_original!D239</f>
        <v>5.0387893176471197E-3</v>
      </c>
      <c r="G239" s="1167">
        <f>Deflators_original!E239</f>
        <v>1.41203838325095</v>
      </c>
      <c r="H239" s="1167">
        <f>Deflators_original!F239</f>
        <v>5.6942978237812802E-3</v>
      </c>
      <c r="I239" s="1167">
        <f>Deflators_original!G239</f>
        <v>0</v>
      </c>
      <c r="J239" s="1167">
        <f>Deflators_original!H239</f>
        <v>7.7941515137436301E-3</v>
      </c>
      <c r="K239" s="1167">
        <f>Deflators_original!I239</f>
        <v>0</v>
      </c>
      <c r="L239" s="1167">
        <f>Deflators_original!J239</f>
        <v>7.7941515137436301E-3</v>
      </c>
    </row>
    <row r="240" spans="1:12" x14ac:dyDescent="0.35">
      <c r="A240" s="1165" t="str">
        <f>Deflators_original!K240</f>
        <v>2029 Q3</v>
      </c>
      <c r="B240" s="1165" t="str">
        <f>Deflators_original!L240</f>
        <v>projection</v>
      </c>
      <c r="C240" s="1167">
        <f>Deflators_original!A240</f>
        <v>145.25200000000001</v>
      </c>
      <c r="D240" s="1167">
        <f>Deflators_original!B240</f>
        <v>9.6586760769043992E-3</v>
      </c>
      <c r="E240" s="1167">
        <f>Deflators_original!C240</f>
        <v>1.41038640723486</v>
      </c>
      <c r="F240" s="1167">
        <f>Deflators_original!D240</f>
        <v>5.0427239394939E-3</v>
      </c>
      <c r="G240" s="1167">
        <f>Deflators_original!E240</f>
        <v>1.4200276142722199</v>
      </c>
      <c r="H240" s="1167">
        <f>Deflators_original!F240</f>
        <v>5.6579418208730897E-3</v>
      </c>
      <c r="I240" s="1167">
        <f>Deflators_original!G240</f>
        <v>0</v>
      </c>
      <c r="J240" s="1167">
        <f>Deflators_original!H240</f>
        <v>7.8704073905595494E-3</v>
      </c>
      <c r="K240" s="1167">
        <f>Deflators_original!I240</f>
        <v>0</v>
      </c>
      <c r="L240" s="1167">
        <f>Deflators_original!J240</f>
        <v>7.8704073905595494E-3</v>
      </c>
    </row>
    <row r="241" spans="1:12" x14ac:dyDescent="0.35">
      <c r="A241" s="1165" t="str">
        <f>Deflators_original!K241</f>
        <v>2029 Q4</v>
      </c>
      <c r="B241" s="1165" t="str">
        <f>Deflators_original!L241</f>
        <v>projection</v>
      </c>
      <c r="C241" s="1167">
        <f>Deflators_original!A241</f>
        <v>146.01300000000001</v>
      </c>
      <c r="D241" s="1167">
        <f>Deflators_original!B241</f>
        <v>9.6476295213847596E-3</v>
      </c>
      <c r="E241" s="1167">
        <f>Deflators_original!C241</f>
        <v>1.4174991943280699</v>
      </c>
      <c r="F241" s="1167">
        <f>Deflators_original!D241</f>
        <v>5.0431477903676303E-3</v>
      </c>
      <c r="G241" s="1167">
        <f>Deflators_original!E241</f>
        <v>1.4280836844399201</v>
      </c>
      <c r="H241" s="1167">
        <f>Deflators_original!F241</f>
        <v>5.6731785260632998E-3</v>
      </c>
      <c r="I241" s="1167">
        <f>Deflators_original!G241</f>
        <v>0</v>
      </c>
      <c r="J241" s="1167">
        <f>Deflators_original!H241</f>
        <v>7.8346502176538397E-3</v>
      </c>
      <c r="K241" s="1167">
        <f>Deflators_original!I241</f>
        <v>0</v>
      </c>
      <c r="L241" s="1167">
        <f>Deflators_original!J241</f>
        <v>7.8346502176538397E-3</v>
      </c>
    </row>
    <row r="242" spans="1:12" x14ac:dyDescent="0.35">
      <c r="A242" s="1165" t="str">
        <f>Deflators_original!K242</f>
        <v>2030 Q1</v>
      </c>
      <c r="B242" s="1165" t="str">
        <f>Deflators_original!L242</f>
        <v>projection</v>
      </c>
      <c r="C242" s="1167">
        <f>Deflators_original!A242</f>
        <v>146.77699999999999</v>
      </c>
      <c r="D242" s="1167">
        <f>Deflators_original!B242</f>
        <v>9.6300474191055602E-3</v>
      </c>
      <c r="E242" s="1167">
        <f>Deflators_original!C242</f>
        <v>1.4246406393566999</v>
      </c>
      <c r="F242" s="1167">
        <f>Deflators_original!D242</f>
        <v>5.0380593210934696E-3</v>
      </c>
      <c r="G242" s="1167">
        <f>Deflators_original!E242</f>
        <v>1.43620652094982</v>
      </c>
      <c r="H242" s="1167">
        <f>Deflators_original!F242</f>
        <v>5.6879275342209797E-3</v>
      </c>
      <c r="I242" s="1167">
        <f>Deflators_original!G242</f>
        <v>0</v>
      </c>
      <c r="J242" s="1167">
        <f>Deflators_original!H242</f>
        <v>7.8797512420421007E-3</v>
      </c>
      <c r="K242" s="1167">
        <f>Deflators_original!I242</f>
        <v>0</v>
      </c>
      <c r="L242" s="1167">
        <f>Deflators_original!J242</f>
        <v>7.8797512420421007E-3</v>
      </c>
    </row>
    <row r="243" spans="1:12" x14ac:dyDescent="0.35">
      <c r="A243" s="1165" t="str">
        <f>Deflators_original!K243</f>
        <v>2030 Q2</v>
      </c>
      <c r="B243" s="1165" t="str">
        <f>Deflators_original!L243</f>
        <v>projection</v>
      </c>
      <c r="C243" s="1167">
        <f>Deflators_original!A243</f>
        <v>147.54300000000001</v>
      </c>
      <c r="D243" s="1167">
        <f>Deflators_original!B243</f>
        <v>9.6120878211418698E-3</v>
      </c>
      <c r="E243" s="1167">
        <f>Deflators_original!C243</f>
        <v>1.4318117675930999</v>
      </c>
      <c r="F243" s="1167">
        <f>Deflators_original!D243</f>
        <v>5.0336400902089001E-3</v>
      </c>
      <c r="G243" s="1167">
        <f>Deflators_original!E243</f>
        <v>1.4443234610917499</v>
      </c>
      <c r="H243" s="1167">
        <f>Deflators_original!F243</f>
        <v>5.65165247722432E-3</v>
      </c>
      <c r="I243" s="1167">
        <f>Deflators_original!G243</f>
        <v>0</v>
      </c>
      <c r="J243" s="1167">
        <f>Deflators_original!H243</f>
        <v>7.8594590588953999E-3</v>
      </c>
      <c r="K243" s="1167">
        <f>Deflators_original!I243</f>
        <v>0</v>
      </c>
      <c r="L243" s="1167">
        <f>Deflators_original!J243</f>
        <v>7.8594590588953999E-3</v>
      </c>
    </row>
    <row r="244" spans="1:12" x14ac:dyDescent="0.35">
      <c r="A244" s="1165" t="str">
        <f>Deflators_original!K244</f>
        <v>2030 Q3</v>
      </c>
      <c r="B244" s="1165" t="str">
        <f>Deflators_original!L244</f>
        <v>projection</v>
      </c>
      <c r="C244" s="1167">
        <f>Deflators_original!A244</f>
        <v>148.31399999999999</v>
      </c>
      <c r="D244" s="1167">
        <f>Deflators_original!B244</f>
        <v>9.5966929760873398E-3</v>
      </c>
      <c r="E244" s="1167">
        <f>Deflators_original!C244</f>
        <v>1.4390135213502999</v>
      </c>
      <c r="F244" s="1167">
        <f>Deflators_original!D244</f>
        <v>5.0298188073325499E-3</v>
      </c>
      <c r="G244" s="1167">
        <f>Deflators_original!E244</f>
        <v>1.45250707495828</v>
      </c>
      <c r="H244" s="1167">
        <f>Deflators_original!F244</f>
        <v>5.6660534063028801E-3</v>
      </c>
      <c r="I244" s="1167">
        <f>Deflators_original!G244</f>
        <v>0</v>
      </c>
      <c r="J244" s="1167">
        <f>Deflators_original!H244</f>
        <v>7.8108491379678098E-3</v>
      </c>
      <c r="K244" s="1167">
        <f>Deflators_original!I244</f>
        <v>0</v>
      </c>
      <c r="L244" s="1167">
        <f>Deflators_original!J244</f>
        <v>7.8108491379678098E-3</v>
      </c>
    </row>
    <row r="245" spans="1:12" x14ac:dyDescent="0.35">
      <c r="A245" s="1165" t="str">
        <f>Deflators_original!K245</f>
        <v>2030 Q4</v>
      </c>
      <c r="B245" s="1165" t="str">
        <f>Deflators_original!L245</f>
        <v>projection</v>
      </c>
      <c r="C245" s="1167">
        <f>Deflators_original!A245</f>
        <v>149.08799999999999</v>
      </c>
      <c r="D245" s="1167">
        <f>Deflators_original!B245</f>
        <v>9.5779663277790698E-3</v>
      </c>
      <c r="E245" s="1167">
        <f>Deflators_original!C245</f>
        <v>1.44623561211164</v>
      </c>
      <c r="F245" s="1167">
        <f>Deflators_original!D245</f>
        <v>5.0187789441757903E-3</v>
      </c>
      <c r="G245" s="1167">
        <f>Deflators_original!E245</f>
        <v>1.4607907145448</v>
      </c>
      <c r="H245" s="1167">
        <f>Deflators_original!F245</f>
        <v>5.7029943119257798E-3</v>
      </c>
      <c r="I245" s="1167">
        <f>Deflators_original!G245</f>
        <v>0</v>
      </c>
      <c r="J245" s="1167">
        <f>Deflators_original!H245</f>
        <v>7.8801243293176206E-3</v>
      </c>
      <c r="K245" s="1167">
        <f>Deflators_original!I245</f>
        <v>0</v>
      </c>
      <c r="L245" s="1167">
        <f>Deflators_original!J245</f>
        <v>7.8801243293176206E-3</v>
      </c>
    </row>
    <row r="246" spans="1:12" x14ac:dyDescent="0.35">
      <c r="A246" s="1165" t="str">
        <f>Deflators_original!K246</f>
        <v>2031 Q1</v>
      </c>
      <c r="B246" s="1165" t="str">
        <f>Deflators_original!L246</f>
        <v>projection</v>
      </c>
      <c r="C246" s="1167">
        <f>Deflators_original!A246</f>
        <v>149.86500000000001</v>
      </c>
      <c r="D246" s="1167">
        <f>Deflators_original!B246</f>
        <v>9.5617781632999499E-3</v>
      </c>
      <c r="E246" s="1167">
        <f>Deflators_original!C246</f>
        <v>1.45349497782022</v>
      </c>
      <c r="F246" s="1167">
        <f>Deflators_original!D246</f>
        <v>5.0194903567455399E-3</v>
      </c>
      <c r="G246" s="1167">
        <f>Deflators_original!E246</f>
        <v>1.46903104148535</v>
      </c>
      <c r="H246" s="1167">
        <f>Deflators_original!F246</f>
        <v>5.6410044632042603E-3</v>
      </c>
      <c r="I246" s="1167">
        <f>Deflators_original!G246</f>
        <v>0</v>
      </c>
      <c r="J246" s="1167">
        <f>Deflators_original!H246</f>
        <v>7.88298014941358E-3</v>
      </c>
      <c r="K246" s="1167">
        <f>Deflators_original!I246</f>
        <v>0</v>
      </c>
      <c r="L246" s="1167">
        <f>Deflators_original!J246</f>
        <v>7.88298014941358E-3</v>
      </c>
    </row>
    <row r="247" spans="1:12" x14ac:dyDescent="0.35">
      <c r="A247" s="1165" t="str">
        <f>Deflators_original!K247</f>
        <v>2031 Q2</v>
      </c>
      <c r="B247" s="1165" t="str">
        <f>Deflators_original!L247</f>
        <v>projection</v>
      </c>
      <c r="C247" s="1167">
        <f>Deflators_original!A247</f>
        <v>150.64500000000001</v>
      </c>
      <c r="D247" s="1167">
        <f>Deflators_original!B247</f>
        <v>9.5451881440513607E-3</v>
      </c>
      <c r="E247" s="1167">
        <f>Deflators_original!C247</f>
        <v>1.46077900838174</v>
      </c>
      <c r="F247" s="1167">
        <f>Deflators_original!D247</f>
        <v>5.0113902508575102E-3</v>
      </c>
      <c r="G247" s="1167">
        <f>Deflators_original!E247</f>
        <v>1.4773402943949001</v>
      </c>
      <c r="H247" s="1167">
        <f>Deflators_original!F247</f>
        <v>5.6562813683937998E-3</v>
      </c>
      <c r="I247" s="1167">
        <f>Deflators_original!G247</f>
        <v>0</v>
      </c>
      <c r="J247" s="1167">
        <f>Deflators_original!H247</f>
        <v>7.8242771932854893E-3</v>
      </c>
      <c r="K247" s="1167">
        <f>Deflators_original!I247</f>
        <v>0</v>
      </c>
      <c r="L247" s="1167">
        <f>Deflators_original!J247</f>
        <v>7.8242771932854893E-3</v>
      </c>
    </row>
    <row r="248" spans="1:12" x14ac:dyDescent="0.35">
      <c r="A248" s="1165" t="str">
        <f>Deflators_original!K248</f>
        <v>2031 Q3</v>
      </c>
      <c r="B248" s="1165" t="str">
        <f>Deflators_original!L248</f>
        <v>projection</v>
      </c>
      <c r="C248" s="1167">
        <f>Deflators_original!A248</f>
        <v>151.428</v>
      </c>
      <c r="D248" s="1167">
        <f>Deflators_original!B248</f>
        <v>9.5225748997438409E-3</v>
      </c>
      <c r="E248" s="1167">
        <f>Deflators_original!C248</f>
        <v>1.4680784876764801</v>
      </c>
      <c r="F248" s="1167">
        <f>Deflators_original!D248</f>
        <v>4.9969771285449703E-3</v>
      </c>
      <c r="G248" s="1167">
        <f>Deflators_original!E248</f>
        <v>1.48582614369608</v>
      </c>
      <c r="H248" s="1167">
        <f>Deflators_original!F248</f>
        <v>5.7440045014531798E-3</v>
      </c>
      <c r="I248" s="1167">
        <f>Deflators_original!G248</f>
        <v>0</v>
      </c>
      <c r="J248" s="1167">
        <f>Deflators_original!H248</f>
        <v>7.8446882055194199E-3</v>
      </c>
      <c r="K248" s="1167">
        <f>Deflators_original!I248</f>
        <v>0</v>
      </c>
      <c r="L248" s="1167">
        <f>Deflators_original!J248</f>
        <v>7.8446882055194199E-3</v>
      </c>
    </row>
    <row r="249" spans="1:12" x14ac:dyDescent="0.35">
      <c r="A249" s="1165" t="str">
        <f>Deflators_original!K249</f>
        <v>2031 Q4</v>
      </c>
      <c r="B249" s="1165" t="str">
        <f>Deflators_original!L249</f>
        <v>projection</v>
      </c>
      <c r="C249" s="1167">
        <f>Deflators_original!A249</f>
        <v>152.214</v>
      </c>
      <c r="D249" s="1167">
        <f>Deflators_original!B249</f>
        <v>9.5025403383395303E-3</v>
      </c>
      <c r="E249" s="1167">
        <f>Deflators_original!C249</f>
        <v>1.4754112997309601</v>
      </c>
      <c r="F249" s="1167">
        <f>Deflators_original!D249</f>
        <v>4.9948365268173102E-3</v>
      </c>
      <c r="G249" s="1167">
        <f>Deflators_original!E249</f>
        <v>1.4942012177442701</v>
      </c>
      <c r="H249" s="1167">
        <f>Deflators_original!F249</f>
        <v>5.6366446934110704E-3</v>
      </c>
      <c r="I249" s="1167">
        <f>Deflators_original!G249</f>
        <v>0</v>
      </c>
      <c r="J249" s="1167">
        <f>Deflators_original!H249</f>
        <v>7.8834480001659397E-3</v>
      </c>
      <c r="K249" s="1167">
        <f>Deflators_original!I249</f>
        <v>0</v>
      </c>
      <c r="L249" s="1167">
        <f>Deflators_original!J249</f>
        <v>7.8834480001659397E-3</v>
      </c>
    </row>
    <row r="250" spans="1:12" x14ac:dyDescent="0.35">
      <c r="A250" s="1165" t="str">
        <f>Deflators_original!K250</f>
        <v>2032 Q1</v>
      </c>
      <c r="B250" s="1165" t="str">
        <f>Deflators_original!L250</f>
        <v>projection</v>
      </c>
      <c r="C250" s="1167">
        <f>Deflators_original!A250</f>
        <v>153.00299999999999</v>
      </c>
      <c r="D250" s="1167">
        <f>Deflators_original!B250</f>
        <v>9.4877552374841301E-3</v>
      </c>
      <c r="E250" s="1167">
        <f>Deflators_original!C250</f>
        <v>1.48277250707695</v>
      </c>
      <c r="F250" s="1167">
        <f>Deflators_original!D250</f>
        <v>4.9892578071861803E-3</v>
      </c>
      <c r="G250" s="1167">
        <f>Deflators_original!E250</f>
        <v>1.5027540223220801</v>
      </c>
      <c r="H250" s="1167">
        <f>Deflators_original!F250</f>
        <v>5.7239978633625297E-3</v>
      </c>
      <c r="I250" s="1167">
        <f>Deflators_original!G250</f>
        <v>0</v>
      </c>
      <c r="J250" s="1167">
        <f>Deflators_original!H250</f>
        <v>7.8305926616084598E-3</v>
      </c>
      <c r="K250" s="1167">
        <f>Deflators_original!I250</f>
        <v>0</v>
      </c>
      <c r="L250" s="1167">
        <f>Deflators_original!J250</f>
        <v>7.8305926616084598E-3</v>
      </c>
    </row>
    <row r="251" spans="1:12" x14ac:dyDescent="0.35">
      <c r="A251" s="1165" t="str">
        <f>Deflators_original!K251</f>
        <v>2032 Q2</v>
      </c>
      <c r="B251" s="1165" t="str">
        <f>Deflators_original!L251</f>
        <v>projection</v>
      </c>
      <c r="C251" s="1167">
        <f>Deflators_original!A251</f>
        <v>153.79499999999999</v>
      </c>
      <c r="D251" s="1167">
        <f>Deflators_original!B251</f>
        <v>9.4670666064018399E-3</v>
      </c>
      <c r="E251" s="1167">
        <f>Deflators_original!C251</f>
        <v>1.4901450112249699</v>
      </c>
      <c r="F251" s="1167">
        <f>Deflators_original!D251</f>
        <v>4.9721073953188401E-3</v>
      </c>
      <c r="G251" s="1167">
        <f>Deflators_original!E251</f>
        <v>1.5112672994710501</v>
      </c>
      <c r="H251" s="1167">
        <f>Deflators_original!F251</f>
        <v>5.6651168604575598E-3</v>
      </c>
      <c r="I251" s="1167">
        <f>Deflators_original!G251</f>
        <v>0</v>
      </c>
      <c r="J251" s="1167">
        <f>Deflators_original!H251</f>
        <v>7.8481207054677E-3</v>
      </c>
      <c r="K251" s="1167">
        <f>Deflators_original!I251</f>
        <v>0</v>
      </c>
      <c r="L251" s="1167">
        <f>Deflators_original!J251</f>
        <v>7.8481207054677E-3</v>
      </c>
    </row>
    <row r="252" spans="1:12" x14ac:dyDescent="0.35">
      <c r="A252" s="1165" t="str">
        <f>Deflators_original!K252</f>
        <v>2032 Q3</v>
      </c>
      <c r="B252" s="1165" t="str">
        <f>Deflators_original!L252</f>
        <v>projection</v>
      </c>
      <c r="C252" s="1167">
        <f>Deflators_original!A252</f>
        <v>154.59</v>
      </c>
      <c r="D252" s="1167">
        <f>Deflators_original!B252</f>
        <v>9.4434087449222198E-3</v>
      </c>
      <c r="E252" s="1167">
        <f>Deflators_original!C252</f>
        <v>1.49756106140731</v>
      </c>
      <c r="F252" s="1167">
        <f>Deflators_original!D252</f>
        <v>4.9767305372872004E-3</v>
      </c>
      <c r="G252" s="1167">
        <f>Deflators_original!E252</f>
        <v>1.5197768762677499</v>
      </c>
      <c r="H252" s="1167">
        <f>Deflators_original!F252</f>
        <v>5.6307555914654204E-3</v>
      </c>
      <c r="I252" s="1167">
        <f>Deflators_original!G252</f>
        <v>0</v>
      </c>
      <c r="J252" s="1167">
        <f>Deflators_original!H252</f>
        <v>7.8392933990876195E-3</v>
      </c>
      <c r="K252" s="1167">
        <f>Deflators_original!I252</f>
        <v>0</v>
      </c>
      <c r="L252" s="1167">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1.453125" defaultRowHeight="14.5" x14ac:dyDescent="0.35"/>
  <sheetData>
    <row r="1" spans="1:12" x14ac:dyDescent="0.35">
      <c r="A1" s="720" t="s">
        <v>1026</v>
      </c>
      <c r="B1" s="720" t="s">
        <v>1027</v>
      </c>
      <c r="C1" s="720" t="s">
        <v>1028</v>
      </c>
      <c r="D1" s="720" t="s">
        <v>1029</v>
      </c>
      <c r="E1" s="720" t="s">
        <v>1030</v>
      </c>
      <c r="F1" s="720" t="s">
        <v>1031</v>
      </c>
      <c r="G1" s="720" t="s">
        <v>1032</v>
      </c>
      <c r="H1" s="720" t="s">
        <v>1033</v>
      </c>
      <c r="I1" s="720" t="s">
        <v>1034</v>
      </c>
      <c r="J1" s="720" t="s">
        <v>1035</v>
      </c>
      <c r="K1" s="720" t="s">
        <v>1036</v>
      </c>
      <c r="L1" s="720" t="s">
        <v>1037</v>
      </c>
    </row>
    <row r="2" spans="1:12" x14ac:dyDescent="0.35">
      <c r="A2">
        <v>21.271999999999998</v>
      </c>
      <c r="C2">
        <v>20.57</v>
      </c>
      <c r="D2">
        <v>1.1084103062712699E-2</v>
      </c>
      <c r="E2">
        <v>18.704000000000001</v>
      </c>
      <c r="F2">
        <v>1.32057313943541E-2</v>
      </c>
      <c r="G2">
        <v>13.106999999999999</v>
      </c>
      <c r="H2">
        <v>1.9913023575188999E-2</v>
      </c>
      <c r="I2">
        <v>16.824999999999999</v>
      </c>
      <c r="J2">
        <v>2.51411589895989E-2</v>
      </c>
      <c r="K2" t="s">
        <v>1038</v>
      </c>
      <c r="L2" t="s">
        <v>1039</v>
      </c>
    </row>
    <row r="3" spans="1:12" x14ac:dyDescent="0.35">
      <c r="A3">
        <v>21.579000000000001</v>
      </c>
      <c r="C3">
        <v>20.797999999999998</v>
      </c>
      <c r="D3">
        <v>1.1084103062712699E-2</v>
      </c>
      <c r="E3">
        <v>18.951000000000001</v>
      </c>
      <c r="F3">
        <v>1.32057313943541E-2</v>
      </c>
      <c r="G3">
        <v>13.368</v>
      </c>
      <c r="H3">
        <v>1.9913023575188999E-2</v>
      </c>
      <c r="I3">
        <v>17.248000000000001</v>
      </c>
      <c r="J3">
        <v>2.51411589895989E-2</v>
      </c>
      <c r="K3" t="s">
        <v>1040</v>
      </c>
      <c r="L3" t="s">
        <v>1039</v>
      </c>
    </row>
    <row r="4" spans="1:12" x14ac:dyDescent="0.35">
      <c r="A4">
        <v>21.756</v>
      </c>
      <c r="C4">
        <v>21</v>
      </c>
      <c r="D4">
        <v>9.7124723531110107E-3</v>
      </c>
      <c r="E4">
        <v>19.274000000000001</v>
      </c>
      <c r="F4">
        <v>1.7043955464091501E-2</v>
      </c>
      <c r="G4">
        <v>13.603999999999999</v>
      </c>
      <c r="H4">
        <v>1.7654099341711402E-2</v>
      </c>
      <c r="I4">
        <v>17.582000000000001</v>
      </c>
      <c r="J4">
        <v>1.9364564007421099E-2</v>
      </c>
      <c r="K4" t="s">
        <v>1041</v>
      </c>
      <c r="L4" t="s">
        <v>1039</v>
      </c>
    </row>
    <row r="5" spans="1:12" x14ac:dyDescent="0.35">
      <c r="A5">
        <v>22.041</v>
      </c>
      <c r="C5">
        <v>21.271999999999998</v>
      </c>
      <c r="D5">
        <v>1.29523809523808E-2</v>
      </c>
      <c r="E5">
        <v>19.518999999999998</v>
      </c>
      <c r="F5">
        <v>1.2711424717235501E-2</v>
      </c>
      <c r="G5">
        <v>13.833</v>
      </c>
      <c r="H5">
        <v>1.6833284328138898E-2</v>
      </c>
      <c r="I5">
        <v>18.027999999999999</v>
      </c>
      <c r="J5">
        <v>2.5366852462745899E-2</v>
      </c>
      <c r="K5" t="s">
        <v>1042</v>
      </c>
      <c r="L5" t="s">
        <v>1039</v>
      </c>
    </row>
    <row r="6" spans="1:12" x14ac:dyDescent="0.35">
      <c r="A6">
        <v>22.375</v>
      </c>
      <c r="C6">
        <v>21.474</v>
      </c>
      <c r="D6">
        <v>9.4960511470478792E-3</v>
      </c>
      <c r="E6">
        <v>20.137</v>
      </c>
      <c r="F6">
        <v>3.1661458066499303E-2</v>
      </c>
      <c r="G6">
        <v>14.173999999999999</v>
      </c>
      <c r="H6">
        <v>2.4651196414371399E-2</v>
      </c>
      <c r="I6">
        <v>18.332000000000001</v>
      </c>
      <c r="J6">
        <v>1.6862658087419598E-2</v>
      </c>
      <c r="K6" t="s">
        <v>1043</v>
      </c>
      <c r="L6" t="s">
        <v>1039</v>
      </c>
    </row>
    <row r="7" spans="1:12" x14ac:dyDescent="0.35">
      <c r="A7">
        <v>22.673999999999999</v>
      </c>
      <c r="C7">
        <v>21.718</v>
      </c>
      <c r="D7">
        <v>1.1362578001303801E-2</v>
      </c>
      <c r="E7">
        <v>20.513000000000002</v>
      </c>
      <c r="F7">
        <v>1.86720961414313E-2</v>
      </c>
      <c r="G7">
        <v>14.439</v>
      </c>
      <c r="H7">
        <v>1.8696204317764999E-2</v>
      </c>
      <c r="I7">
        <v>18.625</v>
      </c>
      <c r="J7">
        <v>1.59829805804057E-2</v>
      </c>
      <c r="K7" t="s">
        <v>1044</v>
      </c>
      <c r="L7" t="s">
        <v>1039</v>
      </c>
    </row>
    <row r="8" spans="1:12" x14ac:dyDescent="0.35">
      <c r="A8">
        <v>22.902999999999999</v>
      </c>
      <c r="C8">
        <v>21.931999999999999</v>
      </c>
      <c r="D8">
        <v>9.8535776775023898E-3</v>
      </c>
      <c r="E8">
        <v>20.81</v>
      </c>
      <c r="F8">
        <v>1.4478623312046E-2</v>
      </c>
      <c r="G8">
        <v>14.657</v>
      </c>
      <c r="H8">
        <v>1.5097998476348899E-2</v>
      </c>
      <c r="I8">
        <v>18.827999999999999</v>
      </c>
      <c r="J8">
        <v>1.0899328859060401E-2</v>
      </c>
      <c r="K8" t="s">
        <v>1045</v>
      </c>
      <c r="L8" t="s">
        <v>1039</v>
      </c>
    </row>
    <row r="9" spans="1:12" x14ac:dyDescent="0.35">
      <c r="A9">
        <v>23.091999999999999</v>
      </c>
      <c r="C9">
        <v>22.068000000000001</v>
      </c>
      <c r="D9">
        <v>6.2009848623016898E-3</v>
      </c>
      <c r="E9">
        <v>21.233000000000001</v>
      </c>
      <c r="F9">
        <v>2.03267659778954E-2</v>
      </c>
      <c r="G9">
        <v>14.79</v>
      </c>
      <c r="H9">
        <v>9.0741625162038507E-3</v>
      </c>
      <c r="I9">
        <v>19.152999999999999</v>
      </c>
      <c r="J9">
        <v>1.7261525387720401E-2</v>
      </c>
      <c r="K9" t="s">
        <v>1046</v>
      </c>
      <c r="L9" t="s">
        <v>1039</v>
      </c>
    </row>
    <row r="10" spans="1:12" x14ac:dyDescent="0.35">
      <c r="A10">
        <v>23.463000000000001</v>
      </c>
      <c r="C10">
        <v>22.300999999999998</v>
      </c>
      <c r="D10">
        <v>1.05582744245059E-2</v>
      </c>
      <c r="E10">
        <v>22.106999999999999</v>
      </c>
      <c r="F10">
        <v>4.11623416380162E-2</v>
      </c>
      <c r="G10">
        <v>15.162000000000001</v>
      </c>
      <c r="H10">
        <v>2.5152129817444399E-2</v>
      </c>
      <c r="I10">
        <v>19.398</v>
      </c>
      <c r="J10">
        <v>1.27917297551299E-2</v>
      </c>
      <c r="K10" t="s">
        <v>1047</v>
      </c>
      <c r="L10" t="s">
        <v>1039</v>
      </c>
    </row>
    <row r="11" spans="1:12" x14ac:dyDescent="0.35">
      <c r="A11">
        <v>23.606000000000002</v>
      </c>
      <c r="C11">
        <v>22.428999999999998</v>
      </c>
      <c r="D11">
        <v>5.7396529303619399E-3</v>
      </c>
      <c r="E11">
        <v>22.33</v>
      </c>
      <c r="F11">
        <v>1.00873026643145E-2</v>
      </c>
      <c r="G11">
        <v>15.361000000000001</v>
      </c>
      <c r="H11">
        <v>1.3124917557050499E-2</v>
      </c>
      <c r="I11">
        <v>19.533999999999999</v>
      </c>
      <c r="J11">
        <v>7.0110320651612899E-3</v>
      </c>
      <c r="K11" t="s">
        <v>1048</v>
      </c>
      <c r="L11" t="s">
        <v>1039</v>
      </c>
    </row>
    <row r="12" spans="1:12" x14ac:dyDescent="0.35">
      <c r="A12">
        <v>23.82</v>
      </c>
      <c r="C12">
        <v>22.626000000000001</v>
      </c>
      <c r="D12">
        <v>8.7832716572295907E-3</v>
      </c>
      <c r="E12">
        <v>22.513000000000002</v>
      </c>
      <c r="F12">
        <v>8.1952530228392995E-3</v>
      </c>
      <c r="G12">
        <v>15.6</v>
      </c>
      <c r="H12">
        <v>1.5558882885228701E-2</v>
      </c>
      <c r="I12">
        <v>19.805</v>
      </c>
      <c r="J12">
        <v>1.38732466468721E-2</v>
      </c>
      <c r="K12" t="s">
        <v>1049</v>
      </c>
      <c r="L12" t="s">
        <v>1039</v>
      </c>
    </row>
    <row r="13" spans="1:12" x14ac:dyDescent="0.35">
      <c r="A13">
        <v>24.09</v>
      </c>
      <c r="C13">
        <v>22.811</v>
      </c>
      <c r="D13">
        <v>8.1764341907539801E-3</v>
      </c>
      <c r="E13">
        <v>23.003</v>
      </c>
      <c r="F13">
        <v>2.17652023275441E-2</v>
      </c>
      <c r="G13">
        <v>15.794</v>
      </c>
      <c r="H13">
        <v>1.2435897435897601E-2</v>
      </c>
      <c r="I13">
        <v>20.175000000000001</v>
      </c>
      <c r="J13">
        <v>1.8682150971976799E-2</v>
      </c>
      <c r="K13" t="s">
        <v>1050</v>
      </c>
      <c r="L13" t="s">
        <v>1039</v>
      </c>
    </row>
    <row r="14" spans="1:12" x14ac:dyDescent="0.35">
      <c r="A14">
        <v>24.396000000000001</v>
      </c>
      <c r="C14">
        <v>23.085999999999999</v>
      </c>
      <c r="D14">
        <v>1.20555872166936E-2</v>
      </c>
      <c r="E14">
        <v>23.373000000000001</v>
      </c>
      <c r="F14">
        <v>1.60848584967179E-2</v>
      </c>
      <c r="G14">
        <v>16.106000000000002</v>
      </c>
      <c r="H14">
        <v>1.9754337090034199E-2</v>
      </c>
      <c r="I14">
        <v>20.564</v>
      </c>
      <c r="J14">
        <v>1.9281288723668001E-2</v>
      </c>
      <c r="K14" t="s">
        <v>1051</v>
      </c>
      <c r="L14" t="s">
        <v>1039</v>
      </c>
    </row>
    <row r="15" spans="1:12" x14ac:dyDescent="0.35">
      <c r="A15">
        <v>24.8</v>
      </c>
      <c r="C15">
        <v>23.53</v>
      </c>
      <c r="D15">
        <v>1.9232435242138201E-2</v>
      </c>
      <c r="E15">
        <v>23.78</v>
      </c>
      <c r="F15">
        <v>1.74132546100201E-2</v>
      </c>
      <c r="G15">
        <v>16.378</v>
      </c>
      <c r="H15">
        <v>1.68881162299763E-2</v>
      </c>
      <c r="I15">
        <v>20.997</v>
      </c>
      <c r="J15">
        <v>2.1056214744213299E-2</v>
      </c>
      <c r="K15" t="s">
        <v>1052</v>
      </c>
      <c r="L15" t="s">
        <v>1039</v>
      </c>
    </row>
    <row r="16" spans="1:12" x14ac:dyDescent="0.35">
      <c r="A16">
        <v>25.273</v>
      </c>
      <c r="C16">
        <v>23.957999999999998</v>
      </c>
      <c r="D16">
        <v>1.81895452613683E-2</v>
      </c>
      <c r="E16">
        <v>24.271999999999998</v>
      </c>
      <c r="F16">
        <v>2.0689655172413599E-2</v>
      </c>
      <c r="G16">
        <v>16.568000000000001</v>
      </c>
      <c r="H16">
        <v>1.1600928074246E-2</v>
      </c>
      <c r="I16">
        <v>21.425000000000001</v>
      </c>
      <c r="J16">
        <v>2.03838643615755E-2</v>
      </c>
      <c r="K16" t="s">
        <v>1053</v>
      </c>
      <c r="L16" t="s">
        <v>1039</v>
      </c>
    </row>
    <row r="17" spans="1:12" x14ac:dyDescent="0.35">
      <c r="A17">
        <v>25.710999999999999</v>
      </c>
      <c r="C17">
        <v>24.448</v>
      </c>
      <c r="D17">
        <v>2.0452458468987599E-2</v>
      </c>
      <c r="E17">
        <v>24.791</v>
      </c>
      <c r="F17">
        <v>2.13826631509559E-2</v>
      </c>
      <c r="G17">
        <v>16.846</v>
      </c>
      <c r="H17">
        <v>1.6779333655238898E-2</v>
      </c>
      <c r="I17">
        <v>22</v>
      </c>
      <c r="J17">
        <v>2.68378063010501E-2</v>
      </c>
      <c r="K17" t="s">
        <v>1054</v>
      </c>
      <c r="L17" t="s">
        <v>1039</v>
      </c>
    </row>
    <row r="18" spans="1:12" x14ac:dyDescent="0.35">
      <c r="A18">
        <v>26.231999999999999</v>
      </c>
      <c r="C18">
        <v>25.175999999999998</v>
      </c>
      <c r="D18">
        <v>2.9777486910994602E-2</v>
      </c>
      <c r="E18">
        <v>25.045000000000002</v>
      </c>
      <c r="F18">
        <v>1.0245653664636501E-2</v>
      </c>
      <c r="G18">
        <v>17.254999999999999</v>
      </c>
      <c r="H18">
        <v>2.42787605366259E-2</v>
      </c>
      <c r="I18">
        <v>23.02</v>
      </c>
      <c r="J18">
        <v>4.6363636363636399E-2</v>
      </c>
      <c r="K18" t="s">
        <v>1055</v>
      </c>
      <c r="L18" t="s">
        <v>1039</v>
      </c>
    </row>
    <row r="19" spans="1:12" x14ac:dyDescent="0.3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1056</v>
      </c>
      <c r="L19" t="s">
        <v>1039</v>
      </c>
    </row>
    <row r="20" spans="1:12" x14ac:dyDescent="0.35">
      <c r="A20">
        <v>27.640999999999998</v>
      </c>
      <c r="C20">
        <v>26.587</v>
      </c>
      <c r="D20">
        <v>2.69612576770057E-2</v>
      </c>
      <c r="E20">
        <v>26.242000000000001</v>
      </c>
      <c r="F20">
        <v>2.9178759118362301E-2</v>
      </c>
      <c r="G20">
        <v>18.228000000000002</v>
      </c>
      <c r="H20">
        <v>2.8726226084993398E-2</v>
      </c>
      <c r="I20">
        <v>26.030999999999999</v>
      </c>
      <c r="J20">
        <v>6.3922834838762405E-2</v>
      </c>
      <c r="K20" t="s">
        <v>1057</v>
      </c>
      <c r="L20" t="s">
        <v>1039</v>
      </c>
    </row>
    <row r="21" spans="1:12" x14ac:dyDescent="0.35">
      <c r="A21">
        <v>28.478999999999999</v>
      </c>
      <c r="C21">
        <v>27.263000000000002</v>
      </c>
      <c r="D21">
        <v>2.5425960055666299E-2</v>
      </c>
      <c r="E21">
        <v>27.114000000000001</v>
      </c>
      <c r="F21">
        <v>3.32291746055942E-2</v>
      </c>
      <c r="G21">
        <v>18.704000000000001</v>
      </c>
      <c r="H21">
        <v>2.6113671274961399E-2</v>
      </c>
      <c r="I21">
        <v>27.113</v>
      </c>
      <c r="J21">
        <v>4.15658253620683E-2</v>
      </c>
      <c r="K21" t="s">
        <v>1058</v>
      </c>
      <c r="L21" t="s">
        <v>1039</v>
      </c>
    </row>
    <row r="22" spans="1:12" x14ac:dyDescent="0.35">
      <c r="A22">
        <v>29.123999999999999</v>
      </c>
      <c r="C22">
        <v>27.776</v>
      </c>
      <c r="D22">
        <v>1.8816711293694801E-2</v>
      </c>
      <c r="E22">
        <v>27.606999999999999</v>
      </c>
      <c r="F22">
        <v>1.8182488751198499E-2</v>
      </c>
      <c r="G22">
        <v>19.077999999999999</v>
      </c>
      <c r="H22">
        <v>1.99957228400343E-2</v>
      </c>
      <c r="I22">
        <v>27.689</v>
      </c>
      <c r="J22">
        <v>2.1244421495223698E-2</v>
      </c>
      <c r="K22" t="s">
        <v>1059</v>
      </c>
      <c r="L22" t="s">
        <v>1039</v>
      </c>
    </row>
    <row r="23" spans="1:12" x14ac:dyDescent="0.35">
      <c r="A23">
        <v>29.545999999999999</v>
      </c>
      <c r="C23">
        <v>28.117000000000001</v>
      </c>
      <c r="D23">
        <v>1.2276785714285801E-2</v>
      </c>
      <c r="E23">
        <v>28.006</v>
      </c>
      <c r="F23">
        <v>1.4452856159669699E-2</v>
      </c>
      <c r="G23">
        <v>19.538</v>
      </c>
      <c r="H23">
        <v>2.4111542090365898E-2</v>
      </c>
      <c r="I23">
        <v>27.826000000000001</v>
      </c>
      <c r="J23">
        <v>4.9478132110223304E-3</v>
      </c>
      <c r="K23" t="s">
        <v>1060</v>
      </c>
      <c r="L23" t="s">
        <v>1039</v>
      </c>
    </row>
    <row r="24" spans="1:12" x14ac:dyDescent="0.35">
      <c r="A24">
        <v>30.068000000000001</v>
      </c>
      <c r="C24">
        <v>28.643000000000001</v>
      </c>
      <c r="D24">
        <v>1.8707543479034E-2</v>
      </c>
      <c r="E24">
        <v>28.384</v>
      </c>
      <c r="F24">
        <v>1.34971077626223E-2</v>
      </c>
      <c r="G24">
        <v>19.838000000000001</v>
      </c>
      <c r="H24">
        <v>1.5354693417954699E-2</v>
      </c>
      <c r="I24">
        <v>27.914000000000001</v>
      </c>
      <c r="J24">
        <v>3.16250988284339E-3</v>
      </c>
      <c r="K24" t="s">
        <v>1061</v>
      </c>
      <c r="L24" t="s">
        <v>1039</v>
      </c>
    </row>
    <row r="25" spans="1:12" x14ac:dyDescent="0.35">
      <c r="A25">
        <v>30.57</v>
      </c>
      <c r="C25">
        <v>29.123999999999999</v>
      </c>
      <c r="D25">
        <v>1.6792933701078799E-2</v>
      </c>
      <c r="E25">
        <v>29.036000000000001</v>
      </c>
      <c r="F25">
        <v>2.29706877113867E-2</v>
      </c>
      <c r="G25">
        <v>20.126999999999999</v>
      </c>
      <c r="H25">
        <v>1.45680008065328E-2</v>
      </c>
      <c r="I25">
        <v>28.084</v>
      </c>
      <c r="J25">
        <v>6.0901339829475499E-3</v>
      </c>
      <c r="K25" t="s">
        <v>1062</v>
      </c>
      <c r="L25" t="s">
        <v>1039</v>
      </c>
    </row>
    <row r="26" spans="1:12" x14ac:dyDescent="0.35">
      <c r="A26">
        <v>30.905000000000001</v>
      </c>
      <c r="C26">
        <v>29.443999999999999</v>
      </c>
      <c r="D26">
        <v>1.0987501716797099E-2</v>
      </c>
      <c r="E26">
        <v>29.46</v>
      </c>
      <c r="F26">
        <v>1.4602562336409899E-2</v>
      </c>
      <c r="G26">
        <v>20.388999999999999</v>
      </c>
      <c r="H26">
        <v>1.30173398916877E-2</v>
      </c>
      <c r="I26">
        <v>28.222000000000001</v>
      </c>
      <c r="J26">
        <v>4.91382993875522E-3</v>
      </c>
      <c r="K26" t="s">
        <v>1063</v>
      </c>
      <c r="L26" t="s">
        <v>1039</v>
      </c>
    </row>
    <row r="27" spans="1:12" x14ac:dyDescent="0.3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1064</v>
      </c>
      <c r="L27" t="s">
        <v>1039</v>
      </c>
    </row>
    <row r="28" spans="1:12" x14ac:dyDescent="0.35">
      <c r="A28">
        <v>31.611000000000001</v>
      </c>
      <c r="C28">
        <v>30.141999999999999</v>
      </c>
      <c r="D28">
        <v>1.5189788151291701E-2</v>
      </c>
      <c r="E28">
        <v>30.047000000000001</v>
      </c>
      <c r="F28">
        <v>1.1445113946208001E-2</v>
      </c>
      <c r="G28">
        <v>20.835999999999999</v>
      </c>
      <c r="H28">
        <v>8.7630113773904394E-3</v>
      </c>
      <c r="I28">
        <v>28.526</v>
      </c>
      <c r="J28">
        <v>2.17818999437891E-3</v>
      </c>
      <c r="K28" t="s">
        <v>1065</v>
      </c>
      <c r="L28" t="s">
        <v>1039</v>
      </c>
    </row>
    <row r="29" spans="1:12" x14ac:dyDescent="0.35">
      <c r="A29">
        <v>32.148000000000003</v>
      </c>
      <c r="C29">
        <v>30.617999999999999</v>
      </c>
      <c r="D29">
        <v>1.5791918253599501E-2</v>
      </c>
      <c r="E29">
        <v>30.850999999999999</v>
      </c>
      <c r="F29">
        <v>2.67580790095516E-2</v>
      </c>
      <c r="G29">
        <v>21.111000000000001</v>
      </c>
      <c r="H29">
        <v>1.31983106162412E-2</v>
      </c>
      <c r="I29">
        <v>28.72</v>
      </c>
      <c r="J29">
        <v>6.8008132931360902E-3</v>
      </c>
      <c r="K29" t="s">
        <v>1066</v>
      </c>
      <c r="L29" t="s">
        <v>1039</v>
      </c>
    </row>
    <row r="30" spans="1:12" x14ac:dyDescent="0.35">
      <c r="A30">
        <v>32.667999999999999</v>
      </c>
      <c r="C30">
        <v>31.17</v>
      </c>
      <c r="D30">
        <v>1.8028610621203301E-2</v>
      </c>
      <c r="E30">
        <v>31.286999999999999</v>
      </c>
      <c r="F30">
        <v>1.41324430326408E-2</v>
      </c>
      <c r="G30">
        <v>21.54</v>
      </c>
      <c r="H30">
        <v>2.0321159585050302E-2</v>
      </c>
      <c r="I30">
        <v>29.091999999999999</v>
      </c>
      <c r="J30">
        <v>1.2952646239554401E-2</v>
      </c>
      <c r="K30" t="s">
        <v>1067</v>
      </c>
      <c r="L30" t="s">
        <v>1039</v>
      </c>
    </row>
    <row r="31" spans="1:12" x14ac:dyDescent="0.35">
      <c r="A31">
        <v>33.183999999999997</v>
      </c>
      <c r="C31">
        <v>31.704000000000001</v>
      </c>
      <c r="D31">
        <v>1.7131857555341599E-2</v>
      </c>
      <c r="E31">
        <v>31.643000000000001</v>
      </c>
      <c r="F31">
        <v>1.1378527823057601E-2</v>
      </c>
      <c r="G31">
        <v>21.968</v>
      </c>
      <c r="H31">
        <v>1.9870009285051001E-2</v>
      </c>
      <c r="I31">
        <v>29.379000000000001</v>
      </c>
      <c r="J31">
        <v>9.8652550529356696E-3</v>
      </c>
      <c r="K31" t="s">
        <v>1068</v>
      </c>
      <c r="L31" t="s">
        <v>1039</v>
      </c>
    </row>
    <row r="32" spans="1:12" x14ac:dyDescent="0.3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1069</v>
      </c>
      <c r="L32" t="s">
        <v>1039</v>
      </c>
    </row>
    <row r="33" spans="1:12" x14ac:dyDescent="0.3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1070</v>
      </c>
      <c r="L33" t="s">
        <v>1039</v>
      </c>
    </row>
    <row r="34" spans="1:12" x14ac:dyDescent="0.35">
      <c r="A34">
        <v>34.762999999999998</v>
      </c>
      <c r="C34">
        <v>33.173999999999999</v>
      </c>
      <c r="D34">
        <v>1.6422574912678501E-2</v>
      </c>
      <c r="E34">
        <v>33.094999999999999</v>
      </c>
      <c r="F34">
        <v>1.14299685217445E-2</v>
      </c>
      <c r="G34">
        <v>23.102</v>
      </c>
      <c r="H34">
        <v>1.4536032673137E-2</v>
      </c>
      <c r="I34">
        <v>30.465</v>
      </c>
      <c r="J34">
        <v>1.23953210155523E-2</v>
      </c>
      <c r="K34" t="s">
        <v>1071</v>
      </c>
      <c r="L34" t="s">
        <v>1039</v>
      </c>
    </row>
    <row r="35" spans="1:12" x14ac:dyDescent="0.35">
      <c r="A35">
        <v>35.457000000000001</v>
      </c>
      <c r="C35">
        <v>33.854999999999997</v>
      </c>
      <c r="D35">
        <v>2.05281244347983E-2</v>
      </c>
      <c r="E35">
        <v>33.744999999999997</v>
      </c>
      <c r="F35">
        <v>1.9640429067834898E-2</v>
      </c>
      <c r="G35">
        <v>23.472000000000001</v>
      </c>
      <c r="H35">
        <v>1.6015929356765699E-2</v>
      </c>
      <c r="I35">
        <v>31.064</v>
      </c>
      <c r="J35">
        <v>1.9661907106515601E-2</v>
      </c>
      <c r="K35" t="s">
        <v>1072</v>
      </c>
      <c r="L35" t="s">
        <v>1039</v>
      </c>
    </row>
    <row r="36" spans="1:12" x14ac:dyDescent="0.35">
      <c r="A36">
        <v>36.082999999999998</v>
      </c>
      <c r="C36">
        <v>34.448999999999998</v>
      </c>
      <c r="D36">
        <v>1.7545414266725699E-2</v>
      </c>
      <c r="E36">
        <v>34.308999999999997</v>
      </c>
      <c r="F36">
        <v>1.6713587198103501E-2</v>
      </c>
      <c r="G36">
        <v>23.808</v>
      </c>
      <c r="H36">
        <v>1.4314928425357899E-2</v>
      </c>
      <c r="I36">
        <v>31.658000000000001</v>
      </c>
      <c r="J36">
        <v>1.9121813031161401E-2</v>
      </c>
      <c r="K36" t="s">
        <v>1073</v>
      </c>
      <c r="L36" t="s">
        <v>1039</v>
      </c>
    </row>
    <row r="37" spans="1:12" x14ac:dyDescent="0.35">
      <c r="A37">
        <v>36.795999999999999</v>
      </c>
      <c r="C37">
        <v>35.1</v>
      </c>
      <c r="D37">
        <v>1.8897500653139599E-2</v>
      </c>
      <c r="E37">
        <v>34.901000000000003</v>
      </c>
      <c r="F37">
        <v>1.7254947681366602E-2</v>
      </c>
      <c r="G37">
        <v>24.126999999999999</v>
      </c>
      <c r="H37">
        <v>1.33988575268817E-2</v>
      </c>
      <c r="I37">
        <v>32.223999999999997</v>
      </c>
      <c r="J37">
        <v>1.78785772948384E-2</v>
      </c>
      <c r="K37" t="s">
        <v>1074</v>
      </c>
      <c r="L37" t="s">
        <v>1039</v>
      </c>
    </row>
    <row r="38" spans="1:12" x14ac:dyDescent="0.35">
      <c r="A38">
        <v>37.482999999999997</v>
      </c>
      <c r="C38">
        <v>35.762</v>
      </c>
      <c r="D38">
        <v>1.8860398860398801E-2</v>
      </c>
      <c r="E38">
        <v>35.543999999999997</v>
      </c>
      <c r="F38">
        <v>1.8423540872754201E-2</v>
      </c>
      <c r="G38">
        <v>24.719000000000001</v>
      </c>
      <c r="H38">
        <v>2.4536825962614601E-2</v>
      </c>
      <c r="I38">
        <v>32.889000000000003</v>
      </c>
      <c r="J38">
        <v>2.0636792452830299E-2</v>
      </c>
      <c r="K38" t="s">
        <v>1075</v>
      </c>
      <c r="L38" t="s">
        <v>1039</v>
      </c>
    </row>
    <row r="39" spans="1:12" x14ac:dyDescent="0.35">
      <c r="A39">
        <v>38.387999999999998</v>
      </c>
      <c r="C39">
        <v>36.738999999999997</v>
      </c>
      <c r="D39">
        <v>2.7319501146468202E-2</v>
      </c>
      <c r="E39">
        <v>36.081000000000003</v>
      </c>
      <c r="F39">
        <v>1.51080351114115E-2</v>
      </c>
      <c r="G39">
        <v>25.259</v>
      </c>
      <c r="H39">
        <v>2.18455439135887E-2</v>
      </c>
      <c r="I39">
        <v>33.781999999999996</v>
      </c>
      <c r="J39">
        <v>2.7151935297515601E-2</v>
      </c>
      <c r="K39" t="s">
        <v>1076</v>
      </c>
      <c r="L39" t="s">
        <v>1039</v>
      </c>
    </row>
    <row r="40" spans="1:12" x14ac:dyDescent="0.35">
      <c r="A40">
        <v>39.19</v>
      </c>
      <c r="C40">
        <v>37.65</v>
      </c>
      <c r="D40">
        <v>2.4796537739187201E-2</v>
      </c>
      <c r="E40">
        <v>36.923000000000002</v>
      </c>
      <c r="F40">
        <v>2.3336382029322901E-2</v>
      </c>
      <c r="G40">
        <v>26.146000000000001</v>
      </c>
      <c r="H40">
        <v>3.5116196207292602E-2</v>
      </c>
      <c r="I40">
        <v>34.768000000000001</v>
      </c>
      <c r="J40">
        <v>2.9187141081049101E-2</v>
      </c>
      <c r="K40" t="s">
        <v>1077</v>
      </c>
      <c r="L40" t="s">
        <v>1039</v>
      </c>
    </row>
    <row r="41" spans="1:12" x14ac:dyDescent="0.35">
      <c r="A41">
        <v>39.905000000000001</v>
      </c>
      <c r="C41">
        <v>38.561999999999998</v>
      </c>
      <c r="D41">
        <v>2.4223107569721E-2</v>
      </c>
      <c r="E41">
        <v>37.735999999999997</v>
      </c>
      <c r="F41">
        <v>2.2018795872491299E-2</v>
      </c>
      <c r="G41">
        <v>26.596</v>
      </c>
      <c r="H41">
        <v>1.7211045666641198E-2</v>
      </c>
      <c r="I41">
        <v>35.753999999999998</v>
      </c>
      <c r="J41">
        <v>2.83594109526E-2</v>
      </c>
      <c r="K41" t="s">
        <v>1078</v>
      </c>
      <c r="L41" t="s">
        <v>1039</v>
      </c>
    </row>
    <row r="42" spans="1:12" x14ac:dyDescent="0.35">
      <c r="A42">
        <v>40.777000000000001</v>
      </c>
      <c r="C42">
        <v>39.719000000000001</v>
      </c>
      <c r="D42">
        <v>3.0003630517089399E-2</v>
      </c>
      <c r="E42">
        <v>38.481999999999999</v>
      </c>
      <c r="F42">
        <v>1.97689209243164E-2</v>
      </c>
      <c r="G42">
        <v>27.28</v>
      </c>
      <c r="H42">
        <v>2.5718153105730199E-2</v>
      </c>
      <c r="I42">
        <v>36.731000000000002</v>
      </c>
      <c r="J42">
        <v>2.7325613917324101E-2</v>
      </c>
      <c r="K42" t="s">
        <v>1079</v>
      </c>
      <c r="L42" t="s">
        <v>1039</v>
      </c>
    </row>
    <row r="43" spans="1:12" x14ac:dyDescent="0.35">
      <c r="A43">
        <v>41.744999999999997</v>
      </c>
      <c r="C43">
        <v>40.691000000000003</v>
      </c>
      <c r="D43">
        <v>2.4471915204310201E-2</v>
      </c>
      <c r="E43">
        <v>39.97</v>
      </c>
      <c r="F43">
        <v>3.8667428927810402E-2</v>
      </c>
      <c r="G43">
        <v>28.02</v>
      </c>
      <c r="H43">
        <v>2.7126099706744799E-2</v>
      </c>
      <c r="I43">
        <v>37.784999999999997</v>
      </c>
      <c r="J43">
        <v>2.8695107674715899E-2</v>
      </c>
      <c r="K43" t="s">
        <v>1080</v>
      </c>
      <c r="L43" t="s">
        <v>1039</v>
      </c>
    </row>
    <row r="44" spans="1:12" x14ac:dyDescent="0.35">
      <c r="A44">
        <v>42.676000000000002</v>
      </c>
      <c r="C44">
        <v>41.643000000000001</v>
      </c>
      <c r="D44">
        <v>2.3395836917254401E-2</v>
      </c>
      <c r="E44">
        <v>40.375</v>
      </c>
      <c r="F44">
        <v>1.0132599449587099E-2</v>
      </c>
      <c r="G44">
        <v>28.798999999999999</v>
      </c>
      <c r="H44">
        <v>2.7801570306923699E-2</v>
      </c>
      <c r="I44">
        <v>39.027000000000001</v>
      </c>
      <c r="J44">
        <v>3.2870186581977198E-2</v>
      </c>
      <c r="K44" t="s">
        <v>1081</v>
      </c>
      <c r="L44" t="s">
        <v>1039</v>
      </c>
    </row>
    <row r="45" spans="1:12" x14ac:dyDescent="0.35">
      <c r="A45">
        <v>43.807000000000002</v>
      </c>
      <c r="C45">
        <v>42.673000000000002</v>
      </c>
      <c r="D45">
        <v>2.47340489397978E-2</v>
      </c>
      <c r="E45">
        <v>41.59</v>
      </c>
      <c r="F45">
        <v>3.0092879256966101E-2</v>
      </c>
      <c r="G45">
        <v>29.565000000000001</v>
      </c>
      <c r="H45">
        <v>2.65981457689504E-2</v>
      </c>
      <c r="I45">
        <v>40.182000000000002</v>
      </c>
      <c r="J45">
        <v>2.9594895841340601E-2</v>
      </c>
      <c r="K45" t="s">
        <v>1082</v>
      </c>
      <c r="L45" t="s">
        <v>1039</v>
      </c>
    </row>
    <row r="46" spans="1:12" x14ac:dyDescent="0.35">
      <c r="A46">
        <v>44.968000000000004</v>
      </c>
      <c r="C46">
        <v>43.78</v>
      </c>
      <c r="D46">
        <v>2.59414618142619E-2</v>
      </c>
      <c r="E46">
        <v>42.420999999999999</v>
      </c>
      <c r="F46">
        <v>1.9980764606876599E-2</v>
      </c>
      <c r="G46">
        <v>30.556000000000001</v>
      </c>
      <c r="H46">
        <v>3.3519364112971399E-2</v>
      </c>
      <c r="I46">
        <v>41.32</v>
      </c>
      <c r="J46">
        <v>2.8321138818376401E-2</v>
      </c>
      <c r="K46" t="s">
        <v>1083</v>
      </c>
      <c r="L46" t="s">
        <v>1039</v>
      </c>
    </row>
    <row r="47" spans="1:12" x14ac:dyDescent="0.35">
      <c r="A47">
        <v>45.813000000000002</v>
      </c>
      <c r="C47">
        <v>44.515000000000001</v>
      </c>
      <c r="D47">
        <v>1.6788487894015401E-2</v>
      </c>
      <c r="E47">
        <v>43.406999999999996</v>
      </c>
      <c r="F47">
        <v>2.32432050163833E-2</v>
      </c>
      <c r="G47">
        <v>31.195</v>
      </c>
      <c r="H47">
        <v>2.0912423092027701E-2</v>
      </c>
      <c r="I47">
        <v>42.308</v>
      </c>
      <c r="J47">
        <v>2.39109390125847E-2</v>
      </c>
      <c r="K47" t="s">
        <v>1084</v>
      </c>
      <c r="L47" t="s">
        <v>1039</v>
      </c>
    </row>
    <row r="48" spans="1:12" x14ac:dyDescent="0.35">
      <c r="A48">
        <v>46.703000000000003</v>
      </c>
      <c r="C48">
        <v>45.247999999999998</v>
      </c>
      <c r="D48">
        <v>1.6466359654049099E-2</v>
      </c>
      <c r="E48">
        <v>44.36</v>
      </c>
      <c r="F48">
        <v>2.19549842191353E-2</v>
      </c>
      <c r="G48">
        <v>31.568000000000001</v>
      </c>
      <c r="H48">
        <v>1.1957044398140699E-2</v>
      </c>
      <c r="I48">
        <v>43.174999999999997</v>
      </c>
      <c r="J48">
        <v>2.0492578235794499E-2</v>
      </c>
      <c r="K48" t="s">
        <v>1085</v>
      </c>
      <c r="L48" t="s">
        <v>1039</v>
      </c>
    </row>
    <row r="49" spans="1:12" x14ac:dyDescent="0.35">
      <c r="A49">
        <v>47.475000000000001</v>
      </c>
      <c r="C49">
        <v>45.941000000000003</v>
      </c>
      <c r="D49">
        <v>1.53155940594061E-2</v>
      </c>
      <c r="E49">
        <v>45.209000000000003</v>
      </c>
      <c r="F49">
        <v>1.9138863841298599E-2</v>
      </c>
      <c r="G49">
        <v>32.052</v>
      </c>
      <c r="H49">
        <v>1.53319817536746E-2</v>
      </c>
      <c r="I49">
        <v>43.944000000000003</v>
      </c>
      <c r="J49">
        <v>1.7811233352634799E-2</v>
      </c>
      <c r="K49" t="s">
        <v>1086</v>
      </c>
      <c r="L49" t="s">
        <v>1039</v>
      </c>
    </row>
    <row r="50" spans="1:12" x14ac:dyDescent="0.35">
      <c r="A50">
        <v>48.155000000000001</v>
      </c>
      <c r="C50">
        <v>46.524999999999999</v>
      </c>
      <c r="D50">
        <v>1.2711956640038199E-2</v>
      </c>
      <c r="E50">
        <v>45.932000000000002</v>
      </c>
      <c r="F50">
        <v>1.5992390895618099E-2</v>
      </c>
      <c r="G50">
        <v>32.613999999999997</v>
      </c>
      <c r="H50">
        <v>1.7534007238237701E-2</v>
      </c>
      <c r="I50">
        <v>44.56</v>
      </c>
      <c r="J50">
        <v>1.40178408884035E-2</v>
      </c>
      <c r="K50" t="s">
        <v>1087</v>
      </c>
      <c r="L50" t="s">
        <v>1039</v>
      </c>
    </row>
    <row r="51" spans="1:12" x14ac:dyDescent="0.35">
      <c r="A51">
        <v>48.795000000000002</v>
      </c>
      <c r="C51">
        <v>46.972999999999999</v>
      </c>
      <c r="D51">
        <v>9.6292315959161101E-3</v>
      </c>
      <c r="E51">
        <v>46.841000000000001</v>
      </c>
      <c r="F51">
        <v>1.9790124531916801E-2</v>
      </c>
      <c r="G51">
        <v>33.134</v>
      </c>
      <c r="H51">
        <v>1.5944073097442901E-2</v>
      </c>
      <c r="I51">
        <v>45.305</v>
      </c>
      <c r="J51">
        <v>1.6719030520646199E-2</v>
      </c>
      <c r="K51" t="s">
        <v>1088</v>
      </c>
      <c r="L51" t="s">
        <v>1039</v>
      </c>
    </row>
    <row r="52" spans="1:12" x14ac:dyDescent="0.35">
      <c r="A52">
        <v>49.472000000000001</v>
      </c>
      <c r="C52">
        <v>47.715000000000003</v>
      </c>
      <c r="D52">
        <v>1.5796308517659102E-2</v>
      </c>
      <c r="E52">
        <v>47.234999999999999</v>
      </c>
      <c r="F52">
        <v>8.4114344271044601E-3</v>
      </c>
      <c r="G52">
        <v>33.683999999999997</v>
      </c>
      <c r="H52">
        <v>1.65992635963059E-2</v>
      </c>
      <c r="I52">
        <v>45.84</v>
      </c>
      <c r="J52">
        <v>1.1808851120185501E-2</v>
      </c>
      <c r="K52" t="s">
        <v>1089</v>
      </c>
      <c r="L52" t="s">
        <v>1039</v>
      </c>
    </row>
    <row r="53" spans="1:12" x14ac:dyDescent="0.35">
      <c r="A53">
        <v>49.972999999999999</v>
      </c>
      <c r="C53">
        <v>48.241</v>
      </c>
      <c r="D53">
        <v>1.1023787069055701E-2</v>
      </c>
      <c r="E53">
        <v>47.792000000000002</v>
      </c>
      <c r="F53">
        <v>1.17921033132211E-2</v>
      </c>
      <c r="G53">
        <v>34.19</v>
      </c>
      <c r="H53">
        <v>1.5021968887305399E-2</v>
      </c>
      <c r="I53">
        <v>45.956000000000003</v>
      </c>
      <c r="J53">
        <v>2.5305410122164998E-3</v>
      </c>
      <c r="K53" t="s">
        <v>1090</v>
      </c>
      <c r="L53" t="s">
        <v>1039</v>
      </c>
    </row>
    <row r="54" spans="1:12" x14ac:dyDescent="0.35">
      <c r="A54">
        <v>50.372</v>
      </c>
      <c r="C54">
        <v>48.64</v>
      </c>
      <c r="D54">
        <v>8.2709728239465097E-3</v>
      </c>
      <c r="E54">
        <v>47.881999999999998</v>
      </c>
      <c r="F54">
        <v>1.8831603615667701E-3</v>
      </c>
      <c r="G54">
        <v>34.482999999999997</v>
      </c>
      <c r="H54">
        <v>8.5697572389587008E-3</v>
      </c>
      <c r="I54">
        <v>45.999000000000002</v>
      </c>
      <c r="J54">
        <v>9.3567760466539696E-4</v>
      </c>
      <c r="K54" t="s">
        <v>1091</v>
      </c>
      <c r="L54" t="s">
        <v>1039</v>
      </c>
    </row>
    <row r="55" spans="1:12" x14ac:dyDescent="0.3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1092</v>
      </c>
      <c r="L55" t="s">
        <v>1039</v>
      </c>
    </row>
    <row r="56" spans="1:12" x14ac:dyDescent="0.35">
      <c r="A56">
        <v>51.284999999999997</v>
      </c>
      <c r="C56">
        <v>49.73</v>
      </c>
      <c r="D56">
        <v>1.31404706122031E-2</v>
      </c>
      <c r="E56">
        <v>48.786000000000001</v>
      </c>
      <c r="F56">
        <v>1.1066898781397499E-2</v>
      </c>
      <c r="G56">
        <v>35.363</v>
      </c>
      <c r="H56">
        <v>1.17010928649082E-2</v>
      </c>
      <c r="I56">
        <v>45.963000000000001</v>
      </c>
      <c r="J56">
        <v>5.6599255502098899E-4</v>
      </c>
      <c r="K56" t="s">
        <v>1093</v>
      </c>
      <c r="L56" t="s">
        <v>1039</v>
      </c>
    </row>
    <row r="57" spans="1:12" x14ac:dyDescent="0.35">
      <c r="A57">
        <v>51.668999999999997</v>
      </c>
      <c r="C57">
        <v>50.058</v>
      </c>
      <c r="D57">
        <v>6.5956163281721799E-3</v>
      </c>
      <c r="E57">
        <v>49.104999999999997</v>
      </c>
      <c r="F57">
        <v>6.5387611199934099E-3</v>
      </c>
      <c r="G57">
        <v>35.694000000000003</v>
      </c>
      <c r="H57">
        <v>9.3600656052936805E-3</v>
      </c>
      <c r="I57">
        <v>45.95</v>
      </c>
      <c r="J57">
        <v>-2.82836194330227E-4</v>
      </c>
      <c r="K57" t="s">
        <v>1094</v>
      </c>
      <c r="L57" t="s">
        <v>1039</v>
      </c>
    </row>
    <row r="58" spans="1:12" x14ac:dyDescent="0.35">
      <c r="A58">
        <v>52.177999999999997</v>
      </c>
      <c r="C58">
        <v>50.598999999999997</v>
      </c>
      <c r="D58">
        <v>1.08074633425226E-2</v>
      </c>
      <c r="E58">
        <v>49.741</v>
      </c>
      <c r="F58">
        <v>1.2951837898381099E-2</v>
      </c>
      <c r="G58">
        <v>36.32</v>
      </c>
      <c r="H58">
        <v>1.7537961562167099E-2</v>
      </c>
      <c r="I58">
        <v>46</v>
      </c>
      <c r="J58">
        <v>1.0881392818280499E-3</v>
      </c>
      <c r="K58" t="s">
        <v>1095</v>
      </c>
      <c r="L58" t="s">
        <v>1039</v>
      </c>
    </row>
    <row r="59" spans="1:12" x14ac:dyDescent="0.3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1096</v>
      </c>
      <c r="L59" t="s">
        <v>1039</v>
      </c>
    </row>
    <row r="60" spans="1:12" x14ac:dyDescent="0.35">
      <c r="A60">
        <v>53.122</v>
      </c>
      <c r="C60">
        <v>51.482999999999997</v>
      </c>
      <c r="D60">
        <v>7.7120319442540702E-3</v>
      </c>
      <c r="E60">
        <v>50.984000000000002</v>
      </c>
      <c r="F60">
        <v>1.48695184823935E-2</v>
      </c>
      <c r="G60">
        <v>37.11</v>
      </c>
      <c r="H60">
        <v>1.07310164505936E-2</v>
      </c>
      <c r="I60">
        <v>46.311999999999998</v>
      </c>
      <c r="J60">
        <v>3.22769317418703E-3</v>
      </c>
      <c r="K60" t="s">
        <v>1097</v>
      </c>
      <c r="L60" t="s">
        <v>1039</v>
      </c>
    </row>
    <row r="61" spans="1:12" x14ac:dyDescent="0.35">
      <c r="A61">
        <v>53.494</v>
      </c>
      <c r="C61">
        <v>51.801000000000002</v>
      </c>
      <c r="D61">
        <v>6.1767962239964698E-3</v>
      </c>
      <c r="E61">
        <v>51.612000000000002</v>
      </c>
      <c r="F61">
        <v>1.23175898321042E-2</v>
      </c>
      <c r="G61">
        <v>37.548000000000002</v>
      </c>
      <c r="H61">
        <v>1.1802748585286999E-2</v>
      </c>
      <c r="I61">
        <v>46.405999999999999</v>
      </c>
      <c r="J61">
        <v>2.0297115218517198E-3</v>
      </c>
      <c r="K61" t="s">
        <v>1098</v>
      </c>
      <c r="L61" t="s">
        <v>1039</v>
      </c>
    </row>
    <row r="62" spans="1:12" x14ac:dyDescent="0.3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1099</v>
      </c>
      <c r="L62" t="s">
        <v>1039</v>
      </c>
    </row>
    <row r="63" spans="1:12" x14ac:dyDescent="0.35">
      <c r="A63">
        <v>54.360999999999997</v>
      </c>
      <c r="C63">
        <v>52.837000000000003</v>
      </c>
      <c r="D63">
        <v>8.1088300389224894E-3</v>
      </c>
      <c r="E63">
        <v>51.527000000000001</v>
      </c>
      <c r="F63">
        <v>2.3538108392016101E-3</v>
      </c>
      <c r="G63">
        <v>38.478999999999999</v>
      </c>
      <c r="H63">
        <v>1.1434128903375E-2</v>
      </c>
      <c r="I63">
        <v>46.808</v>
      </c>
      <c r="J63">
        <v>3.0858906223212301E-3</v>
      </c>
      <c r="K63" t="s">
        <v>1100</v>
      </c>
      <c r="L63" t="s">
        <v>1039</v>
      </c>
    </row>
    <row r="64" spans="1:12" x14ac:dyDescent="0.35">
      <c r="A64">
        <v>54.722000000000001</v>
      </c>
      <c r="C64">
        <v>53.250999999999998</v>
      </c>
      <c r="D64">
        <v>7.8354183621325308E-3</v>
      </c>
      <c r="E64">
        <v>51.802</v>
      </c>
      <c r="F64">
        <v>5.3370077823275998E-3</v>
      </c>
      <c r="G64">
        <v>38.835999999999999</v>
      </c>
      <c r="H64">
        <v>9.2777878843004497E-3</v>
      </c>
      <c r="I64">
        <v>47</v>
      </c>
      <c r="J64">
        <v>4.1018629294138397E-3</v>
      </c>
      <c r="K64" t="s">
        <v>1101</v>
      </c>
      <c r="L64" t="s">
        <v>1039</v>
      </c>
    </row>
    <row r="65" spans="1:12" x14ac:dyDescent="0.35">
      <c r="A65">
        <v>55.006</v>
      </c>
      <c r="C65">
        <v>53.622999999999998</v>
      </c>
      <c r="D65">
        <v>6.9857843045200204E-3</v>
      </c>
      <c r="E65">
        <v>52.142000000000003</v>
      </c>
      <c r="F65">
        <v>6.5634531485272403E-3</v>
      </c>
      <c r="G65">
        <v>39.226999999999997</v>
      </c>
      <c r="H65">
        <v>1.0067978164589601E-2</v>
      </c>
      <c r="I65">
        <v>47.28</v>
      </c>
      <c r="J65">
        <v>5.9574468085106204E-3</v>
      </c>
      <c r="K65" t="s">
        <v>1102</v>
      </c>
      <c r="L65" t="s">
        <v>1039</v>
      </c>
    </row>
    <row r="66" spans="1:12" x14ac:dyDescent="0.35">
      <c r="A66">
        <v>55.277999999999999</v>
      </c>
      <c r="C66">
        <v>54.003</v>
      </c>
      <c r="D66">
        <v>7.08651138504002E-3</v>
      </c>
      <c r="E66">
        <v>52.01</v>
      </c>
      <c r="F66">
        <v>-2.53154846381043E-3</v>
      </c>
      <c r="G66">
        <v>39.371000000000002</v>
      </c>
      <c r="H66">
        <v>3.6709409335409201E-3</v>
      </c>
      <c r="I66">
        <v>47.573999999999998</v>
      </c>
      <c r="J66">
        <v>6.2182741116749698E-3</v>
      </c>
      <c r="K66" t="s">
        <v>1103</v>
      </c>
      <c r="L66" t="s">
        <v>1039</v>
      </c>
    </row>
    <row r="67" spans="1:12" x14ac:dyDescent="0.35">
      <c r="A67">
        <v>55.472000000000001</v>
      </c>
      <c r="C67">
        <v>53.945999999999998</v>
      </c>
      <c r="D67">
        <v>-1.0554969168380399E-3</v>
      </c>
      <c r="E67">
        <v>51.881</v>
      </c>
      <c r="F67">
        <v>-2.48029225149005E-3</v>
      </c>
      <c r="G67">
        <v>39.488999999999997</v>
      </c>
      <c r="H67">
        <v>2.9971298671609401E-3</v>
      </c>
      <c r="I67">
        <v>48.063000000000002</v>
      </c>
      <c r="J67">
        <v>1.02787236725943E-2</v>
      </c>
      <c r="K67" t="s">
        <v>1104</v>
      </c>
      <c r="L67" t="s">
        <v>1039</v>
      </c>
    </row>
    <row r="68" spans="1:12" x14ac:dyDescent="0.35">
      <c r="A68">
        <v>55.734999999999999</v>
      </c>
      <c r="C68">
        <v>54.23</v>
      </c>
      <c r="D68">
        <v>5.2645237830422102E-3</v>
      </c>
      <c r="E68">
        <v>51.954000000000001</v>
      </c>
      <c r="F68">
        <v>1.4070661706597799E-3</v>
      </c>
      <c r="G68">
        <v>39.826999999999998</v>
      </c>
      <c r="H68">
        <v>8.5593456405581598E-3</v>
      </c>
      <c r="I68">
        <v>48.500999999999998</v>
      </c>
      <c r="J68">
        <v>9.1130391361338194E-3</v>
      </c>
      <c r="K68" t="s">
        <v>1105</v>
      </c>
      <c r="L68" t="s">
        <v>1039</v>
      </c>
    </row>
    <row r="69" spans="1:12" x14ac:dyDescent="0.35">
      <c r="A69">
        <v>56.066000000000003</v>
      </c>
      <c r="C69">
        <v>54.558</v>
      </c>
      <c r="D69">
        <v>6.0483127420247803E-3</v>
      </c>
      <c r="E69">
        <v>52.012999999999998</v>
      </c>
      <c r="F69">
        <v>1.13561997151312E-3</v>
      </c>
      <c r="G69">
        <v>40.351999999999997</v>
      </c>
      <c r="H69">
        <v>1.3182012202777E-2</v>
      </c>
      <c r="I69">
        <v>49.026000000000003</v>
      </c>
      <c r="J69">
        <v>1.08245190820808E-2</v>
      </c>
      <c r="K69" t="s">
        <v>1106</v>
      </c>
      <c r="L69" t="s">
        <v>1039</v>
      </c>
    </row>
    <row r="70" spans="1:12" x14ac:dyDescent="0.35">
      <c r="A70">
        <v>56.390999999999998</v>
      </c>
      <c r="C70">
        <v>55.072000000000003</v>
      </c>
      <c r="D70">
        <v>9.4211664650463208E-3</v>
      </c>
      <c r="E70">
        <v>51.923999999999999</v>
      </c>
      <c r="F70">
        <v>-1.71111068386742E-3</v>
      </c>
      <c r="G70">
        <v>41.005000000000003</v>
      </c>
      <c r="H70">
        <v>1.61825931800159E-2</v>
      </c>
      <c r="I70">
        <v>49.34</v>
      </c>
      <c r="J70">
        <v>6.4047648186675897E-3</v>
      </c>
      <c r="K70" t="s">
        <v>1107</v>
      </c>
      <c r="L70" t="s">
        <v>1039</v>
      </c>
    </row>
    <row r="71" spans="1:12" x14ac:dyDescent="0.3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1108</v>
      </c>
      <c r="L71" t="s">
        <v>1039</v>
      </c>
    </row>
    <row r="72" spans="1:12" x14ac:dyDescent="0.35">
      <c r="A72">
        <v>57.212000000000003</v>
      </c>
      <c r="C72">
        <v>56.13</v>
      </c>
      <c r="D72">
        <v>9.4779058683884792E-3</v>
      </c>
      <c r="E72">
        <v>52.548000000000002</v>
      </c>
      <c r="F72">
        <v>7.2262367982212101E-3</v>
      </c>
      <c r="G72">
        <v>42.072000000000003</v>
      </c>
      <c r="H72">
        <v>1.2685040317727899E-2</v>
      </c>
      <c r="I72">
        <v>50.198</v>
      </c>
      <c r="J72">
        <v>8.9036277761027592E-3</v>
      </c>
      <c r="K72" t="s">
        <v>1109</v>
      </c>
      <c r="L72" t="s">
        <v>1039</v>
      </c>
    </row>
    <row r="73" spans="1:12" x14ac:dyDescent="0.3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1110</v>
      </c>
      <c r="L73" t="s">
        <v>1039</v>
      </c>
    </row>
    <row r="74" spans="1:12" x14ac:dyDescent="0.35">
      <c r="A74">
        <v>58.087000000000003</v>
      </c>
      <c r="C74">
        <v>57.061999999999998</v>
      </c>
      <c r="D74">
        <v>7.8954340722423594E-3</v>
      </c>
      <c r="E74">
        <v>53.375999999999998</v>
      </c>
      <c r="F74">
        <v>1.36351551521137E-2</v>
      </c>
      <c r="G74">
        <v>42.517000000000003</v>
      </c>
      <c r="H74">
        <v>4.4413995133361101E-3</v>
      </c>
      <c r="I74">
        <v>50.87</v>
      </c>
      <c r="J74">
        <v>8.0453392517438899E-3</v>
      </c>
      <c r="K74" t="s">
        <v>1111</v>
      </c>
      <c r="L74" t="s">
        <v>1039</v>
      </c>
    </row>
    <row r="75" spans="1:12" x14ac:dyDescent="0.35">
      <c r="A75">
        <v>58.667000000000002</v>
      </c>
      <c r="C75">
        <v>57.692</v>
      </c>
      <c r="D75">
        <v>1.10406224808104E-2</v>
      </c>
      <c r="E75">
        <v>53.901000000000003</v>
      </c>
      <c r="F75">
        <v>9.8358812949641498E-3</v>
      </c>
      <c r="G75">
        <v>42.975000000000001</v>
      </c>
      <c r="H75">
        <v>1.0772161723545901E-2</v>
      </c>
      <c r="I75">
        <v>51.151000000000003</v>
      </c>
      <c r="J75">
        <v>5.5238844112444098E-3</v>
      </c>
      <c r="K75" t="s">
        <v>1112</v>
      </c>
      <c r="L75" t="s">
        <v>1039</v>
      </c>
    </row>
    <row r="76" spans="1:12" x14ac:dyDescent="0.3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1113</v>
      </c>
      <c r="L76" t="s">
        <v>1039</v>
      </c>
    </row>
    <row r="77" spans="1:12" x14ac:dyDescent="0.35">
      <c r="A77">
        <v>59.932000000000002</v>
      </c>
      <c r="C77">
        <v>58.993000000000002</v>
      </c>
      <c r="D77">
        <v>1.01022207763299E-2</v>
      </c>
      <c r="E77">
        <v>54.645000000000003</v>
      </c>
      <c r="F77">
        <v>8.0429448984487006E-3</v>
      </c>
      <c r="G77">
        <v>43.918999999999997</v>
      </c>
      <c r="H77">
        <v>1.29621514403671E-2</v>
      </c>
      <c r="I77">
        <v>51.753</v>
      </c>
      <c r="J77">
        <v>5.2835026514637101E-3</v>
      </c>
      <c r="K77" t="s">
        <v>1114</v>
      </c>
      <c r="L77" t="s">
        <v>1039</v>
      </c>
    </row>
    <row r="78" spans="1:12" x14ac:dyDescent="0.35">
      <c r="A78">
        <v>60.508000000000003</v>
      </c>
      <c r="C78">
        <v>59.670999999999999</v>
      </c>
      <c r="D78">
        <v>1.14928889868289E-2</v>
      </c>
      <c r="E78">
        <v>55.051000000000002</v>
      </c>
      <c r="F78">
        <v>7.42977399579092E-3</v>
      </c>
      <c r="G78">
        <v>44.585000000000001</v>
      </c>
      <c r="H78">
        <v>1.5164279696714401E-2</v>
      </c>
      <c r="I78">
        <v>52.003</v>
      </c>
      <c r="J78">
        <v>4.8306378374200999E-3</v>
      </c>
      <c r="K78" t="s">
        <v>1115</v>
      </c>
      <c r="L78" t="s">
        <v>1039</v>
      </c>
    </row>
    <row r="79" spans="1:12" x14ac:dyDescent="0.3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1116</v>
      </c>
      <c r="L79" t="s">
        <v>1039</v>
      </c>
    </row>
    <row r="80" spans="1:12" x14ac:dyDescent="0.35">
      <c r="A80">
        <v>61.616999999999997</v>
      </c>
      <c r="C80">
        <v>60.832000000000001</v>
      </c>
      <c r="D80">
        <v>5.9032658123190397E-3</v>
      </c>
      <c r="E80">
        <v>55.731000000000002</v>
      </c>
      <c r="F80">
        <v>4.9770083851772302E-3</v>
      </c>
      <c r="G80">
        <v>45.692999999999998</v>
      </c>
      <c r="H80">
        <v>9.8346888260254506E-3</v>
      </c>
      <c r="I80">
        <v>52.814</v>
      </c>
      <c r="J80">
        <v>7.4201239866476002E-3</v>
      </c>
      <c r="K80" t="s">
        <v>1117</v>
      </c>
      <c r="L80" t="s">
        <v>1039</v>
      </c>
    </row>
    <row r="81" spans="1:12" x14ac:dyDescent="0.35">
      <c r="A81">
        <v>62.036999999999999</v>
      </c>
      <c r="C81">
        <v>61.31</v>
      </c>
      <c r="D81">
        <v>7.8577064702787195E-3</v>
      </c>
      <c r="E81">
        <v>55.930999999999997</v>
      </c>
      <c r="F81">
        <v>3.5886669896465499E-3</v>
      </c>
      <c r="G81">
        <v>46.363999999999997</v>
      </c>
      <c r="H81">
        <v>1.46849626857506E-2</v>
      </c>
      <c r="I81">
        <v>53.104999999999997</v>
      </c>
      <c r="J81">
        <v>5.5099026773204303E-3</v>
      </c>
      <c r="K81" t="s">
        <v>1118</v>
      </c>
      <c r="L81" t="s">
        <v>1039</v>
      </c>
    </row>
    <row r="82" spans="1:12" x14ac:dyDescent="0.35">
      <c r="A82">
        <v>62.713000000000001</v>
      </c>
      <c r="C82">
        <v>62.198999999999998</v>
      </c>
      <c r="D82">
        <v>1.4500081552764501E-2</v>
      </c>
      <c r="E82">
        <v>56.323</v>
      </c>
      <c r="F82">
        <v>7.0086356403427103E-3</v>
      </c>
      <c r="G82">
        <v>47.098999999999997</v>
      </c>
      <c r="H82">
        <v>1.5852816840652199E-2</v>
      </c>
      <c r="I82">
        <v>53.487000000000002</v>
      </c>
      <c r="J82">
        <v>7.1932962997835999E-3</v>
      </c>
      <c r="K82" t="s">
        <v>1119</v>
      </c>
      <c r="L82" t="s">
        <v>1039</v>
      </c>
    </row>
    <row r="83" spans="1:12" x14ac:dyDescent="0.35">
      <c r="A83">
        <v>63.414999999999999</v>
      </c>
      <c r="C83">
        <v>62.764000000000003</v>
      </c>
      <c r="D83">
        <v>9.0837473271274706E-3</v>
      </c>
      <c r="E83">
        <v>57.29</v>
      </c>
      <c r="F83">
        <v>1.7168829785345199E-2</v>
      </c>
      <c r="G83">
        <v>47.601999999999997</v>
      </c>
      <c r="H83">
        <v>1.0679632263954599E-2</v>
      </c>
      <c r="I83">
        <v>53.959000000000003</v>
      </c>
      <c r="J83">
        <v>8.8245741955990092E-3</v>
      </c>
      <c r="K83" t="s">
        <v>1120</v>
      </c>
      <c r="L83" t="s">
        <v>1039</v>
      </c>
    </row>
    <row r="84" spans="1:12" x14ac:dyDescent="0.35">
      <c r="A84">
        <v>63.963000000000001</v>
      </c>
      <c r="C84">
        <v>63.561</v>
      </c>
      <c r="D84">
        <v>1.2698362118411801E-2</v>
      </c>
      <c r="E84">
        <v>57.366999999999997</v>
      </c>
      <c r="F84">
        <v>1.34403909931913E-3</v>
      </c>
      <c r="G84">
        <v>48.293999999999997</v>
      </c>
      <c r="H84">
        <v>1.4537204319146299E-2</v>
      </c>
      <c r="I84">
        <v>54.482999999999997</v>
      </c>
      <c r="J84">
        <v>9.7110769287791499E-3</v>
      </c>
      <c r="K84" t="s">
        <v>1121</v>
      </c>
      <c r="L84" t="s">
        <v>1039</v>
      </c>
    </row>
    <row r="85" spans="1:12" x14ac:dyDescent="0.35">
      <c r="A85">
        <v>64.451999999999998</v>
      </c>
      <c r="C85">
        <v>64.402000000000001</v>
      </c>
      <c r="D85">
        <v>1.3231384024795101E-2</v>
      </c>
      <c r="E85">
        <v>58.05</v>
      </c>
      <c r="F85">
        <v>1.19057995014555E-2</v>
      </c>
      <c r="G85">
        <v>49.207999999999998</v>
      </c>
      <c r="H85">
        <v>1.8925746469540702E-2</v>
      </c>
      <c r="I85">
        <v>54.628</v>
      </c>
      <c r="J85">
        <v>2.66138061413668E-3</v>
      </c>
      <c r="K85" t="s">
        <v>1122</v>
      </c>
      <c r="L85" t="s">
        <v>1039</v>
      </c>
    </row>
    <row r="86" spans="1:12" x14ac:dyDescent="0.35">
      <c r="A86">
        <v>65.078000000000003</v>
      </c>
      <c r="C86">
        <v>64.739999999999995</v>
      </c>
      <c r="D86">
        <v>5.2482842147758601E-3</v>
      </c>
      <c r="E86">
        <v>58.570999999999998</v>
      </c>
      <c r="F86">
        <v>8.9750215331609907E-3</v>
      </c>
      <c r="G86">
        <v>49.442</v>
      </c>
      <c r="H86">
        <v>4.7553243375060301E-3</v>
      </c>
      <c r="I86">
        <v>54.735999999999997</v>
      </c>
      <c r="J86">
        <v>1.9770081276999601E-3</v>
      </c>
      <c r="K86" t="s">
        <v>1123</v>
      </c>
      <c r="L86" t="s">
        <v>1039</v>
      </c>
    </row>
    <row r="87" spans="1:12" x14ac:dyDescent="0.35">
      <c r="A87">
        <v>65.546999999999997</v>
      </c>
      <c r="C87">
        <v>65.093999999999994</v>
      </c>
      <c r="D87">
        <v>5.4680259499535503E-3</v>
      </c>
      <c r="E87">
        <v>58.86</v>
      </c>
      <c r="F87">
        <v>4.9341824452373596E-3</v>
      </c>
      <c r="G87">
        <v>49.752000000000002</v>
      </c>
      <c r="H87">
        <v>6.2699728975366097E-3</v>
      </c>
      <c r="I87">
        <v>55.018000000000001</v>
      </c>
      <c r="J87">
        <v>5.1520023384976597E-3</v>
      </c>
      <c r="K87" t="s">
        <v>1124</v>
      </c>
      <c r="L87" t="s">
        <v>1039</v>
      </c>
    </row>
    <row r="88" spans="1:12" x14ac:dyDescent="0.35">
      <c r="A88">
        <v>66.05</v>
      </c>
      <c r="C88">
        <v>65.536000000000001</v>
      </c>
      <c r="D88">
        <v>6.7901803545642502E-3</v>
      </c>
      <c r="E88">
        <v>59.616</v>
      </c>
      <c r="F88">
        <v>1.2844036697247801E-2</v>
      </c>
      <c r="G88">
        <v>50.226999999999997</v>
      </c>
      <c r="H88">
        <v>9.5473548802056402E-3</v>
      </c>
      <c r="I88">
        <v>55.164000000000001</v>
      </c>
      <c r="J88">
        <v>2.6536769784435399E-3</v>
      </c>
      <c r="K88" t="s">
        <v>1125</v>
      </c>
      <c r="L88" t="s">
        <v>1039</v>
      </c>
    </row>
    <row r="89" spans="1:12" x14ac:dyDescent="0.35">
      <c r="A89">
        <v>66.433999999999997</v>
      </c>
      <c r="C89">
        <v>66.012</v>
      </c>
      <c r="D89">
        <v>7.26318359375E-3</v>
      </c>
      <c r="E89">
        <v>60.219000000000001</v>
      </c>
      <c r="F89">
        <v>1.0114734299516899E-2</v>
      </c>
      <c r="G89">
        <v>50.798000000000002</v>
      </c>
      <c r="H89">
        <v>1.13683875206563E-2</v>
      </c>
      <c r="I89">
        <v>55.026000000000003</v>
      </c>
      <c r="J89">
        <v>-2.5016314988035599E-3</v>
      </c>
      <c r="K89" t="s">
        <v>1126</v>
      </c>
      <c r="L89" t="s">
        <v>1039</v>
      </c>
    </row>
    <row r="90" spans="1:12" x14ac:dyDescent="0.35">
      <c r="A90">
        <v>66.7</v>
      </c>
      <c r="C90">
        <v>66.424999999999997</v>
      </c>
      <c r="D90">
        <v>6.2564382233532001E-3</v>
      </c>
      <c r="E90">
        <v>60.307000000000002</v>
      </c>
      <c r="F90">
        <v>1.4613328019394999E-3</v>
      </c>
      <c r="G90">
        <v>51.277999999999999</v>
      </c>
      <c r="H90">
        <v>9.4491909130280903E-3</v>
      </c>
      <c r="I90">
        <v>54.881999999999998</v>
      </c>
      <c r="J90">
        <v>-2.61694471704299E-3</v>
      </c>
      <c r="K90" t="s">
        <v>1127</v>
      </c>
      <c r="L90" t="s">
        <v>1039</v>
      </c>
    </row>
    <row r="91" spans="1:12" x14ac:dyDescent="0.3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1128</v>
      </c>
      <c r="L91" t="s">
        <v>1039</v>
      </c>
    </row>
    <row r="92" spans="1:12" x14ac:dyDescent="0.35">
      <c r="A92">
        <v>67.418999999999997</v>
      </c>
      <c r="C92">
        <v>67.293999999999997</v>
      </c>
      <c r="D92">
        <v>6.3858106390295398E-3</v>
      </c>
      <c r="E92">
        <v>61.055</v>
      </c>
      <c r="F92">
        <v>8.7233796487518108E-3</v>
      </c>
      <c r="G92">
        <v>52.42</v>
      </c>
      <c r="H92">
        <v>8.5618085618086592E-3</v>
      </c>
      <c r="I92">
        <v>55.253999999999998</v>
      </c>
      <c r="J92">
        <v>2.03111965470959E-3</v>
      </c>
      <c r="K92" t="s">
        <v>1129</v>
      </c>
      <c r="L92" t="s">
        <v>1039</v>
      </c>
    </row>
    <row r="93" spans="1:12" x14ac:dyDescent="0.35">
      <c r="A93">
        <v>67.894000000000005</v>
      </c>
      <c r="C93">
        <v>67.763000000000005</v>
      </c>
      <c r="D93">
        <v>6.9694177787025203E-3</v>
      </c>
      <c r="E93">
        <v>61.439</v>
      </c>
      <c r="F93">
        <v>6.2894111866349496E-3</v>
      </c>
      <c r="G93">
        <v>52.802999999999997</v>
      </c>
      <c r="H93">
        <v>7.3063716138877001E-3</v>
      </c>
      <c r="I93">
        <v>55.506</v>
      </c>
      <c r="J93">
        <v>4.5607557823867896E-3</v>
      </c>
      <c r="K93" t="s">
        <v>1130</v>
      </c>
      <c r="L93" t="s">
        <v>1039</v>
      </c>
    </row>
    <row r="94" spans="1:12" x14ac:dyDescent="0.3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1131</v>
      </c>
      <c r="L94" t="s">
        <v>1039</v>
      </c>
    </row>
    <row r="95" spans="1:12" x14ac:dyDescent="0.35">
      <c r="A95">
        <v>68.700999999999993</v>
      </c>
      <c r="C95">
        <v>68.623999999999995</v>
      </c>
      <c r="D95">
        <v>6.7041236962166496E-3</v>
      </c>
      <c r="E95">
        <v>61.863</v>
      </c>
      <c r="F95">
        <v>4.3999220678010396E-3</v>
      </c>
      <c r="G95">
        <v>53.405999999999999</v>
      </c>
      <c r="H95">
        <v>5.91426203571155E-3</v>
      </c>
      <c r="I95">
        <v>56.244999999999997</v>
      </c>
      <c r="J95">
        <v>5.8298610490172802E-3</v>
      </c>
      <c r="K95" t="s">
        <v>1132</v>
      </c>
      <c r="L95" t="s">
        <v>1039</v>
      </c>
    </row>
    <row r="96" spans="1:12" x14ac:dyDescent="0.35">
      <c r="A96">
        <v>69.046000000000006</v>
      </c>
      <c r="C96">
        <v>68.923000000000002</v>
      </c>
      <c r="D96">
        <v>4.3570762415483504E-3</v>
      </c>
      <c r="E96">
        <v>62.311</v>
      </c>
      <c r="F96">
        <v>7.2418085123580099E-3</v>
      </c>
      <c r="G96">
        <v>53.58</v>
      </c>
      <c r="H96">
        <v>3.2580608920345102E-3</v>
      </c>
      <c r="I96">
        <v>56.302</v>
      </c>
      <c r="J96">
        <v>1.01342341541466E-3</v>
      </c>
      <c r="K96" t="s">
        <v>1133</v>
      </c>
      <c r="L96" t="s">
        <v>1039</v>
      </c>
    </row>
    <row r="97" spans="1:12" x14ac:dyDescent="0.35">
      <c r="A97">
        <v>69.451999999999998</v>
      </c>
      <c r="C97">
        <v>69.319999999999993</v>
      </c>
      <c r="D97">
        <v>5.7600510714854699E-3</v>
      </c>
      <c r="E97">
        <v>62.87</v>
      </c>
      <c r="F97">
        <v>8.9711286931681792E-3</v>
      </c>
      <c r="G97">
        <v>53.853999999999999</v>
      </c>
      <c r="H97">
        <v>5.1138484509145599E-3</v>
      </c>
      <c r="I97">
        <v>56.564999999999998</v>
      </c>
      <c r="J97">
        <v>4.6712372562254202E-3</v>
      </c>
      <c r="K97" t="s">
        <v>1134</v>
      </c>
      <c r="L97" t="s">
        <v>1039</v>
      </c>
    </row>
    <row r="98" spans="1:12" x14ac:dyDescent="0.35">
      <c r="A98">
        <v>69.807000000000002</v>
      </c>
      <c r="C98">
        <v>69.567999999999998</v>
      </c>
      <c r="D98">
        <v>3.5776110790537402E-3</v>
      </c>
      <c r="E98">
        <v>63.158000000000001</v>
      </c>
      <c r="F98">
        <v>4.58088118339428E-3</v>
      </c>
      <c r="G98">
        <v>54.305</v>
      </c>
      <c r="H98">
        <v>8.3744940023024999E-3</v>
      </c>
      <c r="I98">
        <v>56.978000000000002</v>
      </c>
      <c r="J98">
        <v>7.3013347476356101E-3</v>
      </c>
      <c r="K98" t="s">
        <v>1135</v>
      </c>
      <c r="L98" t="s">
        <v>1039</v>
      </c>
    </row>
    <row r="99" spans="1:12" x14ac:dyDescent="0.35">
      <c r="A99">
        <v>70.14</v>
      </c>
      <c r="C99">
        <v>69.956000000000003</v>
      </c>
      <c r="D99">
        <v>5.5772769089237296E-3</v>
      </c>
      <c r="E99">
        <v>63.688000000000002</v>
      </c>
      <c r="F99">
        <v>8.3916526805789503E-3</v>
      </c>
      <c r="G99">
        <v>54.621000000000002</v>
      </c>
      <c r="H99">
        <v>5.8189853604639899E-3</v>
      </c>
      <c r="I99">
        <v>57.225000000000001</v>
      </c>
      <c r="J99">
        <v>4.3350064937344203E-3</v>
      </c>
      <c r="K99" t="s">
        <v>1136</v>
      </c>
      <c r="L99" t="s">
        <v>1039</v>
      </c>
    </row>
    <row r="100" spans="1:12" x14ac:dyDescent="0.3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1137</v>
      </c>
      <c r="L100" t="s">
        <v>1039</v>
      </c>
    </row>
    <row r="101" spans="1:12" x14ac:dyDescent="0.3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1138</v>
      </c>
      <c r="L101" t="s">
        <v>1039</v>
      </c>
    </row>
    <row r="102" spans="1:12" x14ac:dyDescent="0.3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1139</v>
      </c>
      <c r="L102" t="s">
        <v>1039</v>
      </c>
    </row>
    <row r="103" spans="1:12" x14ac:dyDescent="0.3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1140</v>
      </c>
      <c r="L103" t="s">
        <v>1039</v>
      </c>
    </row>
    <row r="104" spans="1:12" x14ac:dyDescent="0.3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1141</v>
      </c>
      <c r="L104" t="s">
        <v>1039</v>
      </c>
    </row>
    <row r="105" spans="1:12" x14ac:dyDescent="0.35">
      <c r="A105">
        <v>72.322000000000003</v>
      </c>
      <c r="C105">
        <v>72.158000000000001</v>
      </c>
      <c r="D105">
        <v>4.3985412432838702E-3</v>
      </c>
      <c r="E105">
        <v>66.807000000000002</v>
      </c>
      <c r="F105">
        <v>1.3809429867824E-2</v>
      </c>
      <c r="G105">
        <v>56.66</v>
      </c>
      <c r="H105">
        <v>3.4001558404759299E-3</v>
      </c>
      <c r="I105">
        <v>59.878</v>
      </c>
      <c r="J105">
        <v>5.7613168724279804E-3</v>
      </c>
      <c r="K105" t="s">
        <v>1142</v>
      </c>
      <c r="L105" t="s">
        <v>1039</v>
      </c>
    </row>
    <row r="106" spans="1:12" x14ac:dyDescent="0.3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1143</v>
      </c>
      <c r="L106" t="s">
        <v>1039</v>
      </c>
    </row>
    <row r="107" spans="1:12" x14ac:dyDescent="0.3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1144</v>
      </c>
      <c r="L107" t="s">
        <v>1039</v>
      </c>
    </row>
    <row r="108" spans="1:12" x14ac:dyDescent="0.3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1145</v>
      </c>
      <c r="L108" t="s">
        <v>1039</v>
      </c>
    </row>
    <row r="109" spans="1:12" x14ac:dyDescent="0.3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1146</v>
      </c>
      <c r="L109" t="s">
        <v>1039</v>
      </c>
    </row>
    <row r="110" spans="1:12" x14ac:dyDescent="0.3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1147</v>
      </c>
      <c r="L110" t="s">
        <v>1039</v>
      </c>
    </row>
    <row r="111" spans="1:12" x14ac:dyDescent="0.3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1148</v>
      </c>
      <c r="L111" t="s">
        <v>1039</v>
      </c>
    </row>
    <row r="112" spans="1:12" x14ac:dyDescent="0.3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1149</v>
      </c>
      <c r="L112" t="s">
        <v>1039</v>
      </c>
    </row>
    <row r="113" spans="1:12" x14ac:dyDescent="0.3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1150</v>
      </c>
      <c r="L113" t="s">
        <v>1039</v>
      </c>
    </row>
    <row r="114" spans="1:12" x14ac:dyDescent="0.35">
      <c r="A114">
        <v>74.878</v>
      </c>
      <c r="C114">
        <v>74.804000000000002</v>
      </c>
      <c r="D114">
        <v>8.0216048557346694E-5</v>
      </c>
      <c r="E114">
        <v>68.241</v>
      </c>
      <c r="F114">
        <v>-4.1880691104366798E-3</v>
      </c>
      <c r="G114">
        <v>59.61</v>
      </c>
      <c r="H114">
        <v>1.57940721822714E-3</v>
      </c>
      <c r="I114">
        <v>62.094999999999999</v>
      </c>
      <c r="J114">
        <v>3.3830589296646201E-4</v>
      </c>
      <c r="K114" t="s">
        <v>1151</v>
      </c>
      <c r="L114" t="s">
        <v>1039</v>
      </c>
    </row>
    <row r="115" spans="1:12" x14ac:dyDescent="0.35">
      <c r="A115">
        <v>75.072000000000003</v>
      </c>
      <c r="C115">
        <v>74.938999999999993</v>
      </c>
      <c r="D115">
        <v>1.80471632533008E-3</v>
      </c>
      <c r="E115">
        <v>68.680000000000007</v>
      </c>
      <c r="F115">
        <v>6.4330827508389801E-3</v>
      </c>
      <c r="G115">
        <v>59.927</v>
      </c>
      <c r="H115">
        <v>5.3178996812615099E-3</v>
      </c>
      <c r="I115">
        <v>62.134</v>
      </c>
      <c r="J115">
        <v>6.2806989290598004E-4</v>
      </c>
      <c r="K115" t="s">
        <v>1152</v>
      </c>
      <c r="L115" t="s">
        <v>1039</v>
      </c>
    </row>
    <row r="116" spans="1:12" x14ac:dyDescent="0.35">
      <c r="A116">
        <v>75.363</v>
      </c>
      <c r="C116">
        <v>75.17</v>
      </c>
      <c r="D116">
        <v>3.0825071057794E-3</v>
      </c>
      <c r="E116">
        <v>69.129000000000005</v>
      </c>
      <c r="F116">
        <v>6.5375655212580597E-3</v>
      </c>
      <c r="G116">
        <v>60.395000000000003</v>
      </c>
      <c r="H116">
        <v>7.8095015602317498E-3</v>
      </c>
      <c r="I116">
        <v>62.517000000000003</v>
      </c>
      <c r="J116">
        <v>6.1640969517495802E-3</v>
      </c>
      <c r="K116" t="s">
        <v>1153</v>
      </c>
      <c r="L116" t="s">
        <v>1039</v>
      </c>
    </row>
    <row r="117" spans="1:12" x14ac:dyDescent="0.35">
      <c r="A117">
        <v>75.564999999999998</v>
      </c>
      <c r="C117">
        <v>75.369</v>
      </c>
      <c r="D117">
        <v>2.6473327125182702E-3</v>
      </c>
      <c r="E117">
        <v>69.350999999999999</v>
      </c>
      <c r="F117">
        <v>3.2113874061536801E-3</v>
      </c>
      <c r="G117">
        <v>60.939</v>
      </c>
      <c r="H117">
        <v>9.0073681596158899E-3</v>
      </c>
      <c r="I117">
        <v>62.87</v>
      </c>
      <c r="J117">
        <v>5.6464641617479704E-3</v>
      </c>
      <c r="K117" t="s">
        <v>1154</v>
      </c>
      <c r="L117" t="s">
        <v>1039</v>
      </c>
    </row>
    <row r="118" spans="1:12" x14ac:dyDescent="0.35">
      <c r="A118">
        <v>75.769000000000005</v>
      </c>
      <c r="C118">
        <v>75.516999999999996</v>
      </c>
      <c r="D118">
        <v>1.9636720667648398E-3</v>
      </c>
      <c r="E118">
        <v>69.557000000000002</v>
      </c>
      <c r="F118">
        <v>2.9703969661576402E-3</v>
      </c>
      <c r="G118">
        <v>61.46</v>
      </c>
      <c r="H118">
        <v>8.5495331396971998E-3</v>
      </c>
      <c r="I118">
        <v>63.122</v>
      </c>
      <c r="J118">
        <v>4.0082710354700799E-3</v>
      </c>
      <c r="K118" t="s">
        <v>1155</v>
      </c>
      <c r="L118" t="s">
        <v>1039</v>
      </c>
    </row>
    <row r="119" spans="1:12" x14ac:dyDescent="0.3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1156</v>
      </c>
      <c r="L119" t="s">
        <v>1039</v>
      </c>
    </row>
    <row r="120" spans="1:12" x14ac:dyDescent="0.3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1157</v>
      </c>
      <c r="L120" t="s">
        <v>1039</v>
      </c>
    </row>
    <row r="121" spans="1:12" x14ac:dyDescent="0.3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1158</v>
      </c>
      <c r="L121" t="s">
        <v>1039</v>
      </c>
    </row>
    <row r="122" spans="1:12" x14ac:dyDescent="0.3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1159</v>
      </c>
      <c r="L122" t="s">
        <v>1039</v>
      </c>
    </row>
    <row r="123" spans="1:12" x14ac:dyDescent="0.35">
      <c r="A123">
        <v>77.783000000000001</v>
      </c>
      <c r="C123">
        <v>77.820999999999998</v>
      </c>
      <c r="D123">
        <v>4.7642410783452797E-3</v>
      </c>
      <c r="E123">
        <v>72.625</v>
      </c>
      <c r="F123">
        <v>3.84259195267256E-3</v>
      </c>
      <c r="G123">
        <v>65.59</v>
      </c>
      <c r="H123">
        <v>1.0444910032043399E-2</v>
      </c>
      <c r="I123">
        <v>65.650999999999996</v>
      </c>
      <c r="J123">
        <v>1.13846438254868E-2</v>
      </c>
      <c r="K123" t="s">
        <v>1160</v>
      </c>
      <c r="L123" t="s">
        <v>1039</v>
      </c>
    </row>
    <row r="124" spans="1:12" x14ac:dyDescent="0.35">
      <c r="A124">
        <v>78.27</v>
      </c>
      <c r="C124">
        <v>78.322999999999993</v>
      </c>
      <c r="D124">
        <v>6.4507009676051403E-3</v>
      </c>
      <c r="E124">
        <v>73.144999999999996</v>
      </c>
      <c r="F124">
        <v>7.16006884681586E-3</v>
      </c>
      <c r="G124">
        <v>66.358999999999995</v>
      </c>
      <c r="H124">
        <v>1.1724348223814501E-2</v>
      </c>
      <c r="I124">
        <v>66.081000000000003</v>
      </c>
      <c r="J124">
        <v>6.5497859895509202E-3</v>
      </c>
      <c r="K124" t="s">
        <v>1161</v>
      </c>
      <c r="L124" t="s">
        <v>1039</v>
      </c>
    </row>
    <row r="125" spans="1:12" x14ac:dyDescent="0.3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1162</v>
      </c>
      <c r="L125" t="s">
        <v>1039</v>
      </c>
    </row>
    <row r="126" spans="1:12" x14ac:dyDescent="0.35">
      <c r="A126">
        <v>79.233000000000004</v>
      </c>
      <c r="C126">
        <v>79.349000000000004</v>
      </c>
      <c r="D126">
        <v>7.4016707716526601E-3</v>
      </c>
      <c r="E126">
        <v>73.600999999999999</v>
      </c>
      <c r="F126">
        <v>1.7012357776688999E-3</v>
      </c>
      <c r="G126">
        <v>68.191000000000003</v>
      </c>
      <c r="H126">
        <v>1.33446272272004E-2</v>
      </c>
      <c r="I126">
        <v>66.88</v>
      </c>
      <c r="J126">
        <v>6.16819617872721E-3</v>
      </c>
      <c r="K126" t="s">
        <v>1163</v>
      </c>
      <c r="L126" t="s">
        <v>1039</v>
      </c>
    </row>
    <row r="127" spans="1:12" x14ac:dyDescent="0.35">
      <c r="A127">
        <v>79.760999999999996</v>
      </c>
      <c r="C127">
        <v>79.721000000000004</v>
      </c>
      <c r="D127">
        <v>4.6881498191533302E-3</v>
      </c>
      <c r="E127">
        <v>73.988</v>
      </c>
      <c r="F127">
        <v>5.2580807325988098E-3</v>
      </c>
      <c r="G127">
        <v>68.48</v>
      </c>
      <c r="H127">
        <v>4.2380959364138899E-3</v>
      </c>
      <c r="I127">
        <v>67.052000000000007</v>
      </c>
      <c r="J127">
        <v>2.5717703349283898E-3</v>
      </c>
      <c r="K127" t="s">
        <v>1164</v>
      </c>
      <c r="L127" t="s">
        <v>1039</v>
      </c>
    </row>
    <row r="128" spans="1:12" x14ac:dyDescent="0.35">
      <c r="A128">
        <v>80.003</v>
      </c>
      <c r="C128">
        <v>79.760999999999996</v>
      </c>
      <c r="D128">
        <v>5.0174985261097803E-4</v>
      </c>
      <c r="E128">
        <v>74.462000000000003</v>
      </c>
      <c r="F128">
        <v>6.4064442882629802E-3</v>
      </c>
      <c r="G128">
        <v>68.652000000000001</v>
      </c>
      <c r="H128">
        <v>2.5116822429906999E-3</v>
      </c>
      <c r="I128">
        <v>67.262</v>
      </c>
      <c r="J128">
        <v>3.1318976316887502E-3</v>
      </c>
      <c r="K128" t="s">
        <v>1165</v>
      </c>
      <c r="L128" t="s">
        <v>1039</v>
      </c>
    </row>
    <row r="129" spans="1:12" x14ac:dyDescent="0.3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1166</v>
      </c>
      <c r="L129" t="s">
        <v>1039</v>
      </c>
    </row>
    <row r="130" spans="1:12" x14ac:dyDescent="0.3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1167</v>
      </c>
      <c r="L130" t="s">
        <v>1039</v>
      </c>
    </row>
    <row r="131" spans="1:12" x14ac:dyDescent="0.3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1168</v>
      </c>
      <c r="L131" t="s">
        <v>1039</v>
      </c>
    </row>
    <row r="132" spans="1:12" x14ac:dyDescent="0.35">
      <c r="A132">
        <v>81.155000000000001</v>
      </c>
      <c r="C132">
        <v>80.963999999999999</v>
      </c>
      <c r="D132">
        <v>5.1771015680286397E-3</v>
      </c>
      <c r="E132">
        <v>76.796999999999997</v>
      </c>
      <c r="F132">
        <v>8.5891020842361297E-3</v>
      </c>
      <c r="G132">
        <v>70.427999999999997</v>
      </c>
      <c r="H132">
        <v>8.1882730187814393E-3</v>
      </c>
      <c r="I132">
        <v>68.5</v>
      </c>
      <c r="J132">
        <v>3.07512080831729E-3</v>
      </c>
      <c r="K132" t="s">
        <v>1169</v>
      </c>
      <c r="L132" t="s">
        <v>1039</v>
      </c>
    </row>
    <row r="133" spans="1:12" x14ac:dyDescent="0.35">
      <c r="A133">
        <v>81.626999999999995</v>
      </c>
      <c r="C133">
        <v>81.341999999999999</v>
      </c>
      <c r="D133">
        <v>4.6687416629613799E-3</v>
      </c>
      <c r="E133">
        <v>78.22</v>
      </c>
      <c r="F133">
        <v>1.85293696368347E-2</v>
      </c>
      <c r="G133">
        <v>71.129000000000005</v>
      </c>
      <c r="H133">
        <v>9.9534276140171903E-3</v>
      </c>
      <c r="I133">
        <v>68.617999999999995</v>
      </c>
      <c r="J133">
        <v>1.7226277372262E-3</v>
      </c>
      <c r="K133" t="s">
        <v>1170</v>
      </c>
      <c r="L133" t="s">
        <v>1039</v>
      </c>
    </row>
    <row r="134" spans="1:12" x14ac:dyDescent="0.3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1171</v>
      </c>
      <c r="L134" t="s">
        <v>1039</v>
      </c>
    </row>
    <row r="135" spans="1:12" x14ac:dyDescent="0.3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1172</v>
      </c>
      <c r="L135" t="s">
        <v>1039</v>
      </c>
    </row>
    <row r="136" spans="1:12" x14ac:dyDescent="0.35">
      <c r="A136">
        <v>82.822000000000003</v>
      </c>
      <c r="C136">
        <v>82.587000000000003</v>
      </c>
      <c r="D136">
        <v>6.5938619798648901E-3</v>
      </c>
      <c r="E136">
        <v>80.375</v>
      </c>
      <c r="F136">
        <v>9.0516483792402198E-3</v>
      </c>
      <c r="G136">
        <v>72.872</v>
      </c>
      <c r="H136">
        <v>8.0369617241426994E-3</v>
      </c>
      <c r="I136">
        <v>69.346999999999994</v>
      </c>
      <c r="J136">
        <v>1.2705929915244299E-3</v>
      </c>
      <c r="K136" t="s">
        <v>1173</v>
      </c>
      <c r="L136" t="s">
        <v>1039</v>
      </c>
    </row>
    <row r="137" spans="1:12" x14ac:dyDescent="0.3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1174</v>
      </c>
      <c r="L137" t="s">
        <v>1039</v>
      </c>
    </row>
    <row r="138" spans="1:12" x14ac:dyDescent="0.3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1175</v>
      </c>
      <c r="L138" t="s">
        <v>1039</v>
      </c>
    </row>
    <row r="139" spans="1:12" x14ac:dyDescent="0.35">
      <c r="A139">
        <v>84.58</v>
      </c>
      <c r="C139">
        <v>84.195999999999998</v>
      </c>
      <c r="D139">
        <v>6.7317924742624803E-3</v>
      </c>
      <c r="E139">
        <v>82.375</v>
      </c>
      <c r="F139">
        <v>8.6817035241104606E-3</v>
      </c>
      <c r="G139">
        <v>75.561000000000007</v>
      </c>
      <c r="H139">
        <v>1.3289526619284101E-2</v>
      </c>
      <c r="I139">
        <v>71.278000000000006</v>
      </c>
      <c r="J139">
        <v>1.8373528403245999E-2</v>
      </c>
      <c r="K139" t="s">
        <v>1176</v>
      </c>
      <c r="L139" t="s">
        <v>1039</v>
      </c>
    </row>
    <row r="140" spans="1:12" x14ac:dyDescent="0.35">
      <c r="A140">
        <v>85.116</v>
      </c>
      <c r="C140">
        <v>84.61</v>
      </c>
      <c r="D140">
        <v>4.9170981994395299E-3</v>
      </c>
      <c r="E140">
        <v>83.129000000000005</v>
      </c>
      <c r="F140">
        <v>9.1532625189680895E-3</v>
      </c>
      <c r="G140">
        <v>76.591999999999999</v>
      </c>
      <c r="H140">
        <v>1.3644605021108799E-2</v>
      </c>
      <c r="I140">
        <v>73.197000000000003</v>
      </c>
      <c r="J140">
        <v>2.6922753163668899E-2</v>
      </c>
      <c r="K140" t="s">
        <v>1177</v>
      </c>
      <c r="L140" t="s">
        <v>1039</v>
      </c>
    </row>
    <row r="141" spans="1:12" x14ac:dyDescent="0.3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1178</v>
      </c>
      <c r="L141" t="s">
        <v>1039</v>
      </c>
    </row>
    <row r="142" spans="1:12" x14ac:dyDescent="0.3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1179</v>
      </c>
      <c r="L142" t="s">
        <v>1039</v>
      </c>
    </row>
    <row r="143" spans="1:12" x14ac:dyDescent="0.35">
      <c r="A143">
        <v>87.061999999999998</v>
      </c>
      <c r="C143">
        <v>86.370999999999995</v>
      </c>
      <c r="D143">
        <v>6.3148819163685302E-3</v>
      </c>
      <c r="E143">
        <v>85.81</v>
      </c>
      <c r="F143">
        <v>9.0189668755804604E-3</v>
      </c>
      <c r="G143">
        <v>79.393000000000001</v>
      </c>
      <c r="H143">
        <v>1.14015643710668E-2</v>
      </c>
      <c r="I143">
        <v>77.010000000000005</v>
      </c>
      <c r="J143">
        <v>1.8812509922210102E-2</v>
      </c>
      <c r="K143" t="s">
        <v>1180</v>
      </c>
      <c r="L143" t="s">
        <v>1039</v>
      </c>
    </row>
    <row r="144" spans="1:12" x14ac:dyDescent="0.35">
      <c r="A144">
        <v>87.884</v>
      </c>
      <c r="C144">
        <v>87.304000000000002</v>
      </c>
      <c r="D144">
        <v>1.08022368619098E-2</v>
      </c>
      <c r="E144">
        <v>86.706000000000003</v>
      </c>
      <c r="F144">
        <v>1.0441673464631099E-2</v>
      </c>
      <c r="G144">
        <v>80.545000000000002</v>
      </c>
      <c r="H144">
        <v>1.45100953484565E-2</v>
      </c>
      <c r="I144">
        <v>78.724999999999994</v>
      </c>
      <c r="J144">
        <v>2.2269835086352399E-2</v>
      </c>
      <c r="K144" t="s">
        <v>1181</v>
      </c>
      <c r="L144" t="s">
        <v>1039</v>
      </c>
    </row>
    <row r="145" spans="1:12" x14ac:dyDescent="0.3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1182</v>
      </c>
      <c r="L145" t="s">
        <v>1039</v>
      </c>
    </row>
    <row r="146" spans="1:12" x14ac:dyDescent="0.3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1183</v>
      </c>
      <c r="L146" t="s">
        <v>1039</v>
      </c>
    </row>
    <row r="147" spans="1:12" x14ac:dyDescent="0.3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1184</v>
      </c>
      <c r="L147" t="s">
        <v>1039</v>
      </c>
    </row>
    <row r="148" spans="1:12" x14ac:dyDescent="0.3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1185</v>
      </c>
      <c r="L148" t="s">
        <v>1039</v>
      </c>
    </row>
    <row r="149" spans="1:12" x14ac:dyDescent="0.3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1186</v>
      </c>
      <c r="L149" t="s">
        <v>1039</v>
      </c>
    </row>
    <row r="150" spans="1:12" x14ac:dyDescent="0.3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1187</v>
      </c>
      <c r="L150" t="s">
        <v>1039</v>
      </c>
    </row>
    <row r="151" spans="1:12" x14ac:dyDescent="0.35">
      <c r="A151">
        <v>92.491</v>
      </c>
      <c r="C151">
        <v>91.314999999999998</v>
      </c>
      <c r="D151">
        <v>8.4929207253770008E-3</v>
      </c>
      <c r="E151">
        <v>91.290999999999997</v>
      </c>
      <c r="F151">
        <v>7.9940817295483003E-3</v>
      </c>
      <c r="G151">
        <v>87.468999999999994</v>
      </c>
      <c r="H151">
        <v>1.0828364073406401E-2</v>
      </c>
      <c r="I151">
        <v>88.247</v>
      </c>
      <c r="J151">
        <v>1.0454118670849799E-2</v>
      </c>
      <c r="K151" t="s">
        <v>1188</v>
      </c>
      <c r="L151" t="s">
        <v>1039</v>
      </c>
    </row>
    <row r="152" spans="1:12" x14ac:dyDescent="0.35">
      <c r="A152">
        <v>92.882000000000005</v>
      </c>
      <c r="C152">
        <v>91.831000000000003</v>
      </c>
      <c r="D152">
        <v>5.6507693150085201E-3</v>
      </c>
      <c r="E152">
        <v>91.92</v>
      </c>
      <c r="F152">
        <v>6.8900548794514904E-3</v>
      </c>
      <c r="G152">
        <v>88.447000000000003</v>
      </c>
      <c r="H152">
        <v>1.11811041626177E-2</v>
      </c>
      <c r="I152">
        <v>89.096999999999994</v>
      </c>
      <c r="J152">
        <v>9.6320554806394992E-3</v>
      </c>
      <c r="K152" t="s">
        <v>1189</v>
      </c>
      <c r="L152" t="s">
        <v>1039</v>
      </c>
    </row>
    <row r="153" spans="1:12" x14ac:dyDescent="0.3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1190</v>
      </c>
      <c r="L153" t="s">
        <v>1039</v>
      </c>
    </row>
    <row r="154" spans="1:12" x14ac:dyDescent="0.35">
      <c r="A154">
        <v>93.734999999999999</v>
      </c>
      <c r="C154">
        <v>93.52</v>
      </c>
      <c r="D154">
        <v>8.1388454697353101E-3</v>
      </c>
      <c r="E154">
        <v>93.438000000000002</v>
      </c>
      <c r="F154">
        <v>8.4289368315399998E-3</v>
      </c>
      <c r="G154">
        <v>91.369</v>
      </c>
      <c r="H154">
        <v>1.7608143627210901E-2</v>
      </c>
      <c r="I154">
        <v>90.998999999999995</v>
      </c>
      <c r="J154">
        <v>9.4736258250596207E-3</v>
      </c>
      <c r="K154" t="s">
        <v>1191</v>
      </c>
      <c r="L154" t="s">
        <v>1039</v>
      </c>
    </row>
    <row r="155" spans="1:12" x14ac:dyDescent="0.3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1192</v>
      </c>
      <c r="L155" t="s">
        <v>1039</v>
      </c>
    </row>
    <row r="156" spans="1:12" x14ac:dyDescent="0.35">
      <c r="A156">
        <v>94.804000000000002</v>
      </c>
      <c r="C156">
        <v>95.438000000000002</v>
      </c>
      <c r="D156">
        <v>1.06745737583394E-2</v>
      </c>
      <c r="E156">
        <v>95.102999999999994</v>
      </c>
      <c r="F156">
        <v>7.5003972668044004E-3</v>
      </c>
      <c r="G156">
        <v>94.036000000000001</v>
      </c>
      <c r="H156">
        <v>1.35264763259719E-2</v>
      </c>
      <c r="I156">
        <v>92.884</v>
      </c>
      <c r="J156">
        <v>1.29227145334192E-2</v>
      </c>
      <c r="K156" t="s">
        <v>1193</v>
      </c>
      <c r="L156" t="s">
        <v>1039</v>
      </c>
    </row>
    <row r="157" spans="1:12" x14ac:dyDescent="0.3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1194</v>
      </c>
      <c r="L157" t="s">
        <v>1039</v>
      </c>
    </row>
    <row r="158" spans="1:12" x14ac:dyDescent="0.3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1195</v>
      </c>
      <c r="L158" t="s">
        <v>1039</v>
      </c>
    </row>
    <row r="159" spans="1:12" x14ac:dyDescent="0.35">
      <c r="A159">
        <v>94.87</v>
      </c>
      <c r="C159">
        <v>93.650999999999996</v>
      </c>
      <c r="D159">
        <v>3.9772727272726601E-3</v>
      </c>
      <c r="E159">
        <v>93.873000000000005</v>
      </c>
      <c r="F159">
        <v>1.81128537333874E-4</v>
      </c>
      <c r="G159">
        <v>91.066999999999993</v>
      </c>
      <c r="H159">
        <v>4.9215965394333603E-3</v>
      </c>
      <c r="I159">
        <v>94.34</v>
      </c>
      <c r="J159">
        <v>-8.7837269899974108E-3</v>
      </c>
      <c r="K159" t="s">
        <v>1196</v>
      </c>
      <c r="L159" t="s">
        <v>1039</v>
      </c>
    </row>
    <row r="160" spans="1:12" x14ac:dyDescent="0.35">
      <c r="A160">
        <v>94.927999999999997</v>
      </c>
      <c r="C160">
        <v>94.296000000000006</v>
      </c>
      <c r="D160">
        <v>6.88727296024605E-3</v>
      </c>
      <c r="E160">
        <v>94.16</v>
      </c>
      <c r="F160">
        <v>3.0573221267029501E-3</v>
      </c>
      <c r="G160">
        <v>91.849000000000004</v>
      </c>
      <c r="H160">
        <v>8.5870842346844594E-3</v>
      </c>
      <c r="I160">
        <v>93.49</v>
      </c>
      <c r="J160">
        <v>-9.0099639601441996E-3</v>
      </c>
      <c r="K160" t="s">
        <v>1197</v>
      </c>
      <c r="L160" t="s">
        <v>1039</v>
      </c>
    </row>
    <row r="161" spans="1:12" x14ac:dyDescent="0.3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1198</v>
      </c>
      <c r="L161" t="s">
        <v>1039</v>
      </c>
    </row>
    <row r="162" spans="1:12" x14ac:dyDescent="0.3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1199</v>
      </c>
      <c r="L162" t="s">
        <v>1039</v>
      </c>
    </row>
    <row r="163" spans="1:12" x14ac:dyDescent="0.35">
      <c r="A163">
        <v>95.962999999999994</v>
      </c>
      <c r="C163">
        <v>95.539000000000001</v>
      </c>
      <c r="D163">
        <v>1.5515090522166799E-3</v>
      </c>
      <c r="E163">
        <v>96.22</v>
      </c>
      <c r="F163">
        <v>7.6658847184987201E-3</v>
      </c>
      <c r="G163">
        <v>94.444999999999993</v>
      </c>
      <c r="H163">
        <v>7.18772328331774E-3</v>
      </c>
      <c r="I163">
        <v>94.09</v>
      </c>
      <c r="J163">
        <v>4.3444381584705196E-3</v>
      </c>
      <c r="K163" t="s">
        <v>1200</v>
      </c>
      <c r="L163" t="s">
        <v>1039</v>
      </c>
    </row>
    <row r="164" spans="1:12" x14ac:dyDescent="0.3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1201</v>
      </c>
      <c r="L164" t="s">
        <v>1039</v>
      </c>
    </row>
    <row r="165" spans="1:12" x14ac:dyDescent="0.35">
      <c r="A165">
        <v>96.864000000000004</v>
      </c>
      <c r="C165">
        <v>96.335999999999999</v>
      </c>
      <c r="D165">
        <v>6.4038945707927102E-3</v>
      </c>
      <c r="E165">
        <v>97.388000000000005</v>
      </c>
      <c r="F165">
        <v>8.1364775056416098E-3</v>
      </c>
      <c r="G165">
        <v>95.872</v>
      </c>
      <c r="H165">
        <v>9.3383165763014607E-3</v>
      </c>
      <c r="I165">
        <v>94.81</v>
      </c>
      <c r="J165">
        <v>4.4921916385904899E-3</v>
      </c>
      <c r="K165" t="s">
        <v>1202</v>
      </c>
      <c r="L165" t="s">
        <v>1039</v>
      </c>
    </row>
    <row r="166" spans="1:12" x14ac:dyDescent="0.3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1203</v>
      </c>
      <c r="L166" t="s">
        <v>1039</v>
      </c>
    </row>
    <row r="167" spans="1:12" x14ac:dyDescent="0.35">
      <c r="A167">
        <v>98.042000000000002</v>
      </c>
      <c r="C167">
        <v>98.1</v>
      </c>
      <c r="D167">
        <v>9.8306655000257592E-3</v>
      </c>
      <c r="E167">
        <v>99.152000000000001</v>
      </c>
      <c r="F167">
        <v>9.0471489777432801E-3</v>
      </c>
      <c r="G167">
        <v>98.144999999999996</v>
      </c>
      <c r="H167">
        <v>1.24721465709332E-2</v>
      </c>
      <c r="I167">
        <v>96.346999999999994</v>
      </c>
      <c r="J167">
        <v>1.01066227734501E-2</v>
      </c>
      <c r="K167" t="s">
        <v>1204</v>
      </c>
      <c r="L167" t="s">
        <v>1039</v>
      </c>
    </row>
    <row r="168" spans="1:12" x14ac:dyDescent="0.3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1205</v>
      </c>
      <c r="L168" t="s">
        <v>1039</v>
      </c>
    </row>
    <row r="169" spans="1:12" x14ac:dyDescent="0.3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1206</v>
      </c>
      <c r="L169" t="s">
        <v>1039</v>
      </c>
    </row>
    <row r="170" spans="1:12" x14ac:dyDescent="0.35">
      <c r="A170">
        <v>99.277000000000001</v>
      </c>
      <c r="C170">
        <v>99.534000000000006</v>
      </c>
      <c r="D170">
        <v>6.6242579314110799E-3</v>
      </c>
      <c r="E170">
        <v>99.707999999999998</v>
      </c>
      <c r="F170">
        <v>3.4620184372609101E-3</v>
      </c>
      <c r="G170">
        <v>99.47</v>
      </c>
      <c r="H170">
        <v>1.32629777524242E-2</v>
      </c>
      <c r="I170">
        <v>99.088999999999999</v>
      </c>
      <c r="J170">
        <v>7.4934927606962196E-3</v>
      </c>
      <c r="K170" t="s">
        <v>1207</v>
      </c>
      <c r="L170" t="s">
        <v>1039</v>
      </c>
    </row>
    <row r="171" spans="1:12" x14ac:dyDescent="0.35">
      <c r="A171">
        <v>99.69</v>
      </c>
      <c r="C171">
        <v>99.775000000000006</v>
      </c>
      <c r="D171">
        <v>2.4212831796171E-3</v>
      </c>
      <c r="E171">
        <v>99.927999999999997</v>
      </c>
      <c r="F171">
        <v>2.2064428130139598E-3</v>
      </c>
      <c r="G171">
        <v>99.296000000000006</v>
      </c>
      <c r="H171">
        <v>-1.7492711370261599E-3</v>
      </c>
      <c r="I171">
        <v>99.879000000000005</v>
      </c>
      <c r="J171">
        <v>7.9726306653615797E-3</v>
      </c>
      <c r="K171" t="s">
        <v>1208</v>
      </c>
      <c r="L171" t="s">
        <v>1039</v>
      </c>
    </row>
    <row r="172" spans="1:12" x14ac:dyDescent="0.35">
      <c r="A172">
        <v>100.304</v>
      </c>
      <c r="C172">
        <v>100.065</v>
      </c>
      <c r="D172">
        <v>2.90653971435728E-3</v>
      </c>
      <c r="E172">
        <v>100.12</v>
      </c>
      <c r="F172">
        <v>1.9213833960451999E-3</v>
      </c>
      <c r="G172">
        <v>99.897000000000006</v>
      </c>
      <c r="H172">
        <v>6.0526103770543998E-3</v>
      </c>
      <c r="I172">
        <v>100.417</v>
      </c>
      <c r="J172">
        <v>5.3865176864005297E-3</v>
      </c>
      <c r="K172" t="s">
        <v>1209</v>
      </c>
      <c r="L172" t="s">
        <v>1039</v>
      </c>
    </row>
    <row r="173" spans="1:12" x14ac:dyDescent="0.35">
      <c r="A173">
        <v>100.73</v>
      </c>
      <c r="C173">
        <v>100.626</v>
      </c>
      <c r="D173">
        <v>5.6063558686854104E-3</v>
      </c>
      <c r="E173">
        <v>100.244</v>
      </c>
      <c r="F173">
        <v>1.2385137834598501E-3</v>
      </c>
      <c r="G173">
        <v>101.337</v>
      </c>
      <c r="H173">
        <v>1.4414847292711501E-2</v>
      </c>
      <c r="I173">
        <v>100.61499999999999</v>
      </c>
      <c r="J173">
        <v>1.9717776870449301E-3</v>
      </c>
      <c r="K173" t="s">
        <v>1210</v>
      </c>
      <c r="L173" t="s">
        <v>1039</v>
      </c>
    </row>
    <row r="174" spans="1:12" x14ac:dyDescent="0.35">
      <c r="A174">
        <v>101.124</v>
      </c>
      <c r="C174">
        <v>100.989</v>
      </c>
      <c r="D174">
        <v>3.60741756603655E-3</v>
      </c>
      <c r="E174">
        <v>100.239</v>
      </c>
      <c r="F174">
        <v>-4.9878296955352397E-5</v>
      </c>
      <c r="G174">
        <v>102.663</v>
      </c>
      <c r="H174">
        <v>1.3085052843482501E-2</v>
      </c>
      <c r="I174">
        <v>101.023</v>
      </c>
      <c r="J174">
        <v>4.05506137255873E-3</v>
      </c>
      <c r="K174" t="s">
        <v>1211</v>
      </c>
      <c r="L174" t="s">
        <v>1039</v>
      </c>
    </row>
    <row r="175" spans="1:12" x14ac:dyDescent="0.35">
      <c r="A175">
        <v>101.428</v>
      </c>
      <c r="C175">
        <v>101.06100000000001</v>
      </c>
      <c r="D175">
        <v>7.1294893503259804E-4</v>
      </c>
      <c r="E175">
        <v>100.437</v>
      </c>
      <c r="F175">
        <v>1.9752790829916699E-3</v>
      </c>
      <c r="G175">
        <v>103.21</v>
      </c>
      <c r="H175">
        <v>5.3281123676494103E-3</v>
      </c>
      <c r="I175">
        <v>101.538</v>
      </c>
      <c r="J175">
        <v>5.0978490046820202E-3</v>
      </c>
      <c r="K175" t="s">
        <v>1212</v>
      </c>
      <c r="L175" t="s">
        <v>1039</v>
      </c>
    </row>
    <row r="176" spans="1:12" x14ac:dyDescent="0.35">
      <c r="A176">
        <v>101.973</v>
      </c>
      <c r="C176">
        <v>101.471</v>
      </c>
      <c r="D176">
        <v>4.0569557000227404E-3</v>
      </c>
      <c r="E176">
        <v>100.762</v>
      </c>
      <c r="F176">
        <v>3.23585929488135E-3</v>
      </c>
      <c r="G176">
        <v>104.08199999999999</v>
      </c>
      <c r="H176">
        <v>8.4487937215385108E-3</v>
      </c>
      <c r="I176">
        <v>102.08499999999999</v>
      </c>
      <c r="J176">
        <v>5.3871456991470001E-3</v>
      </c>
      <c r="K176" t="s">
        <v>1213</v>
      </c>
      <c r="L176" t="s">
        <v>1039</v>
      </c>
    </row>
    <row r="177" spans="1:12" x14ac:dyDescent="0.35">
      <c r="A177">
        <v>102.55</v>
      </c>
      <c r="C177">
        <v>101.896</v>
      </c>
      <c r="D177">
        <v>4.1883888007410199E-3</v>
      </c>
      <c r="E177">
        <v>102.295</v>
      </c>
      <c r="F177">
        <v>1.5214068795776199E-2</v>
      </c>
      <c r="G177">
        <v>104.636</v>
      </c>
      <c r="H177">
        <v>5.3227263119464104E-3</v>
      </c>
      <c r="I177">
        <v>102.85599999999999</v>
      </c>
      <c r="J177">
        <v>7.55252975461618E-3</v>
      </c>
      <c r="K177" t="s">
        <v>1214</v>
      </c>
      <c r="L177" t="s">
        <v>1039</v>
      </c>
    </row>
    <row r="178" spans="1:12" x14ac:dyDescent="0.35">
      <c r="A178">
        <v>102.965</v>
      </c>
      <c r="C178">
        <v>102.386</v>
      </c>
      <c r="D178">
        <v>4.8088246839914604E-3</v>
      </c>
      <c r="E178">
        <v>102.03100000000001</v>
      </c>
      <c r="F178">
        <v>-2.5807712986949398E-3</v>
      </c>
      <c r="G178">
        <v>105.515</v>
      </c>
      <c r="H178">
        <v>8.4005504797584098E-3</v>
      </c>
      <c r="I178">
        <v>103.435</v>
      </c>
      <c r="J178">
        <v>5.6292292136579398E-3</v>
      </c>
      <c r="K178" t="s">
        <v>1215</v>
      </c>
      <c r="L178" t="s">
        <v>1039</v>
      </c>
    </row>
    <row r="179" spans="1:12" x14ac:dyDescent="0.35">
      <c r="A179">
        <v>103.55200000000001</v>
      </c>
      <c r="C179">
        <v>102.899</v>
      </c>
      <c r="D179">
        <v>5.0104506475494599E-3</v>
      </c>
      <c r="E179">
        <v>102.482</v>
      </c>
      <c r="F179">
        <v>4.4202252256666501E-3</v>
      </c>
      <c r="G179">
        <v>105.848</v>
      </c>
      <c r="H179">
        <v>3.1559493910817702E-3</v>
      </c>
      <c r="I179">
        <v>103.907</v>
      </c>
      <c r="J179">
        <v>4.5632522840430801E-3</v>
      </c>
      <c r="K179" t="s">
        <v>1216</v>
      </c>
      <c r="L179" t="s">
        <v>1039</v>
      </c>
    </row>
    <row r="180" spans="1:12" x14ac:dyDescent="0.35">
      <c r="A180">
        <v>104.029</v>
      </c>
      <c r="C180">
        <v>103.19</v>
      </c>
      <c r="D180">
        <v>2.8280158213393998E-3</v>
      </c>
      <c r="E180">
        <v>102.961</v>
      </c>
      <c r="F180">
        <v>4.6739915302198599E-3</v>
      </c>
      <c r="G180">
        <v>106.45399999999999</v>
      </c>
      <c r="H180">
        <v>5.7251908396946903E-3</v>
      </c>
      <c r="I180">
        <v>104.40900000000001</v>
      </c>
      <c r="J180">
        <v>4.8312433233566E-3</v>
      </c>
      <c r="K180" t="s">
        <v>1217</v>
      </c>
      <c r="L180" t="s">
        <v>1039</v>
      </c>
    </row>
    <row r="181" spans="1:12" x14ac:dyDescent="0.35">
      <c r="A181">
        <v>104.104</v>
      </c>
      <c r="C181">
        <v>103.071</v>
      </c>
      <c r="D181">
        <v>-1.15321252059308E-3</v>
      </c>
      <c r="E181">
        <v>103.099</v>
      </c>
      <c r="F181">
        <v>1.3403133225202699E-3</v>
      </c>
      <c r="G181">
        <v>106.371</v>
      </c>
      <c r="H181">
        <v>-7.7967948597512703E-4</v>
      </c>
      <c r="I181">
        <v>104.593</v>
      </c>
      <c r="J181">
        <v>1.76230018484991E-3</v>
      </c>
      <c r="K181" t="s">
        <v>1218</v>
      </c>
      <c r="L181" t="s">
        <v>1039</v>
      </c>
    </row>
    <row r="182" spans="1:12" x14ac:dyDescent="0.35">
      <c r="A182">
        <v>104.092</v>
      </c>
      <c r="C182">
        <v>102.643</v>
      </c>
      <c r="D182">
        <v>-4.1524774184784601E-3</v>
      </c>
      <c r="E182">
        <v>102.93300000000001</v>
      </c>
      <c r="F182">
        <v>-1.6101029107944401E-3</v>
      </c>
      <c r="G182">
        <v>105.31</v>
      </c>
      <c r="H182">
        <v>-9.9745231313045392E-3</v>
      </c>
      <c r="I182">
        <v>104.562</v>
      </c>
      <c r="J182">
        <v>-2.9638694750133698E-4</v>
      </c>
      <c r="K182" t="s">
        <v>1219</v>
      </c>
      <c r="L182" t="s">
        <v>1039</v>
      </c>
    </row>
    <row r="183" spans="1:12" x14ac:dyDescent="0.35">
      <c r="A183">
        <v>104.68300000000001</v>
      </c>
      <c r="C183">
        <v>103.14100000000001</v>
      </c>
      <c r="D183">
        <v>4.8517677776371802E-3</v>
      </c>
      <c r="E183">
        <v>103.13500000000001</v>
      </c>
      <c r="F183">
        <v>1.9624415882175698E-3</v>
      </c>
      <c r="G183">
        <v>106.047</v>
      </c>
      <c r="H183">
        <v>6.9983857183553199E-3</v>
      </c>
      <c r="I183">
        <v>105.021</v>
      </c>
      <c r="J183">
        <v>4.3897400585299904E-3</v>
      </c>
      <c r="K183" t="s">
        <v>1220</v>
      </c>
      <c r="L183" t="s">
        <v>1039</v>
      </c>
    </row>
    <row r="184" spans="1:12" x14ac:dyDescent="0.35">
      <c r="A184">
        <v>104.93899999999999</v>
      </c>
      <c r="C184">
        <v>103.39</v>
      </c>
      <c r="D184">
        <v>2.4141708922735799E-3</v>
      </c>
      <c r="E184">
        <v>103.29300000000001</v>
      </c>
      <c r="F184">
        <v>1.53197265719696E-3</v>
      </c>
      <c r="G184">
        <v>106.111</v>
      </c>
      <c r="H184">
        <v>6.0350599262592997E-4</v>
      </c>
      <c r="I184">
        <v>105.319</v>
      </c>
      <c r="J184">
        <v>2.8375277325487498E-3</v>
      </c>
      <c r="K184" t="s">
        <v>1221</v>
      </c>
      <c r="L184" t="s">
        <v>1039</v>
      </c>
    </row>
    <row r="185" spans="1:12" x14ac:dyDescent="0.35">
      <c r="A185">
        <v>104.932</v>
      </c>
      <c r="C185">
        <v>103.288</v>
      </c>
      <c r="D185">
        <v>-9.8655575974471209E-4</v>
      </c>
      <c r="E185">
        <v>103.211</v>
      </c>
      <c r="F185">
        <v>-7.9385824789679504E-4</v>
      </c>
      <c r="G185">
        <v>105.693</v>
      </c>
      <c r="H185">
        <v>-3.9392711405981098E-3</v>
      </c>
      <c r="I185">
        <v>105.261</v>
      </c>
      <c r="J185">
        <v>-5.5070784948596497E-4</v>
      </c>
      <c r="K185" t="s">
        <v>1222</v>
      </c>
      <c r="L185" t="s">
        <v>1039</v>
      </c>
    </row>
    <row r="186" spans="1:12" x14ac:dyDescent="0.35">
      <c r="A186">
        <v>104.873</v>
      </c>
      <c r="C186">
        <v>103.343</v>
      </c>
      <c r="D186">
        <v>5.3249167376656604E-4</v>
      </c>
      <c r="E186">
        <v>102.953</v>
      </c>
      <c r="F186">
        <v>-2.4997335555317899E-3</v>
      </c>
      <c r="G186">
        <v>104.792</v>
      </c>
      <c r="H186">
        <v>-8.5246894307096106E-3</v>
      </c>
      <c r="I186">
        <v>105.006</v>
      </c>
      <c r="J186">
        <v>-2.4225496622680702E-3</v>
      </c>
      <c r="K186" t="s">
        <v>1223</v>
      </c>
      <c r="L186" t="s">
        <v>1039</v>
      </c>
    </row>
    <row r="187" spans="1:12" x14ac:dyDescent="0.35">
      <c r="A187">
        <v>105.57599999999999</v>
      </c>
      <c r="C187">
        <v>103.992</v>
      </c>
      <c r="D187">
        <v>6.2800576720243298E-3</v>
      </c>
      <c r="E187">
        <v>103.50700000000001</v>
      </c>
      <c r="F187">
        <v>5.3810962283760101E-3</v>
      </c>
      <c r="G187">
        <v>105.589</v>
      </c>
      <c r="H187">
        <v>7.6055424078174099E-3</v>
      </c>
      <c r="I187">
        <v>105.86199999999999</v>
      </c>
      <c r="J187">
        <v>8.1519151286593202E-3</v>
      </c>
      <c r="K187" t="s">
        <v>1224</v>
      </c>
      <c r="L187" t="s">
        <v>1039</v>
      </c>
    </row>
    <row r="188" spans="1:12" x14ac:dyDescent="0.3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1225</v>
      </c>
      <c r="L188" t="s">
        <v>1039</v>
      </c>
    </row>
    <row r="189" spans="1:12" x14ac:dyDescent="0.35">
      <c r="A189">
        <v>106.47</v>
      </c>
      <c r="C189">
        <v>104.876</v>
      </c>
      <c r="D189">
        <v>4.7326167346859504E-3</v>
      </c>
      <c r="E189">
        <v>104.41</v>
      </c>
      <c r="F189">
        <v>4.8215265280195903E-3</v>
      </c>
      <c r="G189">
        <v>106.51600000000001</v>
      </c>
      <c r="H189">
        <v>4.9153261946317502E-3</v>
      </c>
      <c r="I189">
        <v>106.45399999999999</v>
      </c>
      <c r="J189">
        <v>4.8328330595985803E-3</v>
      </c>
      <c r="K189" t="s">
        <v>1226</v>
      </c>
      <c r="L189" t="s">
        <v>1039</v>
      </c>
    </row>
    <row r="190" spans="1:12" x14ac:dyDescent="0.35">
      <c r="A190">
        <v>107.00700000000001</v>
      </c>
      <c r="C190">
        <v>105.453</v>
      </c>
      <c r="D190">
        <v>5.50173538273779E-3</v>
      </c>
      <c r="E190">
        <v>104.958</v>
      </c>
      <c r="F190">
        <v>5.2485394119337102E-3</v>
      </c>
      <c r="G190">
        <v>107.53400000000001</v>
      </c>
      <c r="H190">
        <v>9.5572496150813108E-3</v>
      </c>
      <c r="I190">
        <v>107.188</v>
      </c>
      <c r="J190">
        <v>6.8949969000695601E-3</v>
      </c>
      <c r="K190" t="s">
        <v>1227</v>
      </c>
      <c r="L190" t="s">
        <v>1039</v>
      </c>
    </row>
    <row r="191" spans="1:12" x14ac:dyDescent="0.3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1228</v>
      </c>
      <c r="L191" t="s">
        <v>1039</v>
      </c>
    </row>
    <row r="192" spans="1:12" x14ac:dyDescent="0.35">
      <c r="A192">
        <v>107.94199999999999</v>
      </c>
      <c r="B192">
        <v>1.2203137210253101E-2</v>
      </c>
      <c r="C192">
        <v>106.146</v>
      </c>
      <c r="D192">
        <v>3.7351892653496601E-3</v>
      </c>
      <c r="E192">
        <v>105.86</v>
      </c>
      <c r="F192">
        <v>4.7837807054178496E-3</v>
      </c>
      <c r="G192">
        <v>108.785</v>
      </c>
      <c r="H192">
        <v>9.1185692287711895E-3</v>
      </c>
      <c r="I192">
        <v>108.676</v>
      </c>
      <c r="J192">
        <v>8.94979203802726E-3</v>
      </c>
      <c r="K192" t="s">
        <v>1229</v>
      </c>
      <c r="L192" t="s">
        <v>1039</v>
      </c>
    </row>
    <row r="193" spans="1:12" x14ac:dyDescent="0.3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1230</v>
      </c>
      <c r="L193" t="s">
        <v>1039</v>
      </c>
    </row>
    <row r="194" spans="1:12" x14ac:dyDescent="0.35">
      <c r="A194">
        <v>109.312</v>
      </c>
      <c r="B194">
        <v>1.31117034652719E-2</v>
      </c>
      <c r="C194">
        <v>107.557</v>
      </c>
      <c r="D194">
        <v>6.56023059070154E-3</v>
      </c>
      <c r="E194">
        <v>107.655</v>
      </c>
      <c r="F194">
        <v>9.5842750368084796E-3</v>
      </c>
      <c r="G194">
        <v>111.627</v>
      </c>
      <c r="H194">
        <v>1.24714290897217E-2</v>
      </c>
      <c r="I194">
        <v>110.291</v>
      </c>
      <c r="J194">
        <v>9.2052889234570702E-3</v>
      </c>
      <c r="K194" t="s">
        <v>1231</v>
      </c>
      <c r="L194" t="s">
        <v>1039</v>
      </c>
    </row>
    <row r="195" spans="1:12" x14ac:dyDescent="0.3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1232</v>
      </c>
      <c r="L195" t="s">
        <v>1039</v>
      </c>
    </row>
    <row r="196" spans="1:12" x14ac:dyDescent="0.3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1233</v>
      </c>
      <c r="L196" t="s">
        <v>1039</v>
      </c>
    </row>
    <row r="197" spans="1:12" x14ac:dyDescent="0.3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1234</v>
      </c>
      <c r="L197" t="s">
        <v>1039</v>
      </c>
    </row>
    <row r="198" spans="1:12" x14ac:dyDescent="0.35">
      <c r="A198">
        <v>111.502</v>
      </c>
      <c r="B198">
        <v>9.0470996910629892E-3</v>
      </c>
      <c r="C198">
        <v>109.1</v>
      </c>
      <c r="D198">
        <v>1.0460059090158201E-3</v>
      </c>
      <c r="E198">
        <v>111.078</v>
      </c>
      <c r="F198">
        <v>1.0461392911724101E-2</v>
      </c>
      <c r="G198">
        <v>113.98</v>
      </c>
      <c r="H198">
        <v>-4.0108704200489996E-3</v>
      </c>
      <c r="I198">
        <v>114.175</v>
      </c>
      <c r="J198">
        <v>4.0452007211009304E-3</v>
      </c>
      <c r="K198" t="s">
        <v>1235</v>
      </c>
      <c r="L198" t="s">
        <v>1039</v>
      </c>
    </row>
    <row r="199" spans="1:12" x14ac:dyDescent="0.3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1236</v>
      </c>
      <c r="L199" t="s">
        <v>1039</v>
      </c>
    </row>
    <row r="200" spans="1:12" x14ac:dyDescent="0.35">
      <c r="A200">
        <v>112.524</v>
      </c>
      <c r="B200">
        <v>1.01318502722025E-2</v>
      </c>
      <c r="C200">
        <v>110.14100000000001</v>
      </c>
      <c r="D200">
        <v>2.78599717758476E-3</v>
      </c>
      <c r="E200">
        <v>110.673</v>
      </c>
      <c r="F200">
        <v>3.3543965259330601E-3</v>
      </c>
      <c r="G200">
        <v>114.919</v>
      </c>
      <c r="H200">
        <v>1.40295229962173E-3</v>
      </c>
      <c r="I200">
        <v>115.982</v>
      </c>
      <c r="J200">
        <v>4.8865861477411796E-3</v>
      </c>
      <c r="K200" t="s">
        <v>1237</v>
      </c>
      <c r="L200" t="s">
        <v>1039</v>
      </c>
    </row>
    <row r="201" spans="1:12" x14ac:dyDescent="0.3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1238</v>
      </c>
      <c r="L201" t="s">
        <v>1039</v>
      </c>
    </row>
    <row r="202" spans="1:12" x14ac:dyDescent="0.3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1239</v>
      </c>
      <c r="L202" t="s">
        <v>1039</v>
      </c>
    </row>
    <row r="203" spans="1:12" x14ac:dyDescent="0.3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1240</v>
      </c>
      <c r="L203" t="s">
        <v>1039</v>
      </c>
    </row>
    <row r="204" spans="1:12" x14ac:dyDescent="0.3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1241</v>
      </c>
      <c r="L204" t="s">
        <v>1039</v>
      </c>
    </row>
    <row r="205" spans="1:12" x14ac:dyDescent="0.35">
      <c r="A205">
        <v>114.611</v>
      </c>
      <c r="B205">
        <v>1.60370128579943E-2</v>
      </c>
      <c r="C205">
        <v>111.928</v>
      </c>
      <c r="D205">
        <v>3.7755477234613401E-3</v>
      </c>
      <c r="E205">
        <v>112.959</v>
      </c>
      <c r="F205">
        <v>6.1459530235417103E-3</v>
      </c>
      <c r="G205">
        <v>117.593</v>
      </c>
      <c r="H205">
        <v>9.2173808563409398E-3</v>
      </c>
      <c r="I205">
        <v>117.706</v>
      </c>
      <c r="J205">
        <v>3.5895468303705999E-3</v>
      </c>
      <c r="K205" t="s">
        <v>1242</v>
      </c>
      <c r="L205" t="s">
        <v>1039</v>
      </c>
    </row>
    <row r="206" spans="1:12" x14ac:dyDescent="0.3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1243</v>
      </c>
      <c r="L206" t="s">
        <v>1039</v>
      </c>
    </row>
    <row r="207" spans="1:12" x14ac:dyDescent="0.3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1244</v>
      </c>
      <c r="L207" t="s">
        <v>1039</v>
      </c>
    </row>
    <row r="208" spans="1:12" x14ac:dyDescent="0.35">
      <c r="A208">
        <v>119.259</v>
      </c>
      <c r="B208">
        <v>2.02849478914735E-2</v>
      </c>
      <c r="C208">
        <v>116.277</v>
      </c>
      <c r="D208">
        <v>1.3112954379116901E-2</v>
      </c>
      <c r="E208">
        <v>116.643</v>
      </c>
      <c r="F208">
        <v>1.2280001388551299E-2</v>
      </c>
      <c r="G208">
        <v>123.291</v>
      </c>
      <c r="H208">
        <v>1.53675108091413E-2</v>
      </c>
      <c r="I208">
        <v>124.71</v>
      </c>
      <c r="J208">
        <v>2.13675563672697E-2</v>
      </c>
      <c r="K208" t="s">
        <v>1245</v>
      </c>
      <c r="L208" t="s">
        <v>1039</v>
      </c>
    </row>
    <row r="209" spans="1:12" x14ac:dyDescent="0.35">
      <c r="A209">
        <v>121.331</v>
      </c>
      <c r="B209">
        <v>3.4746555298397201E-2</v>
      </c>
      <c r="C209">
        <v>118.081</v>
      </c>
      <c r="D209">
        <v>1.55146761612357E-2</v>
      </c>
      <c r="E209">
        <v>118.261</v>
      </c>
      <c r="F209">
        <v>1.38713853381685E-2</v>
      </c>
      <c r="G209">
        <v>125.712</v>
      </c>
      <c r="H209">
        <v>1.96364698153151E-2</v>
      </c>
      <c r="I209">
        <v>128.44900000000001</v>
      </c>
      <c r="J209">
        <v>2.9981557212733798E-2</v>
      </c>
      <c r="K209" t="s">
        <v>1246</v>
      </c>
      <c r="L209" t="s">
        <v>1039</v>
      </c>
    </row>
    <row r="210" spans="1:12" x14ac:dyDescent="0.3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1247</v>
      </c>
      <c r="L210" t="s">
        <v>1039</v>
      </c>
    </row>
    <row r="211" spans="1:12" x14ac:dyDescent="0.3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1248</v>
      </c>
      <c r="L211" t="s">
        <v>1039</v>
      </c>
    </row>
    <row r="212" spans="1:12" x14ac:dyDescent="0.35">
      <c r="A212">
        <v>125.25700000000001</v>
      </c>
      <c r="B212">
        <v>1.7285800720441901E-2</v>
      </c>
      <c r="C212">
        <v>1.2198714458453199</v>
      </c>
      <c r="D212">
        <v>7.5981647669616202E-3</v>
      </c>
      <c r="E212">
        <v>1.2131432020522099</v>
      </c>
      <c r="F212">
        <v>7.4714439061212001E-3</v>
      </c>
      <c r="H212">
        <v>1.10762503071244E-2</v>
      </c>
      <c r="J212">
        <v>1.10762503071244E-2</v>
      </c>
      <c r="K212" t="s">
        <v>1249</v>
      </c>
      <c r="L212" t="s">
        <v>1250</v>
      </c>
    </row>
    <row r="213" spans="1:12" x14ac:dyDescent="0.35">
      <c r="A213">
        <v>126.15</v>
      </c>
      <c r="B213">
        <v>1.5172343165946499E-2</v>
      </c>
      <c r="C213">
        <v>1.22815728301251</v>
      </c>
      <c r="D213">
        <v>6.7923855381670801E-3</v>
      </c>
      <c r="E213">
        <v>1.2201338245244699</v>
      </c>
      <c r="F213">
        <v>5.7624050156945801E-3</v>
      </c>
      <c r="H213">
        <v>9.4401732935755992E-3</v>
      </c>
      <c r="J213">
        <v>9.4401732935755992E-3</v>
      </c>
      <c r="K213" t="s">
        <v>1251</v>
      </c>
      <c r="L213" t="s">
        <v>1250</v>
      </c>
    </row>
    <row r="214" spans="1:12" x14ac:dyDescent="0.35">
      <c r="A214">
        <v>126.935</v>
      </c>
      <c r="B214">
        <v>1.24779327603934E-2</v>
      </c>
      <c r="C214">
        <v>1.23573743469393</v>
      </c>
      <c r="D214">
        <v>6.1719714455739103E-3</v>
      </c>
      <c r="E214">
        <v>1.2267045879799401</v>
      </c>
      <c r="F214">
        <v>5.3852809613164103E-3</v>
      </c>
      <c r="H214">
        <v>8.9018658885664497E-3</v>
      </c>
      <c r="J214">
        <v>8.9018658885664497E-3</v>
      </c>
      <c r="K214" t="s">
        <v>1252</v>
      </c>
      <c r="L214" t="s">
        <v>1250</v>
      </c>
    </row>
    <row r="215" spans="1:12" x14ac:dyDescent="0.35">
      <c r="A215">
        <v>127.651</v>
      </c>
      <c r="B215">
        <v>1.18259749914735E-2</v>
      </c>
      <c r="C215">
        <v>1.2428869130314</v>
      </c>
      <c r="D215">
        <v>5.7855966297839503E-3</v>
      </c>
      <c r="E215">
        <v>1.23324136902543</v>
      </c>
      <c r="F215">
        <v>5.3287328583728798E-3</v>
      </c>
      <c r="H215">
        <v>7.9070438771131606E-3</v>
      </c>
      <c r="J215">
        <v>7.9070438771131606E-3</v>
      </c>
      <c r="K215" t="s">
        <v>1253</v>
      </c>
      <c r="L215" t="s">
        <v>1250</v>
      </c>
    </row>
    <row r="216" spans="1:12" x14ac:dyDescent="0.35">
      <c r="A216">
        <v>128.34299999999999</v>
      </c>
      <c r="B216">
        <v>1.0703045406514899E-2</v>
      </c>
      <c r="C216">
        <v>1.2498738813448</v>
      </c>
      <c r="D216">
        <v>5.6215639895718103E-3</v>
      </c>
      <c r="E216">
        <v>1.23988697204045</v>
      </c>
      <c r="F216">
        <v>5.3887285830158697E-3</v>
      </c>
      <c r="H216">
        <v>7.3042210756391101E-3</v>
      </c>
      <c r="J216">
        <v>7.3042210756391101E-3</v>
      </c>
      <c r="K216" t="s">
        <v>1254</v>
      </c>
      <c r="L216" t="s">
        <v>1250</v>
      </c>
    </row>
    <row r="217" spans="1:12" x14ac:dyDescent="0.35">
      <c r="A217">
        <v>129.029</v>
      </c>
      <c r="B217">
        <v>9.1844879207683104E-3</v>
      </c>
      <c r="C217">
        <v>1.2567469954114201</v>
      </c>
      <c r="D217">
        <v>5.4990460791324303E-3</v>
      </c>
      <c r="E217">
        <v>1.2467339667458399</v>
      </c>
      <c r="F217">
        <v>5.5222732876392096E-3</v>
      </c>
      <c r="H217">
        <v>7.0530654325617901E-3</v>
      </c>
      <c r="J217">
        <v>7.0530654325617901E-3</v>
      </c>
      <c r="K217" t="s">
        <v>1255</v>
      </c>
      <c r="L217" t="s">
        <v>1250</v>
      </c>
    </row>
    <row r="218" spans="1:12" x14ac:dyDescent="0.35">
      <c r="A218">
        <v>129.727</v>
      </c>
      <c r="B218">
        <v>9.0043592238056008E-3</v>
      </c>
      <c r="C218">
        <v>1.2634278982479701</v>
      </c>
      <c r="D218">
        <v>5.3160284933546596E-3</v>
      </c>
      <c r="E218">
        <v>1.25364625749611</v>
      </c>
      <c r="F218">
        <v>5.5443189442509998E-3</v>
      </c>
      <c r="H218">
        <v>6.9971134735056202E-3</v>
      </c>
      <c r="J218">
        <v>6.9971134735056202E-3</v>
      </c>
      <c r="K218" t="s">
        <v>1256</v>
      </c>
      <c r="L218" t="s">
        <v>1250</v>
      </c>
    </row>
    <row r="219" spans="1:12" x14ac:dyDescent="0.35">
      <c r="A219">
        <v>130.39599999999999</v>
      </c>
      <c r="B219">
        <v>8.7289641899026497E-3</v>
      </c>
      <c r="C219">
        <v>1.2700115316643099</v>
      </c>
      <c r="D219">
        <v>5.21092927065592E-3</v>
      </c>
      <c r="E219">
        <v>1.2606382978723401</v>
      </c>
      <c r="F219">
        <v>5.5773630993742902E-3</v>
      </c>
      <c r="H219">
        <v>6.8431490448084302E-3</v>
      </c>
      <c r="J219">
        <v>6.8431490448084302E-3</v>
      </c>
      <c r="K219" t="s">
        <v>1257</v>
      </c>
      <c r="L219" t="s">
        <v>1250</v>
      </c>
    </row>
    <row r="220" spans="1:12" x14ac:dyDescent="0.35">
      <c r="A220">
        <v>131.059</v>
      </c>
      <c r="B220">
        <v>8.5914100492137102E-3</v>
      </c>
      <c r="C220">
        <v>1.2764995444594001</v>
      </c>
      <c r="D220">
        <v>5.1086251056220401E-3</v>
      </c>
      <c r="E220">
        <v>1.2676741614448901</v>
      </c>
      <c r="F220">
        <v>5.5811913571317496E-3</v>
      </c>
      <c r="H220">
        <v>6.8673504076357502E-3</v>
      </c>
      <c r="J220">
        <v>6.8673504076357502E-3</v>
      </c>
      <c r="K220" t="s">
        <v>1258</v>
      </c>
      <c r="L220" t="s">
        <v>1250</v>
      </c>
    </row>
    <row r="221" spans="1:12" x14ac:dyDescent="0.35">
      <c r="A221">
        <v>131.71700000000001</v>
      </c>
      <c r="B221">
        <v>8.9161054162174604E-3</v>
      </c>
      <c r="C221">
        <v>1.28294387302533</v>
      </c>
      <c r="D221">
        <v>5.0484378109654201E-3</v>
      </c>
      <c r="E221">
        <v>1.27486756915833</v>
      </c>
      <c r="F221">
        <v>5.6744926513563297E-3</v>
      </c>
      <c r="H221">
        <v>6.9547108559351303E-3</v>
      </c>
      <c r="J221">
        <v>6.9547108559351303E-3</v>
      </c>
      <c r="K221" t="s">
        <v>1259</v>
      </c>
      <c r="L221" t="s">
        <v>1250</v>
      </c>
    </row>
    <row r="222" spans="1:12" x14ac:dyDescent="0.35">
      <c r="A222">
        <v>132.387</v>
      </c>
      <c r="B222">
        <v>8.9448645005396604E-3</v>
      </c>
      <c r="C222">
        <v>1.2894325064411301</v>
      </c>
      <c r="D222">
        <v>5.0576128482484597E-3</v>
      </c>
      <c r="E222">
        <v>1.2820380854348901</v>
      </c>
      <c r="F222">
        <v>5.6245185382668402E-3</v>
      </c>
      <c r="H222">
        <v>7.1644853940870902E-3</v>
      </c>
      <c r="J222">
        <v>7.1644853940870902E-3</v>
      </c>
      <c r="K222" t="s">
        <v>1260</v>
      </c>
      <c r="L222" t="s">
        <v>1250</v>
      </c>
    </row>
    <row r="223" spans="1:12" x14ac:dyDescent="0.35">
      <c r="A223">
        <v>133.06</v>
      </c>
      <c r="B223">
        <v>9.1533831273586906E-3</v>
      </c>
      <c r="C223">
        <v>1.2958992443324899</v>
      </c>
      <c r="D223">
        <v>5.0151813755774403E-3</v>
      </c>
      <c r="E223">
        <v>1.2893035556861601</v>
      </c>
      <c r="F223">
        <v>5.6671251297499801E-3</v>
      </c>
      <c r="H223">
        <v>7.3479141028771596E-3</v>
      </c>
      <c r="J223">
        <v>7.3479141028771596E-3</v>
      </c>
      <c r="K223" t="s">
        <v>1261</v>
      </c>
      <c r="L223" t="s">
        <v>1250</v>
      </c>
    </row>
    <row r="224" spans="1:12" x14ac:dyDescent="0.35">
      <c r="A224">
        <v>133.74</v>
      </c>
      <c r="B224">
        <v>8.7464172787514692E-3</v>
      </c>
      <c r="C224">
        <v>1.30236106649534</v>
      </c>
      <c r="D224">
        <v>4.9863615486378503E-3</v>
      </c>
      <c r="E224">
        <v>1.2965871559633</v>
      </c>
      <c r="F224">
        <v>5.6492516793433803E-3</v>
      </c>
      <c r="H224">
        <v>7.4104265836887296E-3</v>
      </c>
      <c r="J224">
        <v>7.4104265836887296E-3</v>
      </c>
      <c r="K224" t="s">
        <v>1262</v>
      </c>
      <c r="L224" t="s">
        <v>1250</v>
      </c>
    </row>
    <row r="225" spans="1:12" x14ac:dyDescent="0.35">
      <c r="A225">
        <v>134.423</v>
      </c>
      <c r="B225">
        <v>9.1103928289688607E-3</v>
      </c>
      <c r="C225">
        <v>1.3088263705223599</v>
      </c>
      <c r="D225">
        <v>4.9642946133339203E-3</v>
      </c>
      <c r="E225">
        <v>1.3039812302954801</v>
      </c>
      <c r="F225">
        <v>5.7027206371482696E-3</v>
      </c>
      <c r="H225">
        <v>7.5096199742570296E-3</v>
      </c>
      <c r="J225">
        <v>7.5096199742570296E-3</v>
      </c>
      <c r="K225" t="s">
        <v>1263</v>
      </c>
      <c r="L225" t="s">
        <v>1250</v>
      </c>
    </row>
    <row r="226" spans="1:12" x14ac:dyDescent="0.35">
      <c r="A226">
        <v>135.11199999999999</v>
      </c>
      <c r="B226">
        <v>7.5615020615988904E-3</v>
      </c>
      <c r="C226">
        <v>1.31531956761644</v>
      </c>
      <c r="D226">
        <v>4.9610836397546701E-3</v>
      </c>
      <c r="E226">
        <v>1.3113732962040201</v>
      </c>
      <c r="F226">
        <v>5.6688437968273097E-3</v>
      </c>
      <c r="H226">
        <v>7.5110387764860701E-3</v>
      </c>
      <c r="J226">
        <v>7.5110387764860701E-3</v>
      </c>
      <c r="K226" t="s">
        <v>1264</v>
      </c>
      <c r="L226" t="s">
        <v>1250</v>
      </c>
    </row>
    <row r="227" spans="1:12" x14ac:dyDescent="0.35">
      <c r="A227">
        <v>135.804</v>
      </c>
      <c r="B227">
        <v>8.7303712553470393E-3</v>
      </c>
      <c r="C227">
        <v>1.32183093460853</v>
      </c>
      <c r="D227">
        <v>4.9504068459142996E-3</v>
      </c>
      <c r="E227">
        <v>1.3188342120679599</v>
      </c>
      <c r="F227">
        <v>5.68939133161894E-3</v>
      </c>
      <c r="H227">
        <v>7.6079053396602703E-3</v>
      </c>
      <c r="J227">
        <v>7.6079053396602703E-3</v>
      </c>
      <c r="K227" t="s">
        <v>1265</v>
      </c>
      <c r="L227" t="s">
        <v>1250</v>
      </c>
    </row>
    <row r="228" spans="1:12" x14ac:dyDescent="0.35">
      <c r="A228">
        <v>136.50200000000001</v>
      </c>
      <c r="B228">
        <v>8.9577129243598695E-3</v>
      </c>
      <c r="C228">
        <v>1.3283841123407201</v>
      </c>
      <c r="D228">
        <v>4.9576519663812003E-3</v>
      </c>
      <c r="E228">
        <v>1.32638279192274</v>
      </c>
      <c r="F228">
        <v>5.7236760964425298E-3</v>
      </c>
      <c r="H228">
        <v>7.6427931995954896E-3</v>
      </c>
      <c r="J228">
        <v>7.6427931995954896E-3</v>
      </c>
      <c r="K228" t="s">
        <v>1266</v>
      </c>
      <c r="L228" t="s">
        <v>1250</v>
      </c>
    </row>
    <row r="229" spans="1:12" x14ac:dyDescent="0.35">
      <c r="A229">
        <v>137.20500000000001</v>
      </c>
      <c r="B229">
        <v>8.9456481041094698E-3</v>
      </c>
      <c r="C229">
        <v>1.3349681151798001</v>
      </c>
      <c r="D229">
        <v>4.9563998680208802E-3</v>
      </c>
      <c r="E229">
        <v>1.3339181286549699</v>
      </c>
      <c r="F229">
        <v>5.6811176819537802E-3</v>
      </c>
      <c r="H229">
        <v>7.6468716160857904E-3</v>
      </c>
      <c r="J229">
        <v>7.6468716160857904E-3</v>
      </c>
      <c r="K229" t="s">
        <v>1267</v>
      </c>
      <c r="L229" t="s">
        <v>1250</v>
      </c>
    </row>
    <row r="230" spans="1:12" x14ac:dyDescent="0.35">
      <c r="A230">
        <v>137.91399999999999</v>
      </c>
      <c r="B230">
        <v>9.3644791698008802E-3</v>
      </c>
      <c r="C230">
        <v>1.3416021043815101</v>
      </c>
      <c r="D230">
        <v>4.9693989888390799E-3</v>
      </c>
      <c r="E230">
        <v>1.34166118781503</v>
      </c>
      <c r="F230">
        <v>5.8047484277543599E-3</v>
      </c>
      <c r="H230">
        <v>7.6361657960506398E-3</v>
      </c>
      <c r="J230">
        <v>7.6361657960506398E-3</v>
      </c>
      <c r="K230" t="s">
        <v>1268</v>
      </c>
      <c r="L230" t="s">
        <v>1250</v>
      </c>
    </row>
    <row r="231" spans="1:12" x14ac:dyDescent="0.35">
      <c r="A231">
        <v>138.62700000000001</v>
      </c>
      <c r="B231">
        <v>9.2842237752972494E-3</v>
      </c>
      <c r="C231">
        <v>1.3482829151358799</v>
      </c>
      <c r="D231">
        <v>4.9797259057300404E-3</v>
      </c>
      <c r="E231">
        <v>1.34929556901964</v>
      </c>
      <c r="F231">
        <v>5.6902452526301798E-3</v>
      </c>
      <c r="H231">
        <v>7.7033226228278E-3</v>
      </c>
      <c r="J231">
        <v>7.7033226228278E-3</v>
      </c>
      <c r="K231" t="s">
        <v>1269</v>
      </c>
      <c r="L231" t="s">
        <v>1250</v>
      </c>
    </row>
    <row r="232" spans="1:12" x14ac:dyDescent="0.35">
      <c r="A232">
        <v>139.346</v>
      </c>
      <c r="B232">
        <v>9.2775825120687792E-3</v>
      </c>
      <c r="C232">
        <v>1.3549987033194999</v>
      </c>
      <c r="D232">
        <v>4.9809933124782503E-3</v>
      </c>
      <c r="E232">
        <v>1.35701779982492</v>
      </c>
      <c r="F232">
        <v>5.7231573145193303E-3</v>
      </c>
      <c r="H232">
        <v>7.6930261622452098E-3</v>
      </c>
      <c r="J232">
        <v>7.6930261622452098E-3</v>
      </c>
      <c r="K232" t="s">
        <v>1270</v>
      </c>
      <c r="L232" t="s">
        <v>1250</v>
      </c>
    </row>
    <row r="233" spans="1:12" x14ac:dyDescent="0.35">
      <c r="A233">
        <v>140.06800000000001</v>
      </c>
      <c r="B233">
        <v>9.2605839890744796E-3</v>
      </c>
      <c r="C233">
        <v>1.36175128590698</v>
      </c>
      <c r="D233">
        <v>4.9834605530849601E-3</v>
      </c>
      <c r="E233">
        <v>1.3647496173190501</v>
      </c>
      <c r="F233">
        <v>5.6976537044128896E-3</v>
      </c>
      <c r="H233">
        <v>7.72989197946106E-3</v>
      </c>
      <c r="J233">
        <v>7.72989197946106E-3</v>
      </c>
      <c r="K233" t="s">
        <v>1271</v>
      </c>
      <c r="L233" t="s">
        <v>1250</v>
      </c>
    </row>
    <row r="234" spans="1:12" x14ac:dyDescent="0.35">
      <c r="A234">
        <v>140.79400000000001</v>
      </c>
      <c r="B234">
        <v>9.5654471178010497E-3</v>
      </c>
      <c r="C234">
        <v>1.3685565521093499</v>
      </c>
      <c r="D234">
        <v>4.9974369569547603E-3</v>
      </c>
      <c r="E234">
        <v>1.3725775899752299</v>
      </c>
      <c r="F234">
        <v>5.7358306291819296E-3</v>
      </c>
      <c r="H234">
        <v>7.76710044167461E-3</v>
      </c>
      <c r="J234">
        <v>7.76710044167461E-3</v>
      </c>
      <c r="K234" t="s">
        <v>1272</v>
      </c>
      <c r="L234" t="s">
        <v>1250</v>
      </c>
    </row>
    <row r="235" spans="1:12" x14ac:dyDescent="0.35">
      <c r="A235">
        <v>141.52500000000001</v>
      </c>
      <c r="B235">
        <v>9.5131112437252304E-3</v>
      </c>
      <c r="C235">
        <v>1.3754167465031599</v>
      </c>
      <c r="D235">
        <v>5.0127226260690003E-3</v>
      </c>
      <c r="E235">
        <v>1.3803975824655901</v>
      </c>
      <c r="F235">
        <v>5.6973045075765496E-3</v>
      </c>
      <c r="H235">
        <v>7.7117945916846996E-3</v>
      </c>
      <c r="J235">
        <v>7.7117945916846996E-3</v>
      </c>
      <c r="K235" t="s">
        <v>1273</v>
      </c>
      <c r="L235" t="s">
        <v>1250</v>
      </c>
    </row>
    <row r="236" spans="1:12" x14ac:dyDescent="0.35">
      <c r="A236">
        <v>142.261</v>
      </c>
      <c r="B236">
        <v>9.6226188444006305E-3</v>
      </c>
      <c r="C236">
        <v>1.38231462830346</v>
      </c>
      <c r="D236">
        <v>5.01512128439097E-3</v>
      </c>
      <c r="E236">
        <v>1.3882378630176899</v>
      </c>
      <c r="F236">
        <v>5.6797263713610499E-3</v>
      </c>
      <c r="H236">
        <v>7.7619204183672101E-3</v>
      </c>
      <c r="J236">
        <v>7.7619204183672101E-3</v>
      </c>
      <c r="K236" t="s">
        <v>1274</v>
      </c>
      <c r="L236" t="s">
        <v>1250</v>
      </c>
    </row>
    <row r="237" spans="1:12" x14ac:dyDescent="0.35">
      <c r="A237">
        <v>143.001</v>
      </c>
      <c r="B237">
        <v>9.63423110882888E-3</v>
      </c>
      <c r="C237">
        <v>1.3892738376724401</v>
      </c>
      <c r="D237">
        <v>5.0344612047694701E-3</v>
      </c>
      <c r="E237">
        <v>1.39614405238268</v>
      </c>
      <c r="F237">
        <v>5.69512586828003E-3</v>
      </c>
      <c r="H237">
        <v>7.7995328359632401E-3</v>
      </c>
      <c r="J237">
        <v>7.7995328359632401E-3</v>
      </c>
      <c r="K237" t="s">
        <v>1275</v>
      </c>
      <c r="L237" t="s">
        <v>1250</v>
      </c>
    </row>
    <row r="238" spans="1:12" x14ac:dyDescent="0.35">
      <c r="A238">
        <v>143.74600000000001</v>
      </c>
      <c r="B238">
        <v>9.6539405009628005E-3</v>
      </c>
      <c r="C238">
        <v>1.39627437041138</v>
      </c>
      <c r="D238">
        <v>5.0389869506730599E-3</v>
      </c>
      <c r="E238">
        <v>1.4040433423023799</v>
      </c>
      <c r="F238">
        <v>5.6579332957886804E-3</v>
      </c>
      <c r="H238">
        <v>7.7912884572341997E-3</v>
      </c>
      <c r="J238">
        <v>7.7912884572341997E-3</v>
      </c>
      <c r="K238" t="s">
        <v>1276</v>
      </c>
      <c r="L238" t="s">
        <v>1250</v>
      </c>
    </row>
    <row r="239" spans="1:12" x14ac:dyDescent="0.35">
      <c r="A239">
        <v>144.49700000000001</v>
      </c>
      <c r="B239">
        <v>9.6691361665008895E-3</v>
      </c>
      <c r="C239">
        <v>1.4033099027935101</v>
      </c>
      <c r="D239">
        <v>5.0387893176471197E-3</v>
      </c>
      <c r="E239">
        <v>1.41203838325095</v>
      </c>
      <c r="F239">
        <v>5.6942978237812802E-3</v>
      </c>
      <c r="H239">
        <v>7.7941515137436301E-3</v>
      </c>
      <c r="J239">
        <v>7.7941515137436301E-3</v>
      </c>
      <c r="K239" t="s">
        <v>1277</v>
      </c>
      <c r="L239" t="s">
        <v>1250</v>
      </c>
    </row>
    <row r="240" spans="1:12" x14ac:dyDescent="0.35">
      <c r="A240">
        <v>145.25200000000001</v>
      </c>
      <c r="B240">
        <v>9.6586760769043992E-3</v>
      </c>
      <c r="C240">
        <v>1.41038640723486</v>
      </c>
      <c r="D240">
        <v>5.0427239394939E-3</v>
      </c>
      <c r="E240">
        <v>1.4200276142722199</v>
      </c>
      <c r="F240">
        <v>5.6579418208730897E-3</v>
      </c>
      <c r="H240">
        <v>7.8704073905595494E-3</v>
      </c>
      <c r="J240">
        <v>7.8704073905595494E-3</v>
      </c>
      <c r="K240" t="s">
        <v>1278</v>
      </c>
      <c r="L240" t="s">
        <v>1250</v>
      </c>
    </row>
    <row r="241" spans="1:12" x14ac:dyDescent="0.35">
      <c r="A241">
        <v>146.01300000000001</v>
      </c>
      <c r="B241">
        <v>9.6476295213847596E-3</v>
      </c>
      <c r="C241">
        <v>1.4174991943280699</v>
      </c>
      <c r="D241">
        <v>5.0431477903676303E-3</v>
      </c>
      <c r="E241">
        <v>1.4280836844399201</v>
      </c>
      <c r="F241">
        <v>5.6731785260632998E-3</v>
      </c>
      <c r="H241">
        <v>7.8346502176538397E-3</v>
      </c>
      <c r="J241">
        <v>7.8346502176538397E-3</v>
      </c>
      <c r="K241" t="s">
        <v>1279</v>
      </c>
      <c r="L241" t="s">
        <v>1250</v>
      </c>
    </row>
    <row r="242" spans="1:12" x14ac:dyDescent="0.35">
      <c r="A242">
        <v>146.77699999999999</v>
      </c>
      <c r="B242">
        <v>9.6300474191055602E-3</v>
      </c>
      <c r="C242">
        <v>1.4246406393566999</v>
      </c>
      <c r="D242">
        <v>5.0380593210934696E-3</v>
      </c>
      <c r="E242">
        <v>1.43620652094982</v>
      </c>
      <c r="F242">
        <v>5.6879275342209797E-3</v>
      </c>
      <c r="H242">
        <v>7.8797512420421007E-3</v>
      </c>
      <c r="J242">
        <v>7.8797512420421007E-3</v>
      </c>
      <c r="K242" t="s">
        <v>1280</v>
      </c>
      <c r="L242" t="s">
        <v>1250</v>
      </c>
    </row>
    <row r="243" spans="1:12" x14ac:dyDescent="0.35">
      <c r="A243">
        <v>147.54300000000001</v>
      </c>
      <c r="B243">
        <v>9.6120878211418698E-3</v>
      </c>
      <c r="C243">
        <v>1.4318117675930999</v>
      </c>
      <c r="D243">
        <v>5.0336400902089001E-3</v>
      </c>
      <c r="E243">
        <v>1.4443234610917499</v>
      </c>
      <c r="F243">
        <v>5.65165247722432E-3</v>
      </c>
      <c r="H243">
        <v>7.8594590588953999E-3</v>
      </c>
      <c r="J243">
        <v>7.8594590588953999E-3</v>
      </c>
      <c r="K243" t="s">
        <v>1281</v>
      </c>
      <c r="L243" t="s">
        <v>1250</v>
      </c>
    </row>
    <row r="244" spans="1:12" x14ac:dyDescent="0.35">
      <c r="A244">
        <v>148.31399999999999</v>
      </c>
      <c r="B244">
        <v>9.5966929760873398E-3</v>
      </c>
      <c r="C244">
        <v>1.4390135213502999</v>
      </c>
      <c r="D244">
        <v>5.0298188073325499E-3</v>
      </c>
      <c r="E244">
        <v>1.45250707495828</v>
      </c>
      <c r="F244">
        <v>5.6660534063028801E-3</v>
      </c>
      <c r="H244">
        <v>7.8108491379678098E-3</v>
      </c>
      <c r="J244">
        <v>7.8108491379678098E-3</v>
      </c>
      <c r="K244" t="s">
        <v>1282</v>
      </c>
      <c r="L244" t="s">
        <v>1250</v>
      </c>
    </row>
    <row r="245" spans="1:12" x14ac:dyDescent="0.35">
      <c r="A245">
        <v>149.08799999999999</v>
      </c>
      <c r="B245">
        <v>9.5779663277790698E-3</v>
      </c>
      <c r="C245">
        <v>1.44623561211164</v>
      </c>
      <c r="D245">
        <v>5.0187789441757903E-3</v>
      </c>
      <c r="E245">
        <v>1.4607907145448</v>
      </c>
      <c r="F245">
        <v>5.7029943119257798E-3</v>
      </c>
      <c r="H245">
        <v>7.8801243293176206E-3</v>
      </c>
      <c r="J245">
        <v>7.8801243293176206E-3</v>
      </c>
      <c r="K245" t="s">
        <v>1283</v>
      </c>
      <c r="L245" t="s">
        <v>1250</v>
      </c>
    </row>
    <row r="246" spans="1:12" x14ac:dyDescent="0.35">
      <c r="A246">
        <v>149.86500000000001</v>
      </c>
      <c r="B246">
        <v>9.5617781632999499E-3</v>
      </c>
      <c r="C246">
        <v>1.45349497782022</v>
      </c>
      <c r="D246">
        <v>5.0194903567455399E-3</v>
      </c>
      <c r="E246">
        <v>1.46903104148535</v>
      </c>
      <c r="F246">
        <v>5.6410044632042603E-3</v>
      </c>
      <c r="H246">
        <v>7.88298014941358E-3</v>
      </c>
      <c r="J246">
        <v>7.88298014941358E-3</v>
      </c>
      <c r="K246" t="s">
        <v>1284</v>
      </c>
      <c r="L246" t="s">
        <v>1250</v>
      </c>
    </row>
    <row r="247" spans="1:12" x14ac:dyDescent="0.35">
      <c r="A247">
        <v>150.64500000000001</v>
      </c>
      <c r="B247">
        <v>9.5451881440513607E-3</v>
      </c>
      <c r="C247">
        <v>1.46077900838174</v>
      </c>
      <c r="D247">
        <v>5.0113902508575102E-3</v>
      </c>
      <c r="E247">
        <v>1.4773402943949001</v>
      </c>
      <c r="F247">
        <v>5.6562813683937998E-3</v>
      </c>
      <c r="H247">
        <v>7.8242771932854893E-3</v>
      </c>
      <c r="J247">
        <v>7.8242771932854893E-3</v>
      </c>
      <c r="K247" t="s">
        <v>1285</v>
      </c>
      <c r="L247" t="s">
        <v>1250</v>
      </c>
    </row>
    <row r="248" spans="1:12" x14ac:dyDescent="0.35">
      <c r="A248">
        <v>151.428</v>
      </c>
      <c r="B248">
        <v>9.5225748997438409E-3</v>
      </c>
      <c r="C248">
        <v>1.4680784876764801</v>
      </c>
      <c r="D248">
        <v>4.9969771285449703E-3</v>
      </c>
      <c r="E248">
        <v>1.48582614369608</v>
      </c>
      <c r="F248">
        <v>5.7440045014531798E-3</v>
      </c>
      <c r="H248">
        <v>7.8446882055194199E-3</v>
      </c>
      <c r="J248">
        <v>7.8446882055194199E-3</v>
      </c>
      <c r="K248" t="s">
        <v>1286</v>
      </c>
      <c r="L248" t="s">
        <v>1250</v>
      </c>
    </row>
    <row r="249" spans="1:12" x14ac:dyDescent="0.35">
      <c r="A249">
        <v>152.214</v>
      </c>
      <c r="B249">
        <v>9.5025403383395303E-3</v>
      </c>
      <c r="C249">
        <v>1.4754112997309601</v>
      </c>
      <c r="D249">
        <v>4.9948365268173102E-3</v>
      </c>
      <c r="E249">
        <v>1.4942012177442701</v>
      </c>
      <c r="F249">
        <v>5.6366446934110704E-3</v>
      </c>
      <c r="H249">
        <v>7.8834480001659397E-3</v>
      </c>
      <c r="J249">
        <v>7.8834480001659397E-3</v>
      </c>
      <c r="K249" t="s">
        <v>1287</v>
      </c>
      <c r="L249" t="s">
        <v>1250</v>
      </c>
    </row>
    <row r="250" spans="1:12" x14ac:dyDescent="0.35">
      <c r="A250">
        <v>153.00299999999999</v>
      </c>
      <c r="B250">
        <v>9.4877552374841301E-3</v>
      </c>
      <c r="C250">
        <v>1.48277250707695</v>
      </c>
      <c r="D250">
        <v>4.9892578071861803E-3</v>
      </c>
      <c r="E250">
        <v>1.5027540223220801</v>
      </c>
      <c r="F250">
        <v>5.7239978633625297E-3</v>
      </c>
      <c r="H250">
        <v>7.8305926616084598E-3</v>
      </c>
      <c r="J250">
        <v>7.8305926616084598E-3</v>
      </c>
      <c r="K250" t="s">
        <v>1288</v>
      </c>
      <c r="L250" t="s">
        <v>1250</v>
      </c>
    </row>
    <row r="251" spans="1:12" x14ac:dyDescent="0.35">
      <c r="A251">
        <v>153.79499999999999</v>
      </c>
      <c r="B251">
        <v>9.4670666064018399E-3</v>
      </c>
      <c r="C251">
        <v>1.4901450112249699</v>
      </c>
      <c r="D251">
        <v>4.9721073953188401E-3</v>
      </c>
      <c r="E251">
        <v>1.5112672994710501</v>
      </c>
      <c r="F251">
        <v>5.6651168604575598E-3</v>
      </c>
      <c r="H251">
        <v>7.8481207054677E-3</v>
      </c>
      <c r="J251">
        <v>7.8481207054677E-3</v>
      </c>
      <c r="K251" t="s">
        <v>1289</v>
      </c>
      <c r="L251" t="s">
        <v>1250</v>
      </c>
    </row>
    <row r="252" spans="1:12" x14ac:dyDescent="0.35">
      <c r="A252">
        <v>154.59</v>
      </c>
      <c r="B252">
        <v>9.4434087449222198E-3</v>
      </c>
      <c r="C252">
        <v>1.49756106140731</v>
      </c>
      <c r="D252">
        <v>4.9767305372872004E-3</v>
      </c>
      <c r="E252">
        <v>1.5197768762677499</v>
      </c>
      <c r="F252">
        <v>5.6307555914654204E-3</v>
      </c>
      <c r="H252">
        <v>7.8392933990876195E-3</v>
      </c>
      <c r="J252">
        <v>7.8392933990876195E-3</v>
      </c>
      <c r="K252" t="s">
        <v>1290</v>
      </c>
      <c r="L252" t="s">
        <v>1250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53125" defaultRowHeight="14.5" x14ac:dyDescent="0.35"/>
  <cols>
    <col min="1" max="1" width="23.7265625" customWidth="1"/>
    <col min="2" max="2" width="79.453125" customWidth="1"/>
    <col min="3" max="3" width="33.453125" customWidth="1"/>
  </cols>
  <sheetData>
    <row r="1" spans="1:4" ht="47.65" customHeight="1" x14ac:dyDescent="0.35">
      <c r="A1" s="45" t="s">
        <v>33</v>
      </c>
      <c r="B1" s="46" t="s">
        <v>34</v>
      </c>
      <c r="C1" s="46" t="s">
        <v>35</v>
      </c>
      <c r="D1" s="47" t="s">
        <v>36</v>
      </c>
    </row>
    <row r="2" spans="1:4" ht="79.5" customHeight="1" x14ac:dyDescent="0.35">
      <c r="A2" s="42" t="s">
        <v>952</v>
      </c>
      <c r="B2" s="43" t="s">
        <v>999</v>
      </c>
      <c r="C2" s="43" t="s">
        <v>1000</v>
      </c>
      <c r="D2" s="39" t="s">
        <v>1017</v>
      </c>
    </row>
    <row r="3" spans="1:4" ht="63.75" customHeight="1" x14ac:dyDescent="0.35">
      <c r="A3" s="18" t="s">
        <v>79</v>
      </c>
      <c r="B3" s="38" t="s">
        <v>40</v>
      </c>
      <c r="C3" s="38" t="s">
        <v>41</v>
      </c>
      <c r="D3" s="40" t="s">
        <v>1017</v>
      </c>
    </row>
    <row r="4" spans="1:4" ht="137.25" customHeight="1" x14ac:dyDescent="0.35">
      <c r="A4" s="48" t="s">
        <v>80</v>
      </c>
      <c r="B4" s="38" t="s">
        <v>998</v>
      </c>
      <c r="C4" s="14" t="s">
        <v>954</v>
      </c>
      <c r="D4" s="40"/>
    </row>
    <row r="5" spans="1:4" ht="29.25" customHeight="1" x14ac:dyDescent="0.35">
      <c r="A5" s="48" t="s">
        <v>81</v>
      </c>
      <c r="B5" s="49" t="s">
        <v>82</v>
      </c>
      <c r="C5" s="36" t="s">
        <v>83</v>
      </c>
      <c r="D5" s="40"/>
    </row>
    <row r="6" spans="1:4" ht="43.15" customHeight="1" x14ac:dyDescent="0.35">
      <c r="A6" s="20" t="s">
        <v>84</v>
      </c>
      <c r="B6" s="44" t="s">
        <v>956</v>
      </c>
      <c r="C6" s="37" t="s">
        <v>955</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29" activePane="bottomRight" state="frozen"/>
      <selection pane="topRight" activeCell="B1" sqref="B1"/>
      <selection pane="bottomLeft" activeCell="A2" sqref="A2"/>
      <selection pane="bottomRight" activeCell="A58" sqref="A58"/>
    </sheetView>
  </sheetViews>
  <sheetFormatPr defaultColWidth="11.453125" defaultRowHeight="14.5" x14ac:dyDescent="0.35"/>
  <cols>
    <col min="1" max="211" width="11.7265625" customWidth="1"/>
  </cols>
  <sheetData>
    <row r="1" spans="1:211" x14ac:dyDescent="0.35">
      <c r="A1" s="720" t="s">
        <v>1555</v>
      </c>
      <c r="B1" s="720" t="s">
        <v>1556</v>
      </c>
      <c r="C1" s="720" t="s">
        <v>1557</v>
      </c>
      <c r="D1" s="720" t="s">
        <v>1558</v>
      </c>
      <c r="E1" s="720" t="s">
        <v>1559</v>
      </c>
      <c r="F1" s="720" t="s">
        <v>1560</v>
      </c>
      <c r="G1" s="720" t="s">
        <v>1561</v>
      </c>
      <c r="H1" s="720" t="s">
        <v>1562</v>
      </c>
      <c r="I1" s="720" t="s">
        <v>1563</v>
      </c>
      <c r="J1" s="720" t="s">
        <v>1564</v>
      </c>
      <c r="K1" s="720" t="s">
        <v>1565</v>
      </c>
      <c r="L1" s="720" t="s">
        <v>1566</v>
      </c>
      <c r="M1" s="720" t="s">
        <v>1567</v>
      </c>
      <c r="N1" s="720" t="s">
        <v>1568</v>
      </c>
      <c r="O1" s="720" t="s">
        <v>1569</v>
      </c>
      <c r="P1" s="720" t="s">
        <v>1570</v>
      </c>
      <c r="Q1" s="720" t="s">
        <v>1571</v>
      </c>
      <c r="R1" s="720" t="s">
        <v>1572</v>
      </c>
      <c r="S1" s="720" t="s">
        <v>1573</v>
      </c>
      <c r="T1" s="720" t="s">
        <v>1574</v>
      </c>
      <c r="U1" s="720" t="s">
        <v>1575</v>
      </c>
      <c r="V1" s="720" t="s">
        <v>1576</v>
      </c>
      <c r="W1" s="720" t="s">
        <v>1577</v>
      </c>
      <c r="X1" s="720" t="s">
        <v>1578</v>
      </c>
      <c r="Y1" s="720" t="s">
        <v>1579</v>
      </c>
      <c r="Z1" s="720" t="s">
        <v>1580</v>
      </c>
      <c r="AA1" s="720" t="s">
        <v>1581</v>
      </c>
      <c r="AB1" s="720" t="s">
        <v>1582</v>
      </c>
      <c r="AC1" s="720" t="s">
        <v>1583</v>
      </c>
      <c r="AD1" s="720" t="s">
        <v>1584</v>
      </c>
      <c r="AE1" s="720" t="s">
        <v>1585</v>
      </c>
      <c r="AF1" s="720" t="s">
        <v>1586</v>
      </c>
      <c r="AG1" s="720" t="s">
        <v>1587</v>
      </c>
      <c r="AH1" s="720" t="s">
        <v>1588</v>
      </c>
      <c r="AI1" s="720" t="s">
        <v>1589</v>
      </c>
      <c r="AJ1" s="720" t="s">
        <v>1590</v>
      </c>
      <c r="AK1" s="720" t="s">
        <v>1591</v>
      </c>
      <c r="AL1" s="720" t="s">
        <v>1592</v>
      </c>
      <c r="AM1" s="720" t="s">
        <v>1593</v>
      </c>
      <c r="AN1" s="720" t="s">
        <v>1594</v>
      </c>
      <c r="AO1" s="720" t="s">
        <v>1595</v>
      </c>
      <c r="AP1" s="720" t="s">
        <v>1596</v>
      </c>
      <c r="AQ1" s="720" t="s">
        <v>1597</v>
      </c>
      <c r="AR1" s="720" t="s">
        <v>1598</v>
      </c>
      <c r="AS1" s="720" t="s">
        <v>1599</v>
      </c>
      <c r="AT1" s="720" t="s">
        <v>1600</v>
      </c>
      <c r="AU1" s="720" t="s">
        <v>1601</v>
      </c>
      <c r="AV1" s="720" t="s">
        <v>1602</v>
      </c>
      <c r="AW1" s="720" t="s">
        <v>1603</v>
      </c>
      <c r="AX1" s="720" t="s">
        <v>1604</v>
      </c>
      <c r="AY1" s="720" t="s">
        <v>1605</v>
      </c>
      <c r="AZ1" s="720" t="s">
        <v>1606</v>
      </c>
      <c r="BA1" s="720" t="s">
        <v>1607</v>
      </c>
      <c r="BB1" s="720" t="s">
        <v>1608</v>
      </c>
      <c r="BC1" s="720" t="s">
        <v>1609</v>
      </c>
      <c r="BD1" s="720" t="s">
        <v>1610</v>
      </c>
      <c r="BE1" s="720" t="s">
        <v>1611</v>
      </c>
      <c r="BF1" s="720" t="s">
        <v>1612</v>
      </c>
      <c r="BG1" s="720" t="s">
        <v>1613</v>
      </c>
      <c r="BH1" s="720" t="s">
        <v>1614</v>
      </c>
      <c r="BI1" s="720" t="s">
        <v>1615</v>
      </c>
      <c r="BJ1" s="720" t="s">
        <v>1616</v>
      </c>
      <c r="BK1" s="720" t="s">
        <v>1617</v>
      </c>
      <c r="BL1" s="720" t="s">
        <v>1618</v>
      </c>
      <c r="BM1" s="720" t="s">
        <v>1619</v>
      </c>
      <c r="BN1" s="720" t="s">
        <v>1620</v>
      </c>
      <c r="BO1" s="720" t="s">
        <v>1621</v>
      </c>
      <c r="BP1" s="720" t="s">
        <v>1622</v>
      </c>
      <c r="BQ1" s="720" t="s">
        <v>1623</v>
      </c>
      <c r="BR1" s="720" t="s">
        <v>1624</v>
      </c>
      <c r="BS1" s="720" t="s">
        <v>1625</v>
      </c>
      <c r="BT1" s="720" t="s">
        <v>1626</v>
      </c>
      <c r="BU1" s="720" t="s">
        <v>1627</v>
      </c>
      <c r="BV1" s="720" t="s">
        <v>1628</v>
      </c>
      <c r="BW1" s="720" t="s">
        <v>1629</v>
      </c>
      <c r="BX1" s="720" t="s">
        <v>1630</v>
      </c>
      <c r="BY1" s="720" t="s">
        <v>1631</v>
      </c>
      <c r="BZ1" s="720" t="s">
        <v>1632</v>
      </c>
      <c r="CA1" s="720" t="s">
        <v>1633</v>
      </c>
      <c r="CB1" s="720" t="s">
        <v>1634</v>
      </c>
      <c r="CC1" s="720" t="s">
        <v>1635</v>
      </c>
      <c r="CD1" s="720" t="s">
        <v>1636</v>
      </c>
      <c r="CE1" s="720" t="s">
        <v>1637</v>
      </c>
      <c r="CF1" s="720" t="s">
        <v>1638</v>
      </c>
      <c r="CG1" s="720" t="s">
        <v>1639</v>
      </c>
      <c r="CH1" s="720" t="s">
        <v>1640</v>
      </c>
      <c r="CI1" s="720" t="s">
        <v>1641</v>
      </c>
      <c r="CJ1" s="720" t="s">
        <v>1642</v>
      </c>
      <c r="CK1" s="720" t="s">
        <v>1643</v>
      </c>
      <c r="CL1" s="720" t="s">
        <v>1644</v>
      </c>
      <c r="CM1" s="720" t="s">
        <v>1645</v>
      </c>
      <c r="CN1" s="720" t="s">
        <v>1646</v>
      </c>
      <c r="CO1" s="720" t="s">
        <v>1647</v>
      </c>
      <c r="CP1" s="720" t="s">
        <v>1648</v>
      </c>
      <c r="CQ1" s="720" t="s">
        <v>1649</v>
      </c>
      <c r="CR1" s="720" t="s">
        <v>1650</v>
      </c>
      <c r="CS1" s="720" t="s">
        <v>1651</v>
      </c>
      <c r="CT1" s="720" t="s">
        <v>1652</v>
      </c>
      <c r="CU1" s="720" t="s">
        <v>1653</v>
      </c>
      <c r="CV1" s="720" t="s">
        <v>1654</v>
      </c>
      <c r="CW1" s="720" t="s">
        <v>1655</v>
      </c>
      <c r="CX1" s="720" t="s">
        <v>1656</v>
      </c>
      <c r="CY1" s="720" t="s">
        <v>1657</v>
      </c>
      <c r="CZ1" s="720" t="s">
        <v>1658</v>
      </c>
      <c r="DA1" s="720" t="s">
        <v>1659</v>
      </c>
      <c r="DB1" s="720" t="s">
        <v>1660</v>
      </c>
      <c r="DC1" s="720" t="s">
        <v>1661</v>
      </c>
      <c r="DD1" s="720" t="s">
        <v>1662</v>
      </c>
      <c r="DE1" s="720" t="s">
        <v>1663</v>
      </c>
      <c r="DF1" s="720" t="s">
        <v>1664</v>
      </c>
      <c r="DG1" s="720" t="s">
        <v>1665</v>
      </c>
      <c r="DH1" s="720" t="s">
        <v>1666</v>
      </c>
      <c r="DI1" s="720" t="s">
        <v>1667</v>
      </c>
      <c r="DJ1" s="720" t="s">
        <v>1668</v>
      </c>
      <c r="DK1" s="720" t="s">
        <v>1669</v>
      </c>
      <c r="DL1" s="720" t="s">
        <v>1670</v>
      </c>
      <c r="DM1" s="720" t="s">
        <v>1671</v>
      </c>
      <c r="DN1" s="720" t="s">
        <v>1672</v>
      </c>
      <c r="DO1" s="720" t="s">
        <v>1673</v>
      </c>
      <c r="DP1" s="720" t="s">
        <v>1674</v>
      </c>
      <c r="DQ1" s="720" t="s">
        <v>1675</v>
      </c>
      <c r="DR1" s="720" t="s">
        <v>1676</v>
      </c>
      <c r="DS1" s="720" t="s">
        <v>1677</v>
      </c>
      <c r="DT1" s="720" t="s">
        <v>1678</v>
      </c>
      <c r="DU1" s="720" t="s">
        <v>1679</v>
      </c>
      <c r="DV1" s="720" t="s">
        <v>1680</v>
      </c>
      <c r="DW1" s="720" t="s">
        <v>1681</v>
      </c>
      <c r="DX1" s="720" t="s">
        <v>1682</v>
      </c>
      <c r="DY1" s="720" t="s">
        <v>1683</v>
      </c>
      <c r="DZ1" s="720" t="s">
        <v>1684</v>
      </c>
      <c r="EA1" s="720" t="s">
        <v>1685</v>
      </c>
      <c r="EB1" s="720" t="s">
        <v>1686</v>
      </c>
      <c r="EC1" s="720" t="s">
        <v>1687</v>
      </c>
      <c r="ED1" s="720" t="s">
        <v>1688</v>
      </c>
      <c r="EE1" s="720" t="s">
        <v>1689</v>
      </c>
      <c r="EF1" s="720" t="s">
        <v>1690</v>
      </c>
      <c r="EG1" s="720" t="s">
        <v>1691</v>
      </c>
      <c r="EH1" s="720" t="s">
        <v>1692</v>
      </c>
      <c r="EI1" s="720" t="s">
        <v>1693</v>
      </c>
      <c r="EJ1" s="720" t="s">
        <v>1694</v>
      </c>
      <c r="EK1" s="720" t="s">
        <v>1695</v>
      </c>
      <c r="EL1" s="720" t="s">
        <v>1696</v>
      </c>
      <c r="EM1" s="720" t="s">
        <v>1697</v>
      </c>
      <c r="EN1" s="720" t="s">
        <v>1698</v>
      </c>
      <c r="EO1" s="720" t="s">
        <v>1699</v>
      </c>
      <c r="EP1" s="720" t="s">
        <v>1700</v>
      </c>
      <c r="EQ1" s="720" t="s">
        <v>1701</v>
      </c>
      <c r="ER1" s="720" t="s">
        <v>1702</v>
      </c>
      <c r="ES1" s="720" t="s">
        <v>1703</v>
      </c>
      <c r="ET1" s="720" t="s">
        <v>1704</v>
      </c>
      <c r="EU1" s="720" t="s">
        <v>1705</v>
      </c>
      <c r="EV1" s="720" t="s">
        <v>1706</v>
      </c>
      <c r="EW1" s="720" t="s">
        <v>1707</v>
      </c>
      <c r="EX1" s="720" t="s">
        <v>1708</v>
      </c>
      <c r="EY1" s="720" t="s">
        <v>1709</v>
      </c>
      <c r="EZ1" s="720" t="s">
        <v>1710</v>
      </c>
      <c r="FA1" s="720" t="s">
        <v>1711</v>
      </c>
      <c r="FB1" s="720" t="s">
        <v>1712</v>
      </c>
      <c r="FC1" s="720" t="s">
        <v>1713</v>
      </c>
      <c r="FD1" s="720" t="s">
        <v>1714</v>
      </c>
      <c r="FE1" s="720" t="s">
        <v>1715</v>
      </c>
      <c r="FF1" s="720" t="s">
        <v>1716</v>
      </c>
      <c r="FG1" s="720" t="s">
        <v>1717</v>
      </c>
      <c r="FH1" s="720" t="s">
        <v>1718</v>
      </c>
      <c r="FI1" s="720" t="s">
        <v>1719</v>
      </c>
      <c r="FJ1" s="720" t="s">
        <v>1720</v>
      </c>
      <c r="FK1" s="720" t="s">
        <v>1721</v>
      </c>
      <c r="FL1" s="720" t="s">
        <v>1722</v>
      </c>
      <c r="FM1" s="720" t="s">
        <v>1723</v>
      </c>
      <c r="FN1" s="720" t="s">
        <v>1724</v>
      </c>
      <c r="FO1" s="720" t="s">
        <v>1725</v>
      </c>
      <c r="FP1" s="720" t="s">
        <v>1726</v>
      </c>
      <c r="FQ1" s="720" t="s">
        <v>1727</v>
      </c>
      <c r="FR1" s="720" t="s">
        <v>1728</v>
      </c>
      <c r="FS1" s="720" t="s">
        <v>1729</v>
      </c>
      <c r="FT1" s="720" t="s">
        <v>1730</v>
      </c>
      <c r="FU1" s="720" t="s">
        <v>1731</v>
      </c>
      <c r="FV1" s="720" t="s">
        <v>1732</v>
      </c>
      <c r="FW1" s="720" t="s">
        <v>1733</v>
      </c>
      <c r="FX1" s="720" t="s">
        <v>1734</v>
      </c>
      <c r="FY1" s="720" t="s">
        <v>1735</v>
      </c>
      <c r="FZ1" s="720" t="s">
        <v>1736</v>
      </c>
      <c r="GA1" s="720" t="s">
        <v>1737</v>
      </c>
      <c r="GB1" s="720" t="s">
        <v>1738</v>
      </c>
      <c r="GC1" s="720" t="s">
        <v>1739</v>
      </c>
      <c r="GD1" s="720" t="s">
        <v>1740</v>
      </c>
      <c r="GE1" s="720" t="s">
        <v>1741</v>
      </c>
      <c r="GF1" s="720" t="s">
        <v>1742</v>
      </c>
      <c r="GG1" s="720" t="s">
        <v>1743</v>
      </c>
      <c r="GH1" s="720" t="s">
        <v>1744</v>
      </c>
      <c r="GI1" s="720" t="s">
        <v>1745</v>
      </c>
      <c r="GJ1" s="720" t="s">
        <v>1746</v>
      </c>
      <c r="GK1" s="720" t="s">
        <v>1747</v>
      </c>
      <c r="GL1" s="720" t="s">
        <v>1748</v>
      </c>
      <c r="GM1" s="720" t="s">
        <v>1749</v>
      </c>
      <c r="GN1" s="720" t="s">
        <v>1750</v>
      </c>
      <c r="GO1" s="720" t="s">
        <v>1751</v>
      </c>
      <c r="GP1" s="720" t="s">
        <v>1752</v>
      </c>
      <c r="GQ1" s="720" t="s">
        <v>1753</v>
      </c>
      <c r="GR1" s="720" t="s">
        <v>1754</v>
      </c>
      <c r="GS1" s="720" t="s">
        <v>1755</v>
      </c>
      <c r="GT1" s="720" t="s">
        <v>1756</v>
      </c>
      <c r="GU1" s="720" t="s">
        <v>1757</v>
      </c>
      <c r="GV1" s="720" t="s">
        <v>1758</v>
      </c>
      <c r="GW1" s="720" t="s">
        <v>1759</v>
      </c>
      <c r="GX1" s="720" t="s">
        <v>1760</v>
      </c>
      <c r="GY1" s="720" t="s">
        <v>1761</v>
      </c>
      <c r="GZ1" s="720" t="s">
        <v>1762</v>
      </c>
      <c r="HA1" s="720" t="s">
        <v>1763</v>
      </c>
      <c r="HB1" s="720" t="s">
        <v>1764</v>
      </c>
      <c r="HC1" s="720" t="s">
        <v>1765</v>
      </c>
    </row>
    <row r="2" spans="1:211" x14ac:dyDescent="0.35">
      <c r="A2" s="36" t="s">
        <v>1766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row>
    <row r="3" spans="1:211" x14ac:dyDescent="0.35">
      <c r="A3" s="36" t="s">
        <v>1767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row>
    <row r="4" spans="1:211" x14ac:dyDescent="0.35">
      <c r="A4" s="36" t="s">
        <v>1768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row>
    <row r="5" spans="1:211" x14ac:dyDescent="0.35">
      <c r="A5" s="36" t="s">
        <v>1769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row>
    <row r="6" spans="1:211" x14ac:dyDescent="0.35">
      <c r="A6" s="36" t="s">
        <v>1770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row>
    <row r="7" spans="1:211" x14ac:dyDescent="0.35">
      <c r="A7" s="36" t="s">
        <v>1771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row>
    <row r="8" spans="1:211" x14ac:dyDescent="0.35">
      <c r="A8" s="36" t="s">
        <v>1772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row>
    <row r="9" spans="1:211" x14ac:dyDescent="0.35">
      <c r="A9" s="36" t="s">
        <v>1773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row>
    <row r="10" spans="1:211" x14ac:dyDescent="0.35">
      <c r="A10" s="36" t="s">
        <v>1774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row>
    <row r="11" spans="1:211" x14ac:dyDescent="0.35">
      <c r="A11" s="36" t="s">
        <v>1775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row>
    <row r="12" spans="1:211" x14ac:dyDescent="0.35">
      <c r="A12" s="36" t="s">
        <v>1776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row>
    <row r="13" spans="1:211" x14ac:dyDescent="0.35">
      <c r="A13" s="36" t="s">
        <v>1777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row>
    <row r="14" spans="1:211" x14ac:dyDescent="0.35">
      <c r="A14" s="36" t="s">
        <v>1778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row>
    <row r="15" spans="1:211" x14ac:dyDescent="0.35">
      <c r="A15" s="36" t="s">
        <v>1779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row>
    <row r="16" spans="1:211" x14ac:dyDescent="0.35">
      <c r="A16" s="36" t="s">
        <v>1780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row>
    <row r="17" spans="1:211" x14ac:dyDescent="0.35">
      <c r="A17" s="36" t="s">
        <v>1781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3197.9</v>
      </c>
    </row>
    <row r="18" spans="1:211" x14ac:dyDescent="0.35">
      <c r="A18" s="36" t="s">
        <v>1782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row>
    <row r="19" spans="1:211" x14ac:dyDescent="0.35">
      <c r="A19" s="36" t="s">
        <v>1783</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row>
    <row r="20" spans="1:211" x14ac:dyDescent="0.35">
      <c r="A20" s="36" t="s">
        <v>1784</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row>
    <row r="21" spans="1:211" x14ac:dyDescent="0.35">
      <c r="A21" s="36" t="s">
        <v>1785</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1666.8</v>
      </c>
    </row>
    <row r="22" spans="1:211" x14ac:dyDescent="0.35">
      <c r="A22" s="36" t="s">
        <v>1786</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row>
    <row r="23" spans="1:211" x14ac:dyDescent="0.35">
      <c r="A23" s="36" t="s">
        <v>1787</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row>
    <row r="24" spans="1:211" x14ac:dyDescent="0.35">
      <c r="A24" s="36" t="s">
        <v>1788</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row>
    <row r="25" spans="1:211" x14ac:dyDescent="0.35">
      <c r="A25" s="36" t="s">
        <v>1789</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row>
    <row r="26" spans="1:211" x14ac:dyDescent="0.35">
      <c r="A26" s="36" t="s">
        <v>1790</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row>
    <row r="27" spans="1:211" x14ac:dyDescent="0.35">
      <c r="A27" s="36" t="s">
        <v>1791</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2608.1</v>
      </c>
    </row>
    <row r="28" spans="1:211" x14ac:dyDescent="0.35">
      <c r="A28" s="36" t="s">
        <v>1792</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row>
    <row r="29" spans="1:211" x14ac:dyDescent="0.35">
      <c r="A29" s="36" t="s">
        <v>1793</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row>
    <row r="30" spans="1:211" x14ac:dyDescent="0.35">
      <c r="A30" s="36" t="s">
        <v>1794</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1643.2</v>
      </c>
    </row>
    <row r="31" spans="1:211" x14ac:dyDescent="0.35">
      <c r="A31" s="36" t="s">
        <v>1795</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row>
    <row r="32" spans="1:211" x14ac:dyDescent="0.35">
      <c r="A32" s="36" t="s">
        <v>1796</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row>
    <row r="33" spans="1:211" x14ac:dyDescent="0.35">
      <c r="A33" s="36" t="s">
        <v>1797</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row>
    <row r="34" spans="1:211" x14ac:dyDescent="0.35">
      <c r="A34" s="36" t="s">
        <v>1798</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row>
    <row r="35" spans="1:211" x14ac:dyDescent="0.35">
      <c r="A35" s="36" t="s">
        <v>1799</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row>
    <row r="36" spans="1:211" x14ac:dyDescent="0.35">
      <c r="A36" s="36" t="s">
        <v>1800</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row>
    <row r="37" spans="1:211" x14ac:dyDescent="0.35">
      <c r="A37" s="36" t="s">
        <v>1801</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row>
    <row r="38" spans="1:211" x14ac:dyDescent="0.35">
      <c r="A38" s="36" t="s">
        <v>1802</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row>
    <row r="39" spans="1:211" x14ac:dyDescent="0.35">
      <c r="A39" s="36" t="s">
        <v>1803</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row>
    <row r="40" spans="1:211" x14ac:dyDescent="0.35">
      <c r="A40" s="36" t="s">
        <v>1804</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row>
    <row r="41" spans="1:211" x14ac:dyDescent="0.35">
      <c r="A41" s="36" t="s">
        <v>1805</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row>
    <row r="42" spans="1:211" x14ac:dyDescent="0.35">
      <c r="A42" s="36" t="s">
        <v>1806</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row>
    <row r="43" spans="1:211" x14ac:dyDescent="0.35">
      <c r="A43" s="36" t="s">
        <v>1807</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row>
    <row r="44" spans="1:211" x14ac:dyDescent="0.35">
      <c r="A44" s="36" t="s">
        <v>1808</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row>
    <row r="45" spans="1:211" x14ac:dyDescent="0.35">
      <c r="A45" s="36" t="s">
        <v>1809</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5">
      <c r="A46" s="36" t="s">
        <v>1810</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row>
    <row r="47" spans="1:211" x14ac:dyDescent="0.35">
      <c r="A47" s="36" t="s">
        <v>1811</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row>
    <row r="48" spans="1:211" x14ac:dyDescent="0.35">
      <c r="A48" s="36" t="s">
        <v>1812</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row>
    <row r="49" spans="1:211" x14ac:dyDescent="0.35">
      <c r="A49" s="36" t="s">
        <v>1813</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row>
    <row r="50" spans="1:211" x14ac:dyDescent="0.35">
      <c r="A50" s="36" t="s">
        <v>1814</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5">
      <c r="A51" s="36" t="s">
        <v>1815</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row>
    <row r="52" spans="1:211" x14ac:dyDescent="0.35">
      <c r="A52" s="36" t="s">
        <v>1816</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row>
    <row r="53" spans="1:211" x14ac:dyDescent="0.35">
      <c r="A53" s="36" t="s">
        <v>1817</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row>
    <row r="54" spans="1:211" x14ac:dyDescent="0.35">
      <c r="A54" s="36" t="s">
        <v>1818</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row>
    <row r="55" spans="1:211" x14ac:dyDescent="0.35">
      <c r="A55" s="36" t="s">
        <v>1819</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row>
    <row r="56" spans="1:211" x14ac:dyDescent="0.35">
      <c r="A56" s="36" t="s">
        <v>1820</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5">
      <c r="A57" s="36" t="s">
        <v>1821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5">
      <c r="A58" s="36" t="s">
        <v>1822</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row>
    <row r="59" spans="1:211" x14ac:dyDescent="0.35">
      <c r="A59" s="36" t="s">
        <v>1823</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row>
    <row r="60" spans="1:211" x14ac:dyDescent="0.35">
      <c r="A60" s="36" t="s">
        <v>1824</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row>
    <row r="61" spans="1:211" x14ac:dyDescent="0.35">
      <c r="A61" s="36" t="s">
        <v>1825</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row>
    <row r="62" spans="1:211" x14ac:dyDescent="0.35">
      <c r="A62" s="36" t="s">
        <v>1826</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row>
    <row r="63" spans="1:211" x14ac:dyDescent="0.35">
      <c r="A63" s="36" t="s">
        <v>1827</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row>
    <row r="64" spans="1:211" x14ac:dyDescent="0.35">
      <c r="A64" s="36" t="s">
        <v>1828</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5">
      <c r="A65" s="36" t="s">
        <v>1829</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row>
    <row r="66" spans="1:211" x14ac:dyDescent="0.35">
      <c r="A66" s="36" t="s">
        <v>1830</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row>
    <row r="67" spans="1:211" x14ac:dyDescent="0.35">
      <c r="A67" s="36" t="s">
        <v>1831</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5">
      <c r="A68" s="36" t="s">
        <v>1832</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5">
      <c r="A69" s="36" t="s">
        <v>1833</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5">
      <c r="A70" s="36" t="s">
        <v>1834</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5">
      <c r="A71" s="36" t="s">
        <v>1835</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5">
      <c r="A72" s="36" t="s">
        <v>1836</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row>
    <row r="73" spans="1:211" x14ac:dyDescent="0.35">
      <c r="A73" s="36" t="s">
        <v>1837</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row>
    <row r="74" spans="1:211" x14ac:dyDescent="0.35">
      <c r="A74" s="36" t="s">
        <v>1838</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321636.33333333302</v>
      </c>
    </row>
    <row r="75" spans="1:211" x14ac:dyDescent="0.35">
      <c r="A75" s="36" t="s">
        <v>1839</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row>
    <row r="76" spans="1:211" x14ac:dyDescent="0.35">
      <c r="A76" s="36" t="s">
        <v>1840</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row>
    <row r="77" spans="1:211" x14ac:dyDescent="0.35">
      <c r="A77" s="36" t="s">
        <v>1841</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row>
    <row r="78" spans="1:211" x14ac:dyDescent="0.35">
      <c r="A78" s="36" t="s">
        <v>1842</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row>
    <row r="79" spans="1:211" x14ac:dyDescent="0.35">
      <c r="A79" s="36" t="s">
        <v>1843</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row>
    <row r="80" spans="1:211" x14ac:dyDescent="0.35">
      <c r="A80" s="36" t="s">
        <v>1844</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row>
    <row r="81" spans="1:211" x14ac:dyDescent="0.35">
      <c r="A81" s="36" t="s">
        <v>1845</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11122.3</v>
      </c>
    </row>
    <row r="82" spans="1:211" x14ac:dyDescent="0.35">
      <c r="A82" s="36" t="s">
        <v>1846</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row>
    <row r="83" spans="1:211" x14ac:dyDescent="0.35">
      <c r="A83" s="36" t="s">
        <v>1847</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row>
    <row r="84" spans="1:211" x14ac:dyDescent="0.35">
      <c r="A84" s="36" t="s">
        <v>1848</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row>
    <row r="85" spans="1:211" x14ac:dyDescent="0.35">
      <c r="A85" s="36" t="s">
        <v>1849</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row>
    <row r="86" spans="1:211" x14ac:dyDescent="0.35">
      <c r="A86" s="36" t="s">
        <v>1850</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35">
      <c r="A87" s="36" t="s">
        <v>1851</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149999999999999" customHeight="1" x14ac:dyDescent="0.35">
      <c r="A88" s="36" t="s">
        <v>1852</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row>
    <row r="89" spans="1:211" x14ac:dyDescent="0.35">
      <c r="A89" s="36" t="s">
        <v>1853</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16" zoomScale="109" workbookViewId="0">
      <selection activeCell="G18" sqref="G18"/>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7265625" customWidth="1"/>
  </cols>
  <sheetData>
    <row r="1" spans="1:11" x14ac:dyDescent="0.35">
      <c r="A1" s="60" t="s">
        <v>85</v>
      </c>
      <c r="B1" s="60" t="s">
        <v>86</v>
      </c>
      <c r="C1" s="60" t="s">
        <v>87</v>
      </c>
      <c r="D1" s="60" t="s">
        <v>88</v>
      </c>
      <c r="E1" s="60" t="s">
        <v>89</v>
      </c>
      <c r="F1" s="60" t="s">
        <v>90</v>
      </c>
    </row>
    <row r="2" spans="1:11" x14ac:dyDescent="0.35">
      <c r="C2" s="55" t="str">
        <f>'Haver Pivoted'!A1</f>
        <v>name</v>
      </c>
      <c r="D2" s="61" t="s">
        <v>1291</v>
      </c>
      <c r="E2" s="61" t="s">
        <v>1494</v>
      </c>
      <c r="F2" s="61"/>
      <c r="H2" s="62"/>
    </row>
    <row r="3" spans="1:11" x14ac:dyDescent="0.35">
      <c r="B3" s="55" t="s">
        <v>91</v>
      </c>
      <c r="C3" s="55" t="str">
        <f>'Haver Pivoted'!A2</f>
        <v>gdp</v>
      </c>
      <c r="D3">
        <v>24882.9</v>
      </c>
      <c r="E3" s="55">
        <f>'Haver Pivoted'!HC2</f>
        <v>25248.5</v>
      </c>
      <c r="F3" s="55">
        <f>E3-D3</f>
        <v>365.59999999999854</v>
      </c>
      <c r="G3" s="63">
        <f>F3/D3</f>
        <v>1.4692821174380741E-2</v>
      </c>
      <c r="H3" s="64"/>
    </row>
    <row r="4" spans="1:11" x14ac:dyDescent="0.35">
      <c r="B4" s="55" t="s">
        <v>92</v>
      </c>
      <c r="C4" s="55" t="str">
        <f>'Haver Pivoted'!A3</f>
        <v>gdph</v>
      </c>
      <c r="D4">
        <v>19699.5</v>
      </c>
      <c r="E4" s="55">
        <f>'Haver Pivoted'!HC3</f>
        <v>19895.3</v>
      </c>
      <c r="F4" s="55">
        <f t="shared" ref="F4:F67" si="0">E4-D4</f>
        <v>195.79999999999927</v>
      </c>
      <c r="G4" s="63">
        <f t="shared" ref="G4:G67" si="1">F4/D4</f>
        <v>9.9393385618923961E-3</v>
      </c>
      <c r="H4" s="64"/>
    </row>
    <row r="5" spans="1:11" x14ac:dyDescent="0.35">
      <c r="B5" s="55" t="s">
        <v>93</v>
      </c>
      <c r="C5" s="55" t="str">
        <f>'Haver Pivoted'!A4</f>
        <v>jgdp</v>
      </c>
      <c r="D5">
        <v>126.413</v>
      </c>
      <c r="E5" s="55">
        <f>'Haver Pivoted'!HC4</f>
        <v>126.914</v>
      </c>
      <c r="F5" s="55">
        <f t="shared" si="0"/>
        <v>0.50100000000000477</v>
      </c>
      <c r="G5" s="63">
        <f t="shared" si="1"/>
        <v>3.9631999873431115E-3</v>
      </c>
      <c r="H5" s="65"/>
    </row>
    <row r="6" spans="1:11" x14ac:dyDescent="0.35">
      <c r="B6" s="55" t="s">
        <v>94</v>
      </c>
      <c r="C6" s="55" t="str">
        <f>'Haver Pivoted'!A5</f>
        <v>c</v>
      </c>
      <c r="D6">
        <v>17019</v>
      </c>
      <c r="E6" s="55">
        <f>'Haver Pivoted'!HC5</f>
        <v>17261.3</v>
      </c>
      <c r="F6" s="55">
        <f t="shared" si="0"/>
        <v>242.29999999999927</v>
      </c>
      <c r="G6" s="63">
        <f t="shared" si="1"/>
        <v>1.4237029202655812E-2</v>
      </c>
    </row>
    <row r="7" spans="1:11" x14ac:dyDescent="0.35">
      <c r="B7" s="55" t="s">
        <v>95</v>
      </c>
      <c r="C7" s="55" t="str">
        <f>'Haver Pivoted'!A6</f>
        <v>ch</v>
      </c>
      <c r="D7">
        <v>13931.5</v>
      </c>
      <c r="E7" s="55">
        <f>'Haver Pivoted'!HC6</f>
        <v>14099.5</v>
      </c>
      <c r="F7" s="55">
        <f t="shared" si="0"/>
        <v>168</v>
      </c>
      <c r="G7" s="63">
        <f t="shared" si="1"/>
        <v>1.2059002978860854E-2</v>
      </c>
      <c r="K7" s="65"/>
    </row>
    <row r="8" spans="1:11" x14ac:dyDescent="0.35">
      <c r="B8" s="55" t="s">
        <v>96</v>
      </c>
      <c r="C8" s="55" t="str">
        <f>'Haver Pivoted'!A7</f>
        <v>jc</v>
      </c>
      <c r="D8">
        <v>122.18300000000001</v>
      </c>
      <c r="E8" s="55">
        <f>'Haver Pivoted'!HC7</f>
        <v>122.459</v>
      </c>
      <c r="F8" s="55">
        <f t="shared" si="0"/>
        <v>0.27599999999999625</v>
      </c>
      <c r="G8" s="63">
        <f t="shared" si="1"/>
        <v>2.2589067218843559E-3</v>
      </c>
    </row>
    <row r="9" spans="1:11" x14ac:dyDescent="0.35">
      <c r="B9" s="55" t="s">
        <v>97</v>
      </c>
      <c r="C9" s="55" t="str">
        <f>'Haver Pivoted'!A8</f>
        <v>jgf</v>
      </c>
      <c r="D9">
        <v>122.494</v>
      </c>
      <c r="E9" s="55">
        <f>'Haver Pivoted'!HC8</f>
        <v>120.95099999999999</v>
      </c>
      <c r="F9" s="55">
        <f t="shared" si="0"/>
        <v>-1.5430000000000064</v>
      </c>
      <c r="G9" s="63">
        <f t="shared" si="1"/>
        <v>-1.2596535340506526E-2</v>
      </c>
    </row>
    <row r="10" spans="1:11" x14ac:dyDescent="0.35">
      <c r="B10" s="55" t="s">
        <v>98</v>
      </c>
      <c r="C10" s="55" t="str">
        <f>'Haver Pivoted'!A9</f>
        <v>jgs</v>
      </c>
      <c r="D10">
        <v>134.387</v>
      </c>
      <c r="E10" s="55">
        <f>'Haver Pivoted'!HC9</f>
        <v>136.93</v>
      </c>
      <c r="F10" s="55">
        <f t="shared" si="0"/>
        <v>2.5430000000000064</v>
      </c>
      <c r="G10" s="63">
        <f t="shared" si="1"/>
        <v>1.8922961298339917E-2</v>
      </c>
    </row>
    <row r="11" spans="1:11" x14ac:dyDescent="0.35">
      <c r="B11" s="55" t="s">
        <v>99</v>
      </c>
      <c r="C11" s="55" t="str">
        <f>'Haver Pivoted'!A10</f>
        <v>jgse</v>
      </c>
      <c r="D11">
        <v>133.88200000000001</v>
      </c>
      <c r="E11" s="55">
        <f>'Haver Pivoted'!HC10</f>
        <v>136.744</v>
      </c>
      <c r="F11" s="55">
        <f t="shared" si="0"/>
        <v>2.8619999999999948</v>
      </c>
      <c r="G11" s="63">
        <f t="shared" si="1"/>
        <v>2.1377033507118167E-2</v>
      </c>
    </row>
    <row r="12" spans="1:11" x14ac:dyDescent="0.35">
      <c r="B12" s="55" t="s">
        <v>100</v>
      </c>
      <c r="C12" s="55" t="str">
        <f>'Haver Pivoted'!A11</f>
        <v>jgsi</v>
      </c>
      <c r="D12">
        <v>136.767</v>
      </c>
      <c r="E12" s="55">
        <f>'Haver Pivoted'!HC11</f>
        <v>137.82300000000001</v>
      </c>
      <c r="F12" s="55">
        <f t="shared" si="0"/>
        <v>1.0560000000000116</v>
      </c>
      <c r="G12" s="63">
        <f t="shared" si="1"/>
        <v>7.7211608063349462E-3</v>
      </c>
    </row>
    <row r="13" spans="1:11" x14ac:dyDescent="0.35">
      <c r="A13" s="55" t="s">
        <v>55</v>
      </c>
      <c r="B13" s="55" t="s">
        <v>55</v>
      </c>
      <c r="C13" s="55" t="str">
        <f>'Haver Pivoted'!A12</f>
        <v>yptmr</v>
      </c>
      <c r="D13">
        <v>865.9</v>
      </c>
      <c r="E13" s="55">
        <f>'Haver Pivoted'!HC12</f>
        <v>911.8</v>
      </c>
      <c r="F13" s="55">
        <f t="shared" si="0"/>
        <v>45.899999999999977</v>
      </c>
      <c r="G13" s="63">
        <f t="shared" si="1"/>
        <v>5.3008430534703749E-2</v>
      </c>
      <c r="I13" s="66"/>
    </row>
    <row r="14" spans="1:11" x14ac:dyDescent="0.35">
      <c r="A14" s="55" t="s">
        <v>54</v>
      </c>
      <c r="B14" s="55" t="s">
        <v>101</v>
      </c>
      <c r="C14" s="55" t="str">
        <f>'Haver Pivoted'!A13</f>
        <v>yptmd</v>
      </c>
      <c r="D14">
        <v>812.6</v>
      </c>
      <c r="E14" s="55">
        <f>'Haver Pivoted'!HC13</f>
        <v>789.5</v>
      </c>
      <c r="F14" s="55">
        <f t="shared" si="0"/>
        <v>-23.100000000000023</v>
      </c>
      <c r="G14" s="63">
        <f t="shared" si="1"/>
        <v>-2.84272704897859E-2</v>
      </c>
    </row>
    <row r="15" spans="1:11" x14ac:dyDescent="0.35">
      <c r="A15" s="55" t="s">
        <v>53</v>
      </c>
      <c r="B15" s="55" t="s">
        <v>102</v>
      </c>
      <c r="C15" s="55" t="str">
        <f>'Haver Pivoted'!A14</f>
        <v>yptu</v>
      </c>
      <c r="D15">
        <v>20</v>
      </c>
      <c r="E15" s="55">
        <f>'Haver Pivoted'!HC14</f>
        <v>18.600000000000001</v>
      </c>
      <c r="F15" s="55">
        <f t="shared" si="0"/>
        <v>-1.3999999999999986</v>
      </c>
      <c r="G15" s="63">
        <f t="shared" si="1"/>
        <v>-6.9999999999999923E-2</v>
      </c>
    </row>
    <row r="16" spans="1:11" x14ac:dyDescent="0.35">
      <c r="B16" s="55" t="s">
        <v>57</v>
      </c>
      <c r="C16" s="55" t="str">
        <f>'Haver Pivoted'!A15</f>
        <v>gtfp</v>
      </c>
      <c r="D16">
        <v>3841</v>
      </c>
      <c r="E16" s="55">
        <f>'Haver Pivoted'!HC15</f>
        <v>3809.1</v>
      </c>
      <c r="F16" s="55">
        <f t="shared" si="0"/>
        <v>-31.900000000000091</v>
      </c>
      <c r="G16" s="63">
        <f t="shared" si="1"/>
        <v>-8.3051288726894278E-3</v>
      </c>
    </row>
    <row r="17" spans="1:7" x14ac:dyDescent="0.35">
      <c r="B17" s="55" t="s">
        <v>103</v>
      </c>
      <c r="C17" s="55" t="str">
        <f>'Haver Pivoted'!A16</f>
        <v>ypog</v>
      </c>
      <c r="D17">
        <v>119.2</v>
      </c>
      <c r="E17" s="55">
        <f>'Haver Pivoted'!HC16</f>
        <v>115.4</v>
      </c>
      <c r="F17" s="55">
        <f t="shared" si="0"/>
        <v>-3.7999999999999972</v>
      </c>
      <c r="G17" s="63">
        <f t="shared" si="1"/>
        <v>-3.1879194630872458E-2</v>
      </c>
    </row>
    <row r="18" spans="1:7" x14ac:dyDescent="0.35">
      <c r="B18" s="55" t="s">
        <v>104</v>
      </c>
      <c r="C18" s="55" t="str">
        <f>'Haver Pivoted'!A17</f>
        <v>yptx</v>
      </c>
      <c r="D18">
        <v>3127</v>
      </c>
      <c r="E18" s="55">
        <f>'Haver Pivoted'!HC17</f>
        <v>3197.9</v>
      </c>
      <c r="F18" s="55">
        <f t="shared" si="0"/>
        <v>70.900000000000091</v>
      </c>
      <c r="G18" s="63">
        <f t="shared" si="1"/>
        <v>2.267348896706111E-2</v>
      </c>
    </row>
    <row r="19" spans="1:7" x14ac:dyDescent="0.35">
      <c r="B19" s="55" t="s">
        <v>105</v>
      </c>
      <c r="C19" s="55" t="str">
        <f>'Haver Pivoted'!A18</f>
        <v>ytpi</v>
      </c>
      <c r="D19">
        <v>1773.9</v>
      </c>
      <c r="E19" s="55">
        <f>'Haver Pivoted'!HC18</f>
        <v>1775.5</v>
      </c>
      <c r="F19" s="55">
        <f t="shared" si="0"/>
        <v>1.5999999999999091</v>
      </c>
      <c r="G19" s="63">
        <f t="shared" si="1"/>
        <v>9.0196741642703027E-4</v>
      </c>
    </row>
    <row r="20" spans="1:7" x14ac:dyDescent="0.35">
      <c r="B20" s="55" t="s">
        <v>106</v>
      </c>
      <c r="C20" s="55" t="str">
        <f>'Haver Pivoted'!A19</f>
        <v>yctlg</v>
      </c>
      <c r="D20">
        <v>413.6</v>
      </c>
      <c r="E20" s="55">
        <f>'Haver Pivoted'!HC19</f>
        <v>463</v>
      </c>
      <c r="F20" s="55">
        <f t="shared" si="0"/>
        <v>49.399999999999977</v>
      </c>
      <c r="G20" s="63">
        <f t="shared" si="1"/>
        <v>0.11943907156673109</v>
      </c>
    </row>
    <row r="21" spans="1:7" x14ac:dyDescent="0.35">
      <c r="B21" s="55" t="s">
        <v>107</v>
      </c>
      <c r="C21" s="55" t="str">
        <f>'Haver Pivoted'!A20</f>
        <v>g</v>
      </c>
      <c r="D21">
        <v>4304.2</v>
      </c>
      <c r="E21" s="55">
        <f>'Haver Pivoted'!HC20</f>
        <v>4412.8</v>
      </c>
      <c r="F21" s="55">
        <f t="shared" si="0"/>
        <v>108.60000000000036</v>
      </c>
      <c r="G21" s="63">
        <f t="shared" si="1"/>
        <v>2.5231169555318147E-2</v>
      </c>
    </row>
    <row r="22" spans="1:7" x14ac:dyDescent="0.35">
      <c r="B22" s="55" t="s">
        <v>108</v>
      </c>
      <c r="C22" s="55" t="str">
        <f>'Haver Pivoted'!A21</f>
        <v>grcsi</v>
      </c>
      <c r="D22">
        <v>1734.4</v>
      </c>
      <c r="E22" s="55">
        <f>'Haver Pivoted'!HC21</f>
        <v>1666.8</v>
      </c>
      <c r="F22" s="55">
        <f t="shared" si="0"/>
        <v>-67.600000000000136</v>
      </c>
      <c r="G22" s="63">
        <f t="shared" si="1"/>
        <v>-3.8976014760147677E-2</v>
      </c>
    </row>
    <row r="23" spans="1:7" x14ac:dyDescent="0.35">
      <c r="B23" s="55" t="s">
        <v>96</v>
      </c>
      <c r="C23" s="55" t="str">
        <f>'Haver Pivoted'!A22</f>
        <v>dc</v>
      </c>
      <c r="D23">
        <v>122.163</v>
      </c>
      <c r="E23" s="55">
        <f>'Haver Pivoted'!HC22</f>
        <v>122.426</v>
      </c>
      <c r="F23" s="55">
        <f t="shared" si="0"/>
        <v>0.26300000000000523</v>
      </c>
      <c r="G23" s="63">
        <f t="shared" si="1"/>
        <v>2.1528613409952705E-3</v>
      </c>
    </row>
    <row r="24" spans="1:7" x14ac:dyDescent="0.35">
      <c r="A24" s="55" t="s">
        <v>109</v>
      </c>
      <c r="B24" s="55" t="s">
        <v>110</v>
      </c>
      <c r="C24" s="55" t="str">
        <f>'Haver Pivoted'!A23</f>
        <v>gf</v>
      </c>
      <c r="D24">
        <v>1578</v>
      </c>
      <c r="E24" s="55">
        <f>'Haver Pivoted'!HC23</f>
        <v>1622.7</v>
      </c>
      <c r="F24" s="55">
        <f t="shared" si="0"/>
        <v>44.700000000000045</v>
      </c>
      <c r="G24" s="63">
        <f t="shared" si="1"/>
        <v>2.8326996197718661E-2</v>
      </c>
    </row>
    <row r="25" spans="1:7" x14ac:dyDescent="0.35">
      <c r="A25" s="55" t="s">
        <v>109</v>
      </c>
      <c r="B25" s="55" t="s">
        <v>111</v>
      </c>
      <c r="C25" s="55" t="str">
        <f>'Haver Pivoted'!A24</f>
        <v>gs</v>
      </c>
      <c r="D25">
        <v>2726.3</v>
      </c>
      <c r="E25" s="55">
        <f>'Haver Pivoted'!HC24</f>
        <v>2790</v>
      </c>
      <c r="F25" s="55">
        <f t="shared" si="0"/>
        <v>63.699999999999818</v>
      </c>
      <c r="G25" s="63">
        <f t="shared" si="1"/>
        <v>2.3365000183398679E-2</v>
      </c>
    </row>
    <row r="26" spans="1:7" x14ac:dyDescent="0.35">
      <c r="B26" s="55" t="s">
        <v>112</v>
      </c>
      <c r="C26" s="55" t="str">
        <f>'Haver Pivoted'!A25</f>
        <v>gfh</v>
      </c>
      <c r="D26">
        <v>1288.2</v>
      </c>
      <c r="E26" s="55">
        <f>'Haver Pivoted'!HC25</f>
        <v>1341.3</v>
      </c>
      <c r="F26" s="55">
        <f t="shared" si="0"/>
        <v>53.099999999999909</v>
      </c>
      <c r="G26" s="63">
        <f t="shared" si="1"/>
        <v>4.1220307405682277E-2</v>
      </c>
    </row>
    <row r="27" spans="1:7" x14ac:dyDescent="0.35">
      <c r="B27" s="55" t="s">
        <v>113</v>
      </c>
      <c r="C27" s="55" t="str">
        <f>'Haver Pivoted'!A26</f>
        <v>gsh</v>
      </c>
      <c r="D27">
        <v>2028.7</v>
      </c>
      <c r="E27" s="55">
        <f>'Haver Pivoted'!HC26</f>
        <v>2037.8</v>
      </c>
      <c r="F27" s="55">
        <f t="shared" si="0"/>
        <v>9.0999999999999091</v>
      </c>
      <c r="G27" s="63">
        <f t="shared" si="1"/>
        <v>4.48563119238917E-3</v>
      </c>
    </row>
    <row r="28" spans="1:7" x14ac:dyDescent="0.35">
      <c r="A28" s="55" t="s">
        <v>58</v>
      </c>
      <c r="B28" s="55" t="s">
        <v>114</v>
      </c>
      <c r="C28" s="55" t="s">
        <v>115</v>
      </c>
      <c r="D28">
        <v>2447</v>
      </c>
      <c r="E28" s="55">
        <f>'Haver Pivoted'!HC27</f>
        <v>2608.1</v>
      </c>
      <c r="F28" s="55">
        <f t="shared" si="0"/>
        <v>161.09999999999991</v>
      </c>
      <c r="G28" s="63">
        <f t="shared" si="1"/>
        <v>6.5835717204740463E-2</v>
      </c>
    </row>
    <row r="29" spans="1:7" x14ac:dyDescent="0.35">
      <c r="A29" s="55" t="s">
        <v>58</v>
      </c>
      <c r="B29" s="55" t="s">
        <v>116</v>
      </c>
      <c r="C29" s="55" t="s">
        <v>117</v>
      </c>
      <c r="D29">
        <v>200.3</v>
      </c>
      <c r="E29" s="55">
        <f>'Haver Pivoted'!HC28</f>
        <v>209.4</v>
      </c>
      <c r="F29" s="55">
        <f t="shared" si="0"/>
        <v>9.0999999999999943</v>
      </c>
      <c r="G29" s="63">
        <f t="shared" si="1"/>
        <v>4.5431852221667471E-2</v>
      </c>
    </row>
    <row r="30" spans="1:7" x14ac:dyDescent="0.35">
      <c r="A30" s="55" t="s">
        <v>58</v>
      </c>
      <c r="B30" s="55" t="s">
        <v>118</v>
      </c>
      <c r="C30" s="55" t="s">
        <v>119</v>
      </c>
      <c r="D30">
        <v>294.2</v>
      </c>
      <c r="E30" s="55">
        <f>'Haver Pivoted'!HC29</f>
        <v>353.2</v>
      </c>
      <c r="F30" s="55">
        <f t="shared" si="0"/>
        <v>59</v>
      </c>
      <c r="G30" s="63">
        <f t="shared" si="1"/>
        <v>0.20054384772263767</v>
      </c>
    </row>
    <row r="31" spans="1:7" x14ac:dyDescent="0.35">
      <c r="A31" s="55" t="s">
        <v>58</v>
      </c>
      <c r="B31" s="55" t="s">
        <v>120</v>
      </c>
      <c r="C31" s="55" t="s">
        <v>121</v>
      </c>
      <c r="D31">
        <v>1711.7</v>
      </c>
      <c r="E31" s="55">
        <f>'Haver Pivoted'!HC30</f>
        <v>1643.2</v>
      </c>
      <c r="F31" s="55">
        <f t="shared" si="0"/>
        <v>-68.5</v>
      </c>
      <c r="G31" s="63">
        <f t="shared" si="1"/>
        <v>-4.0018694864754338E-2</v>
      </c>
    </row>
    <row r="32" spans="1:7" x14ac:dyDescent="0.35">
      <c r="A32" s="55" t="s">
        <v>122</v>
      </c>
      <c r="B32" s="55" t="s">
        <v>123</v>
      </c>
      <c r="C32" s="55" t="str">
        <f>'Haver Pivoted'!A31</f>
        <v>gftfp</v>
      </c>
      <c r="D32">
        <v>2870</v>
      </c>
      <c r="E32" s="55">
        <f>'Haver Pivoted'!HC31</f>
        <v>2846.5</v>
      </c>
      <c r="F32" s="55">
        <f t="shared" si="0"/>
        <v>-23.5</v>
      </c>
      <c r="G32" s="63">
        <f t="shared" si="1"/>
        <v>-8.188153310104529E-3</v>
      </c>
    </row>
    <row r="33" spans="1:10" x14ac:dyDescent="0.35">
      <c r="A33" s="55" t="s">
        <v>51</v>
      </c>
      <c r="B33" s="54" t="s">
        <v>124</v>
      </c>
      <c r="C33" s="55" t="str">
        <f>'Haver Pivoted'!A32</f>
        <v>gfeg</v>
      </c>
      <c r="D33">
        <v>936.8</v>
      </c>
      <c r="E33" s="55">
        <f>'Haver Pivoted'!HC32</f>
        <v>960.5</v>
      </c>
      <c r="F33" s="55">
        <f t="shared" si="0"/>
        <v>23.700000000000045</v>
      </c>
      <c r="G33" s="63">
        <f t="shared" si="1"/>
        <v>2.5298889837745565E-2</v>
      </c>
    </row>
    <row r="34" spans="1:10" x14ac:dyDescent="0.35">
      <c r="A34" s="55" t="s">
        <v>58</v>
      </c>
      <c r="B34" s="55" t="s">
        <v>125</v>
      </c>
      <c r="C34" s="55" t="str">
        <f>'Haver Pivoted'!A33</f>
        <v>gsrpt</v>
      </c>
      <c r="D34">
        <v>680</v>
      </c>
      <c r="E34" s="55">
        <f>'Haver Pivoted'!HC33</f>
        <v>589.79999999999995</v>
      </c>
      <c r="F34" s="55">
        <f t="shared" si="0"/>
        <v>-90.200000000000045</v>
      </c>
      <c r="G34" s="63">
        <f t="shared" si="1"/>
        <v>-0.13264705882352948</v>
      </c>
    </row>
    <row r="35" spans="1:10" x14ac:dyDescent="0.35">
      <c r="A35" s="55" t="s">
        <v>58</v>
      </c>
      <c r="B35" s="55" t="s">
        <v>126</v>
      </c>
      <c r="C35" s="55" t="str">
        <f>'Haver Pivoted'!A34</f>
        <v>gsrpri</v>
      </c>
      <c r="D35">
        <v>1573.6</v>
      </c>
      <c r="E35" s="55">
        <f>'Haver Pivoted'!HC34</f>
        <v>1566.1</v>
      </c>
      <c r="F35" s="55">
        <f t="shared" si="0"/>
        <v>-7.5</v>
      </c>
      <c r="G35" s="63">
        <f t="shared" si="1"/>
        <v>-4.7661413319776309E-3</v>
      </c>
    </row>
    <row r="36" spans="1:10" x14ac:dyDescent="0.35">
      <c r="A36" s="55" t="s">
        <v>58</v>
      </c>
      <c r="B36" s="55" t="s">
        <v>127</v>
      </c>
      <c r="C36" s="55" t="str">
        <f>'Haver Pivoted'!A35</f>
        <v>gsrcp</v>
      </c>
      <c r="D36">
        <v>119.5</v>
      </c>
      <c r="E36" s="55">
        <f>'Haver Pivoted'!HC35</f>
        <v>109.8</v>
      </c>
      <c r="F36" s="55">
        <f t="shared" si="0"/>
        <v>-9.7000000000000028</v>
      </c>
      <c r="G36" s="63">
        <f t="shared" si="1"/>
        <v>-8.1171548117154838E-2</v>
      </c>
    </row>
    <row r="37" spans="1:10" x14ac:dyDescent="0.35">
      <c r="A37" s="55" t="s">
        <v>58</v>
      </c>
      <c r="B37" s="55" t="s">
        <v>128</v>
      </c>
      <c r="C37" s="55" t="str">
        <f>'Haver Pivoted'!A36</f>
        <v>gsrs</v>
      </c>
      <c r="D37">
        <v>22.7</v>
      </c>
      <c r="E37" s="55">
        <f>'Haver Pivoted'!HC36</f>
        <v>23.6</v>
      </c>
      <c r="F37" s="55">
        <f t="shared" si="0"/>
        <v>0.90000000000000213</v>
      </c>
      <c r="G37" s="63">
        <f t="shared" si="1"/>
        <v>3.9647577092511106E-2</v>
      </c>
    </row>
    <row r="38" spans="1:10" x14ac:dyDescent="0.35">
      <c r="A38" s="55" t="s">
        <v>57</v>
      </c>
      <c r="B38" s="55" t="s">
        <v>129</v>
      </c>
      <c r="C38" s="55" t="str">
        <f>'Haver Pivoted'!A37</f>
        <v>gstfp</v>
      </c>
      <c r="D38">
        <v>971</v>
      </c>
      <c r="E38" s="55">
        <f>'Haver Pivoted'!HC37</f>
        <v>962.7</v>
      </c>
      <c r="F38" s="55">
        <f t="shared" si="0"/>
        <v>-8.2999999999999545</v>
      </c>
      <c r="G38" s="63">
        <f t="shared" si="1"/>
        <v>-8.5478887744592728E-3</v>
      </c>
    </row>
    <row r="39" spans="1:10" x14ac:dyDescent="0.35">
      <c r="B39" s="55" t="s">
        <v>130</v>
      </c>
      <c r="C39" s="55" t="str">
        <f>'Haver Pivoted'!A38</f>
        <v>gset</v>
      </c>
      <c r="D39">
        <v>3634.1</v>
      </c>
      <c r="E39" s="55">
        <f>'Haver Pivoted'!HC38</f>
        <v>3677.7</v>
      </c>
      <c r="F39" s="55">
        <f t="shared" si="0"/>
        <v>43.599999999999909</v>
      </c>
      <c r="G39" s="63">
        <f t="shared" si="1"/>
        <v>1.1997468424093974E-2</v>
      </c>
    </row>
    <row r="40" spans="1:10" x14ac:dyDescent="0.35">
      <c r="B40" s="55" t="s">
        <v>131</v>
      </c>
      <c r="C40" s="55" t="str">
        <f>'Haver Pivoted'!A39</f>
        <v>gfeghhx</v>
      </c>
      <c r="D40">
        <v>619.45399999999995</v>
      </c>
      <c r="E40" s="55">
        <f>'Haver Pivoted'!HC39</f>
        <v>630.83399999999995</v>
      </c>
      <c r="F40" s="55">
        <f t="shared" si="0"/>
        <v>11.379999999999995</v>
      </c>
      <c r="G40" s="63">
        <f t="shared" si="1"/>
        <v>1.8371017056956606E-2</v>
      </c>
    </row>
    <row r="41" spans="1:10" x14ac:dyDescent="0.35">
      <c r="A41" s="55" t="s">
        <v>132</v>
      </c>
      <c r="B41" s="55" t="s">
        <v>133</v>
      </c>
      <c r="C41" s="55" t="str">
        <f>'Haver Pivoted'!A40</f>
        <v>gfeghdx</v>
      </c>
      <c r="D41">
        <v>576.01</v>
      </c>
      <c r="E41" s="55">
        <f>'Haver Pivoted'!HC40</f>
        <v>590.13</v>
      </c>
      <c r="F41" s="55">
        <f t="shared" si="0"/>
        <v>14.120000000000005</v>
      </c>
      <c r="G41" s="63">
        <f t="shared" si="1"/>
        <v>2.4513463307928689E-2</v>
      </c>
    </row>
    <row r="42" spans="1:10" x14ac:dyDescent="0.35">
      <c r="A42" s="55" t="s">
        <v>51</v>
      </c>
      <c r="B42" s="55" t="s">
        <v>134</v>
      </c>
      <c r="C42" s="55" t="str">
        <f>'Haver Pivoted'!A41</f>
        <v>gfeigx</v>
      </c>
      <c r="D42">
        <v>440.35500000000002</v>
      </c>
      <c r="E42" s="55">
        <f>'Haver Pivoted'!HC41</f>
        <v>436.40499999999997</v>
      </c>
      <c r="F42" s="55">
        <f t="shared" si="0"/>
        <v>-3.9500000000000455</v>
      </c>
      <c r="G42" s="63">
        <f t="shared" si="1"/>
        <v>-8.9700355395080002E-3</v>
      </c>
    </row>
    <row r="43" spans="1:10" x14ac:dyDescent="0.35">
      <c r="B43" s="55" t="s">
        <v>135</v>
      </c>
      <c r="C43" s="55" t="str">
        <f>'Haver Pivoted'!A42</f>
        <v>gfsub</v>
      </c>
      <c r="D43">
        <v>157.69999999999999</v>
      </c>
      <c r="E43" s="55">
        <f>'Haver Pivoted'!HC42</f>
        <v>122.9</v>
      </c>
      <c r="F43" s="55">
        <f t="shared" si="0"/>
        <v>-34.799999999999983</v>
      </c>
      <c r="G43" s="63">
        <f t="shared" si="1"/>
        <v>-0.22067216233354461</v>
      </c>
      <c r="I43" s="67"/>
      <c r="J43" s="64"/>
    </row>
    <row r="44" spans="1:10" x14ac:dyDescent="0.35">
      <c r="B44" s="55" t="s">
        <v>136</v>
      </c>
      <c r="C44" s="55" t="str">
        <f>'Haver Pivoted'!A43</f>
        <v>gssub</v>
      </c>
      <c r="D44">
        <v>0.7</v>
      </c>
      <c r="E44" s="55">
        <f>'Haver Pivoted'!HC43</f>
        <v>0.7</v>
      </c>
      <c r="F44" s="55">
        <f t="shared" si="0"/>
        <v>0</v>
      </c>
      <c r="G44" s="63">
        <f t="shared" si="1"/>
        <v>0</v>
      </c>
      <c r="I44" s="56"/>
      <c r="J44" s="64"/>
    </row>
    <row r="45" spans="1:10" x14ac:dyDescent="0.35">
      <c r="B45" s="55" t="s">
        <v>52</v>
      </c>
      <c r="C45" s="55" t="str">
        <f>'Haver Pivoted'!A44</f>
        <v>gsub</v>
      </c>
      <c r="D45">
        <v>158.4</v>
      </c>
      <c r="E45" s="55">
        <f>'Haver Pivoted'!HC44</f>
        <v>123.5</v>
      </c>
      <c r="F45" s="55">
        <f t="shared" si="0"/>
        <v>-34.900000000000006</v>
      </c>
      <c r="G45" s="63">
        <f t="shared" si="1"/>
        <v>-0.22032828282828285</v>
      </c>
      <c r="I45" s="56"/>
      <c r="J45" s="65"/>
    </row>
    <row r="46" spans="1:10" x14ac:dyDescent="0.35">
      <c r="A46" s="55" t="s">
        <v>56</v>
      </c>
      <c r="B46" s="55" t="s">
        <v>56</v>
      </c>
      <c r="C46" s="55" t="str">
        <f>'Haver Pivoted'!A45</f>
        <v>gftfpe</v>
      </c>
      <c r="D46">
        <v>0</v>
      </c>
      <c r="E46" s="55">
        <f>'Haver Pivoted'!HC45</f>
        <v>0</v>
      </c>
      <c r="F46" s="55">
        <f t="shared" si="0"/>
        <v>0</v>
      </c>
      <c r="G46" s="63" t="e">
        <f t="shared" si="1"/>
        <v>#DIV/0!</v>
      </c>
      <c r="I46" s="56"/>
      <c r="J46" s="65"/>
    </row>
    <row r="47" spans="1:10" x14ac:dyDescent="0.35">
      <c r="B47" s="55" t="s">
        <v>137</v>
      </c>
      <c r="C47" s="55" t="str">
        <f>'Haver Pivoted'!A46</f>
        <v>gftfpr</v>
      </c>
      <c r="D47">
        <v>6.9</v>
      </c>
      <c r="E47" s="55">
        <f>'Haver Pivoted'!HC46</f>
        <v>7.9</v>
      </c>
      <c r="F47" s="55">
        <f t="shared" si="0"/>
        <v>1</v>
      </c>
      <c r="G47" s="63">
        <f t="shared" si="1"/>
        <v>0.14492753623188406</v>
      </c>
      <c r="I47" s="56"/>
      <c r="J47" s="65"/>
    </row>
    <row r="48" spans="1:10" x14ac:dyDescent="0.35">
      <c r="A48" s="55" t="s">
        <v>50</v>
      </c>
      <c r="B48" s="55" t="s">
        <v>138</v>
      </c>
      <c r="C48" s="55" t="str">
        <f>'Haver Pivoted'!A47</f>
        <v>gftfpp</v>
      </c>
      <c r="D48">
        <v>0</v>
      </c>
      <c r="E48" s="55">
        <f>'Haver Pivoted'!HC47</f>
        <v>0</v>
      </c>
      <c r="F48" s="55">
        <f t="shared" si="0"/>
        <v>0</v>
      </c>
      <c r="G48" s="63" t="e">
        <f t="shared" si="1"/>
        <v>#DIV/0!</v>
      </c>
      <c r="J48" s="65"/>
    </row>
    <row r="49" spans="1:9" x14ac:dyDescent="0.35">
      <c r="A49" s="55" t="s">
        <v>49</v>
      </c>
      <c r="B49" s="55" t="s">
        <v>139</v>
      </c>
      <c r="C49" s="55" t="str">
        <f>'Haver Pivoted'!A48</f>
        <v>gftfpv</v>
      </c>
      <c r="D49">
        <v>44.2</v>
      </c>
      <c r="E49" s="55">
        <f>'Haver Pivoted'!HC48</f>
        <v>20</v>
      </c>
      <c r="F49" s="55">
        <f t="shared" si="0"/>
        <v>-24.200000000000003</v>
      </c>
      <c r="G49" s="63">
        <f t="shared" si="1"/>
        <v>-0.54751131221719462</v>
      </c>
      <c r="H49" s="57"/>
      <c r="I49" s="57"/>
    </row>
    <row r="50" spans="1:9" x14ac:dyDescent="0.35">
      <c r="A50" s="55" t="s">
        <v>140</v>
      </c>
      <c r="B50" s="52" t="s">
        <v>141</v>
      </c>
      <c r="C50" s="55" t="str">
        <f>'Haver Pivoted'!A49</f>
        <v>gfsubp</v>
      </c>
      <c r="D50">
        <v>0</v>
      </c>
      <c r="E50" s="55">
        <f>'Haver Pivoted'!HC49</f>
        <v>0</v>
      </c>
      <c r="F50" s="55">
        <f t="shared" si="0"/>
        <v>0</v>
      </c>
      <c r="G50" s="63" t="e">
        <f t="shared" si="1"/>
        <v>#DIV/0!</v>
      </c>
      <c r="H50" s="70"/>
      <c r="I50" s="71"/>
    </row>
    <row r="51" spans="1:9" x14ac:dyDescent="0.35">
      <c r="A51" s="55" t="s">
        <v>52</v>
      </c>
      <c r="B51" s="52" t="s">
        <v>142</v>
      </c>
      <c r="C51" s="55" t="str">
        <f>'Haver Pivoted'!A50</f>
        <v>gfsubg</v>
      </c>
      <c r="D51">
        <v>0.2</v>
      </c>
      <c r="E51" s="55">
        <f>'Haver Pivoted'!HC50</f>
        <v>0.2</v>
      </c>
      <c r="F51" s="55">
        <f t="shared" si="0"/>
        <v>0</v>
      </c>
      <c r="G51" s="63">
        <f t="shared" si="1"/>
        <v>0</v>
      </c>
      <c r="H51" s="69"/>
      <c r="I51" s="68"/>
    </row>
    <row r="52" spans="1:9" x14ac:dyDescent="0.35">
      <c r="A52" s="55" t="s">
        <v>52</v>
      </c>
      <c r="B52" s="52" t="s">
        <v>143</v>
      </c>
      <c r="C52" s="55" t="str">
        <f>'Haver Pivoted'!A51</f>
        <v>gfsube</v>
      </c>
      <c r="D52">
        <v>0</v>
      </c>
      <c r="E52" s="55">
        <f>'Haver Pivoted'!HC51</f>
        <v>0</v>
      </c>
      <c r="F52" s="55">
        <f t="shared" si="0"/>
        <v>0</v>
      </c>
      <c r="G52" s="63" t="e">
        <f t="shared" si="1"/>
        <v>#DIV/0!</v>
      </c>
      <c r="H52" s="51"/>
      <c r="I52" s="71"/>
    </row>
    <row r="53" spans="1:9" x14ac:dyDescent="0.35">
      <c r="A53" s="55" t="s">
        <v>52</v>
      </c>
      <c r="B53" s="52" t="s">
        <v>144</v>
      </c>
      <c r="C53" s="55" t="str">
        <f>'Haver Pivoted'!A52</f>
        <v>gfsubs</v>
      </c>
      <c r="D53">
        <v>19</v>
      </c>
      <c r="E53" s="55">
        <f>'Haver Pivoted'!HC52</f>
        <v>22.3</v>
      </c>
      <c r="F53" s="55">
        <f t="shared" si="0"/>
        <v>3.3000000000000007</v>
      </c>
      <c r="G53" s="63">
        <f t="shared" si="1"/>
        <v>0.17368421052631583</v>
      </c>
      <c r="H53" s="51"/>
      <c r="I53" s="71"/>
    </row>
    <row r="54" spans="1:9" x14ac:dyDescent="0.35">
      <c r="A54" s="55" t="s">
        <v>52</v>
      </c>
      <c r="B54" s="52" t="s">
        <v>145</v>
      </c>
      <c r="C54" s="55" t="str">
        <f>'Haver Pivoted'!A53</f>
        <v>gfsubf</v>
      </c>
      <c r="D54">
        <v>0</v>
      </c>
      <c r="E54" s="55">
        <f>'Haver Pivoted'!HC53</f>
        <v>0</v>
      </c>
      <c r="F54" s="55">
        <f t="shared" si="0"/>
        <v>0</v>
      </c>
      <c r="G54" s="63" t="e">
        <f t="shared" si="1"/>
        <v>#DIV/0!</v>
      </c>
      <c r="H54" s="70"/>
      <c r="I54" s="71"/>
    </row>
    <row r="55" spans="1:9" x14ac:dyDescent="0.35">
      <c r="A55" s="55" t="s">
        <v>146</v>
      </c>
      <c r="B55" s="52" t="s">
        <v>147</v>
      </c>
      <c r="C55" s="55" t="str">
        <f>'Haver Pivoted'!A54</f>
        <v>gfsubv</v>
      </c>
      <c r="D55">
        <v>26</v>
      </c>
      <c r="E55" s="55">
        <f>'Haver Pivoted'!HC54</f>
        <v>14.4</v>
      </c>
      <c r="F55" s="55">
        <f t="shared" si="0"/>
        <v>-11.6</v>
      </c>
      <c r="G55" s="63">
        <f t="shared" si="1"/>
        <v>-0.44615384615384612</v>
      </c>
    </row>
    <row r="56" spans="1:9" x14ac:dyDescent="0.35">
      <c r="A56" s="55" t="s">
        <v>52</v>
      </c>
      <c r="B56" s="52" t="s">
        <v>148</v>
      </c>
      <c r="C56" s="55" t="str">
        <f>'Haver Pivoted'!A55</f>
        <v>gfsubk</v>
      </c>
      <c r="D56">
        <v>0</v>
      </c>
      <c r="E56" s="55">
        <f>'Haver Pivoted'!HC55</f>
        <v>0</v>
      </c>
      <c r="F56" s="55">
        <f t="shared" si="0"/>
        <v>0</v>
      </c>
      <c r="G56" s="63" t="e">
        <f t="shared" si="1"/>
        <v>#DIV/0!</v>
      </c>
      <c r="H56" s="70"/>
      <c r="I56" s="71"/>
    </row>
    <row r="57" spans="1:9" x14ac:dyDescent="0.35">
      <c r="A57" s="55" t="s">
        <v>51</v>
      </c>
      <c r="B57" s="54" t="s">
        <v>149</v>
      </c>
      <c r="C57" s="55" t="str">
        <f>'Haver Pivoted'!A56</f>
        <v>gfegc</v>
      </c>
      <c r="D57">
        <v>0</v>
      </c>
      <c r="E57" s="55">
        <f>'Haver Pivoted'!HC56</f>
        <v>0</v>
      </c>
      <c r="F57" s="55">
        <f t="shared" si="0"/>
        <v>0</v>
      </c>
      <c r="G57" s="63"/>
      <c r="H57" s="70"/>
      <c r="I57" s="71"/>
    </row>
    <row r="58" spans="1:9" x14ac:dyDescent="0.35">
      <c r="A58" s="55" t="s">
        <v>51</v>
      </c>
      <c r="B58" s="54" t="s">
        <v>150</v>
      </c>
      <c r="C58" s="55" t="str">
        <f>'Haver Pivoted'!A57</f>
        <v>gfege</v>
      </c>
      <c r="D58">
        <v>85.9</v>
      </c>
      <c r="E58" s="55">
        <f>'Haver Pivoted'!HC57</f>
        <v>85.9</v>
      </c>
      <c r="F58" s="55">
        <f t="shared" si="0"/>
        <v>0</v>
      </c>
      <c r="G58" s="63">
        <f t="shared" si="1"/>
        <v>0</v>
      </c>
      <c r="H58" s="70"/>
      <c r="I58" s="71"/>
    </row>
    <row r="59" spans="1:9" x14ac:dyDescent="0.35">
      <c r="A59" s="55" t="s">
        <v>151</v>
      </c>
      <c r="B59" s="54" t="s">
        <v>152</v>
      </c>
      <c r="C59" s="55" t="str">
        <f>'Haver Pivoted'!A58</f>
        <v>gfegv</v>
      </c>
      <c r="D59">
        <v>17.600000000000001</v>
      </c>
      <c r="E59" s="55">
        <f>'Haver Pivoted'!HC58</f>
        <v>11.2</v>
      </c>
      <c r="F59" s="55">
        <f t="shared" si="0"/>
        <v>-6.4000000000000021</v>
      </c>
      <c r="G59" s="63">
        <f t="shared" si="1"/>
        <v>-0.3636363636363637</v>
      </c>
    </row>
    <row r="60" spans="1:9" x14ac:dyDescent="0.35">
      <c r="A60" s="55" t="s">
        <v>53</v>
      </c>
      <c r="B60" s="55" t="s">
        <v>153</v>
      </c>
      <c r="C60" s="55" t="str">
        <f>'Haver Pivoted'!A59</f>
        <v>yptue</v>
      </c>
      <c r="D60">
        <v>0.7</v>
      </c>
      <c r="E60" s="55">
        <f>'Haver Pivoted'!HC59</f>
        <v>0.5</v>
      </c>
      <c r="F60" s="55">
        <f t="shared" si="0"/>
        <v>-0.19999999999999996</v>
      </c>
      <c r="G60" s="63">
        <f t="shared" si="1"/>
        <v>-0.28571428571428564</v>
      </c>
    </row>
    <row r="61" spans="1:9" x14ac:dyDescent="0.35">
      <c r="A61" s="55" t="s">
        <v>53</v>
      </c>
      <c r="B61" s="55" t="s">
        <v>154</v>
      </c>
      <c r="C61" s="55" t="str">
        <f>'Haver Pivoted'!A60</f>
        <v>yptup</v>
      </c>
      <c r="D61">
        <v>0.5</v>
      </c>
      <c r="E61" s="55">
        <f>'Haver Pivoted'!HC60</f>
        <v>0.4</v>
      </c>
      <c r="F61" s="55">
        <f t="shared" si="0"/>
        <v>-9.9999999999999978E-2</v>
      </c>
      <c r="G61" s="63">
        <f t="shared" si="1"/>
        <v>-0.19999999999999996</v>
      </c>
    </row>
    <row r="62" spans="1:9" x14ac:dyDescent="0.35">
      <c r="A62" s="55" t="s">
        <v>53</v>
      </c>
      <c r="B62" s="55" t="s">
        <v>155</v>
      </c>
      <c r="C62" s="55" t="str">
        <f>'Haver Pivoted'!A61</f>
        <v>yptuc</v>
      </c>
      <c r="D62">
        <v>0</v>
      </c>
      <c r="E62" s="55">
        <f>'Haver Pivoted'!HC61</f>
        <v>0</v>
      </c>
      <c r="F62" s="55">
        <f t="shared" si="0"/>
        <v>0</v>
      </c>
      <c r="G62" s="63" t="e">
        <f t="shared" si="1"/>
        <v>#DIV/0!</v>
      </c>
    </row>
    <row r="63" spans="1:9" x14ac:dyDescent="0.35">
      <c r="B63" s="55" t="s">
        <v>156</v>
      </c>
      <c r="C63" s="55" t="str">
        <f>'Haver Pivoted'!A62</f>
        <v>gftfpu</v>
      </c>
      <c r="D63">
        <v>1.6</v>
      </c>
      <c r="E63" s="55">
        <f>'Haver Pivoted'!HC62</f>
        <v>1</v>
      </c>
      <c r="F63" s="55">
        <f t="shared" si="0"/>
        <v>-0.60000000000000009</v>
      </c>
      <c r="G63" s="63">
        <f t="shared" si="1"/>
        <v>-0.37500000000000006</v>
      </c>
      <c r="H63" s="54"/>
      <c r="I63" s="54"/>
    </row>
    <row r="64" spans="1:9" x14ac:dyDescent="0.35">
      <c r="A64" s="55" t="s">
        <v>53</v>
      </c>
      <c r="B64" s="58" t="s">
        <v>157</v>
      </c>
      <c r="C64" s="55" t="str">
        <f>'Haver Pivoted'!A63</f>
        <v>yptub</v>
      </c>
      <c r="D64">
        <v>0.5</v>
      </c>
      <c r="E64" s="55">
        <f>'Haver Pivoted'!HC63</f>
        <v>0.1</v>
      </c>
      <c r="F64" s="55">
        <f t="shared" si="0"/>
        <v>-0.4</v>
      </c>
      <c r="G64" s="63">
        <f t="shared" si="1"/>
        <v>-0.8</v>
      </c>
      <c r="H64" s="54"/>
      <c r="I64" s="54"/>
    </row>
    <row r="65" spans="1:9" x14ac:dyDescent="0.35">
      <c r="A65" s="55" t="s">
        <v>53</v>
      </c>
      <c r="B65" s="55" t="s">
        <v>158</v>
      </c>
      <c r="C65" s="55" t="str">
        <f>'Haver Pivoted'!A64</f>
        <v>yptol</v>
      </c>
      <c r="D65">
        <v>0</v>
      </c>
      <c r="E65" s="55">
        <f>'Haver Pivoted'!HC64</f>
        <v>0</v>
      </c>
      <c r="F65" s="55">
        <f t="shared" si="0"/>
        <v>0</v>
      </c>
      <c r="G65" s="63" t="e">
        <f t="shared" si="1"/>
        <v>#DIV/0!</v>
      </c>
      <c r="H65" s="54"/>
      <c r="I65" s="54"/>
    </row>
    <row r="66" spans="1:9" x14ac:dyDescent="0.35">
      <c r="B66" s="55" t="s">
        <v>159</v>
      </c>
      <c r="C66" s="55" t="str">
        <f>'Haver Pivoted'!A65</f>
        <v>gfctp</v>
      </c>
      <c r="D66">
        <v>464.8</v>
      </c>
      <c r="E66" s="55">
        <f>'Haver Pivoted'!HC65</f>
        <v>460.7</v>
      </c>
      <c r="F66" s="55">
        <f t="shared" si="0"/>
        <v>-4.1000000000000227</v>
      </c>
      <c r="G66" s="63">
        <f t="shared" si="1"/>
        <v>-8.8209982788296521E-3</v>
      </c>
      <c r="H66" s="59"/>
      <c r="I66" s="59"/>
    </row>
    <row r="67" spans="1:9" x14ac:dyDescent="0.35">
      <c r="A67" s="55" t="s">
        <v>57</v>
      </c>
      <c r="B67" s="53" t="s">
        <v>160</v>
      </c>
      <c r="C67" s="55" t="str">
        <f>'Haver Pivoted'!A66</f>
        <v>gftffx</v>
      </c>
      <c r="D67">
        <v>125.512</v>
      </c>
      <c r="E67" s="55">
        <f>'Haver Pivoted'!HC66</f>
        <v>118.414</v>
      </c>
      <c r="F67" s="55">
        <f t="shared" si="0"/>
        <v>-7.097999999999999</v>
      </c>
      <c r="G67" s="63">
        <f t="shared" si="1"/>
        <v>-5.6552361527184646E-2</v>
      </c>
      <c r="H67" s="59"/>
      <c r="I67" s="59"/>
    </row>
    <row r="68" spans="1:9" x14ac:dyDescent="0.35">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35">
      <c r="C69" s="55" t="str">
        <f>'Haver Pivoted'!A68</f>
        <v>pcw</v>
      </c>
      <c r="D69">
        <v>287.47933333333299</v>
      </c>
      <c r="E69" s="55">
        <f>'Haver Pivoted'!HC68</f>
        <v>287.47933333333299</v>
      </c>
      <c r="F69" s="55">
        <f t="shared" si="2"/>
        <v>0</v>
      </c>
      <c r="G69" s="63">
        <f t="shared" si="3"/>
        <v>0</v>
      </c>
    </row>
    <row r="70" spans="1:9" x14ac:dyDescent="0.35">
      <c r="B70" s="55" t="s">
        <v>162</v>
      </c>
      <c r="C70" s="55" t="str">
        <f>'Haver Pivoted'!A69</f>
        <v>gdppothq</v>
      </c>
      <c r="D70">
        <v>20101.2</v>
      </c>
      <c r="E70" s="55">
        <f>'Haver Pivoted'!HC69</f>
        <v>20101.2</v>
      </c>
      <c r="F70" s="55">
        <f t="shared" si="2"/>
        <v>0</v>
      </c>
      <c r="G70" s="63">
        <f t="shared" si="3"/>
        <v>0</v>
      </c>
    </row>
    <row r="71" spans="1:9" x14ac:dyDescent="0.35">
      <c r="B71" s="55" t="s">
        <v>163</v>
      </c>
      <c r="C71" s="55" t="str">
        <f>'Haver Pivoted'!A70</f>
        <v>gdppotq</v>
      </c>
      <c r="D71">
        <v>24971.1</v>
      </c>
      <c r="E71" s="55">
        <f>'Haver Pivoted'!HC70</f>
        <v>24971.1</v>
      </c>
      <c r="F71" s="55">
        <f t="shared" si="2"/>
        <v>0</v>
      </c>
      <c r="G71" s="63">
        <f t="shared" si="3"/>
        <v>0</v>
      </c>
    </row>
    <row r="72" spans="1:9" x14ac:dyDescent="0.35">
      <c r="B72" s="55" t="s">
        <v>164</v>
      </c>
      <c r="C72" s="55" t="str">
        <f>'Haver Pivoted'!A71</f>
        <v>recessq</v>
      </c>
      <c r="D72">
        <v>-1</v>
      </c>
      <c r="E72" s="55">
        <f>'Haver Pivoted'!HC71</f>
        <v>-1</v>
      </c>
      <c r="F72" s="55">
        <f t="shared" si="2"/>
        <v>0</v>
      </c>
      <c r="G72" s="63">
        <f t="shared" si="3"/>
        <v>0</v>
      </c>
    </row>
    <row r="73" spans="1:9" x14ac:dyDescent="0.35">
      <c r="A73" s="55" t="s">
        <v>165</v>
      </c>
      <c r="B73" s="55" t="s">
        <v>166</v>
      </c>
      <c r="C73" s="55" t="str">
        <f>'Haver Pivoted'!A72</f>
        <v>lasgova</v>
      </c>
      <c r="D73">
        <v>5242</v>
      </c>
      <c r="E73" s="55">
        <f>'Haver Pivoted'!HC72</f>
        <v>5238</v>
      </c>
      <c r="F73" s="55">
        <f t="shared" si="2"/>
        <v>-4</v>
      </c>
      <c r="G73" s="63">
        <f t="shared" si="3"/>
        <v>-7.6306753147653572E-4</v>
      </c>
    </row>
    <row r="74" spans="1:9" x14ac:dyDescent="0.35">
      <c r="A74" s="55" t="s">
        <v>165</v>
      </c>
      <c r="B74" s="55" t="s">
        <v>167</v>
      </c>
      <c r="C74" s="55" t="str">
        <f>'Haver Pivoted'!A73</f>
        <v>lalgova</v>
      </c>
      <c r="D74">
        <v>14104</v>
      </c>
      <c r="E74" s="55">
        <f>'Haver Pivoted'!HC73</f>
        <v>14093.333333333299</v>
      </c>
      <c r="F74" s="55">
        <f t="shared" si="2"/>
        <v>-10.666666666700621</v>
      </c>
      <c r="G74" s="63">
        <f t="shared" si="3"/>
        <v>-7.5628663263617565E-4</v>
      </c>
    </row>
    <row r="75" spans="1:9" x14ac:dyDescent="0.35">
      <c r="A75" s="55" t="s">
        <v>165</v>
      </c>
      <c r="B75" s="55" t="s">
        <v>168</v>
      </c>
      <c r="C75" s="55" t="str">
        <f>'Haver Pivoted'!A74</f>
        <v>cpgs</v>
      </c>
      <c r="D75" s="55">
        <v>320913</v>
      </c>
      <c r="E75" s="55">
        <f>'Haver Pivoted'!HC74</f>
        <v>321636.33333333302</v>
      </c>
      <c r="F75" s="55">
        <f t="shared" si="2"/>
        <v>723.33333333302289</v>
      </c>
      <c r="G75" s="63">
        <f t="shared" si="3"/>
        <v>2.2539857635341131E-3</v>
      </c>
    </row>
    <row r="76" spans="1:9" x14ac:dyDescent="0.35">
      <c r="B76" s="55" t="s">
        <v>169</v>
      </c>
      <c r="C76" s="55" t="str">
        <f>'Haver Pivoted'!A75</f>
        <v>jgdp_growth</v>
      </c>
      <c r="D76" s="55">
        <v>2.1560467089579299E-2</v>
      </c>
      <c r="E76" s="55">
        <f>'Haver Pivoted'!HC75</f>
        <v>2.1777809981563302E-2</v>
      </c>
      <c r="F76" s="50">
        <f t="shared" si="2"/>
        <v>2.1734289198400286E-4</v>
      </c>
      <c r="G76" s="63">
        <f t="shared" si="3"/>
        <v>1.0080620752833783E-2</v>
      </c>
    </row>
    <row r="77" spans="1:9" x14ac:dyDescent="0.35">
      <c r="B77" s="55" t="s">
        <v>170</v>
      </c>
      <c r="C77" s="55" t="str">
        <f>'Haver Pivoted'!A76</f>
        <v>jc_growth</v>
      </c>
      <c r="D77" s="55">
        <v>1.72422405754631E-2</v>
      </c>
      <c r="E77" s="55">
        <f>'Haver Pivoted'!HC76</f>
        <v>1.7752216949378001E-2</v>
      </c>
      <c r="F77" s="50">
        <f t="shared" si="2"/>
        <v>5.099763739149013E-4</v>
      </c>
      <c r="G77" s="63">
        <f t="shared" si="3"/>
        <v>2.9577152208433568E-2</v>
      </c>
    </row>
    <row r="78" spans="1:9" x14ac:dyDescent="0.35">
      <c r="B78" s="55" t="s">
        <v>171</v>
      </c>
      <c r="C78" s="55" t="str">
        <f>'Haver Pivoted'!A77</f>
        <v>jgf_growth</v>
      </c>
      <c r="D78" s="55">
        <v>1.7138586730880902E-2</v>
      </c>
      <c r="E78" s="55">
        <f>'Haver Pivoted'!HC77</f>
        <v>1.4664060468276599E-2</v>
      </c>
      <c r="F78" s="50">
        <f t="shared" si="2"/>
        <v>-2.4745262626043023E-3</v>
      </c>
      <c r="G78" s="63">
        <f t="shared" si="3"/>
        <v>-0.14438333227007655</v>
      </c>
    </row>
    <row r="79" spans="1:9" x14ac:dyDescent="0.35">
      <c r="B79" s="55" t="s">
        <v>172</v>
      </c>
      <c r="C79" s="55" t="str">
        <f>'Haver Pivoted'!A78</f>
        <v>jgs_growth</v>
      </c>
      <c r="D79" s="55">
        <v>3.7112781490685101E-2</v>
      </c>
      <c r="E79" s="55">
        <f>'Haver Pivoted'!HC78</f>
        <v>3.5512803061239898E-2</v>
      </c>
      <c r="F79" s="50">
        <f>E79/D79-1</f>
        <v>-4.3111250765367148E-2</v>
      </c>
      <c r="G79" s="63">
        <f t="shared" si="3"/>
        <v>-1.1616281246984304</v>
      </c>
    </row>
    <row r="80" spans="1:9" x14ac:dyDescent="0.35">
      <c r="B80" s="55" t="s">
        <v>173</v>
      </c>
      <c r="C80" s="55" t="str">
        <f>'Haver Pivoted'!A79</f>
        <v>jgse_growth</v>
      </c>
      <c r="D80" s="55">
        <v>3.7844961240310199E-2</v>
      </c>
      <c r="E80" s="55">
        <f>'Haver Pivoted'!HC79</f>
        <v>3.6057127703905699E-2</v>
      </c>
      <c r="F80" s="50">
        <f t="shared" si="2"/>
        <v>-1.7878335364044998E-3</v>
      </c>
      <c r="G80" s="63">
        <f t="shared" si="3"/>
        <v>-4.7240992666157257E-2</v>
      </c>
    </row>
    <row r="81" spans="2:7" x14ac:dyDescent="0.35">
      <c r="B81" s="55" t="s">
        <v>174</v>
      </c>
      <c r="C81" s="55" t="str">
        <f>'Haver Pivoted'!A80</f>
        <v>jgsi_growth</v>
      </c>
      <c r="D81" s="55">
        <v>3.3522001647384302E-2</v>
      </c>
      <c r="E81" s="55">
        <f>'Haver Pivoted'!HC80</f>
        <v>3.2838482925038097E-2</v>
      </c>
      <c r="F81" s="50">
        <f t="shared" si="2"/>
        <v>-6.835187223462047E-4</v>
      </c>
      <c r="G81" s="63">
        <f t="shared" si="3"/>
        <v>-2.0390152400089127E-2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100"/>
  <sheetViews>
    <sheetView topLeftCell="A70" zoomScale="84" zoomScaleNormal="133" workbookViewId="0">
      <selection activeCell="B95" sqref="B95"/>
    </sheetView>
  </sheetViews>
  <sheetFormatPr defaultColWidth="11.453125" defaultRowHeight="14.5" x14ac:dyDescent="0.35"/>
  <cols>
    <col min="2" max="2" width="26.453125" customWidth="1"/>
    <col min="3" max="3" width="20.1796875" customWidth="1"/>
    <col min="4" max="12" width="9.453125" customWidth="1"/>
  </cols>
  <sheetData>
    <row r="2" spans="2:15" x14ac:dyDescent="0.35">
      <c r="B2" s="1230" t="s">
        <v>1021</v>
      </c>
      <c r="C2" s="1230"/>
      <c r="D2" s="1230"/>
      <c r="E2" s="1230"/>
      <c r="F2" s="1230"/>
      <c r="G2" s="1230"/>
      <c r="H2" s="1230"/>
      <c r="I2" s="1230"/>
      <c r="J2" s="1230"/>
      <c r="K2" s="1230"/>
      <c r="L2" s="1230"/>
      <c r="M2" s="1230"/>
      <c r="N2" s="1230"/>
      <c r="O2" s="1230"/>
    </row>
    <row r="3" spans="2:15" x14ac:dyDescent="0.3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5">
      <c r="B4" t="str">
        <f>forecast!A2</f>
        <v>Consumption Grants</v>
      </c>
      <c r="C4" t="str">
        <f>forecast!B2</f>
        <v>consumption_grants</v>
      </c>
      <c r="D4" s="75">
        <f>forecast!C2</f>
        <v>505.04903199999995</v>
      </c>
      <c r="E4" s="75">
        <f>forecast!D2</f>
        <v>496.11472090666126</v>
      </c>
      <c r="F4" s="75">
        <f>forecast!E2</f>
        <v>487.34354029510399</v>
      </c>
      <c r="G4" s="75">
        <f>forecast!F2</f>
        <v>472.27459537887216</v>
      </c>
      <c r="H4" s="75">
        <f>forecast!G2</f>
        <v>476.85527066666657</v>
      </c>
      <c r="I4" s="75">
        <f>forecast!H2</f>
        <v>475.96568318012066</v>
      </c>
      <c r="J4" s="75">
        <f>forecast!I2</f>
        <v>476.61276470690814</v>
      </c>
      <c r="K4" s="75">
        <f>forecast!J2</f>
        <v>465.49206482602699</v>
      </c>
      <c r="L4" s="75">
        <f>forecast!K2</f>
        <v>445.9221207333332</v>
      </c>
      <c r="M4" s="75">
        <f>forecast!L2</f>
        <v>450.67715826732552</v>
      </c>
      <c r="N4" s="75">
        <f>forecast!M2</f>
        <v>455.72600163518439</v>
      </c>
      <c r="O4" s="75">
        <f>forecast!N2</f>
        <v>439.19582793906807</v>
      </c>
    </row>
    <row r="5" spans="2:15" x14ac:dyDescent="0.35">
      <c r="B5" t="str">
        <f>forecast!A3</f>
        <v>Investment Grants</v>
      </c>
      <c r="C5" t="str">
        <f>forecast!B3</f>
        <v>investment_grants</v>
      </c>
      <c r="D5" s="75">
        <f>forecast!C3</f>
        <v>75.340000000000018</v>
      </c>
      <c r="E5" s="75">
        <f>forecast!D3</f>
        <v>75.340000000000018</v>
      </c>
      <c r="F5" s="75">
        <f>forecast!E3</f>
        <v>76.15900000000002</v>
      </c>
      <c r="G5" s="75">
        <f>forecast!F3</f>
        <v>76.15900000000002</v>
      </c>
      <c r="H5" s="75">
        <f>forecast!G3</f>
        <v>76.15900000000002</v>
      </c>
      <c r="I5" s="75">
        <f>forecast!H3</f>
        <v>76.15900000000002</v>
      </c>
      <c r="J5" s="75">
        <f>forecast!I3</f>
        <v>77.818000000000012</v>
      </c>
      <c r="K5" s="75">
        <f>forecast!J3</f>
        <v>77.818000000000012</v>
      </c>
      <c r="L5" s="75">
        <f>forecast!K3</f>
        <v>77.818000000000012</v>
      </c>
      <c r="M5" s="75">
        <f>forecast!L3</f>
        <v>77.818000000000012</v>
      </c>
      <c r="N5" s="75">
        <f>forecast!M3</f>
        <v>79.41200000000002</v>
      </c>
      <c r="O5" s="75">
        <f>forecast!N3</f>
        <v>79.41200000000002</v>
      </c>
    </row>
    <row r="6" spans="2:15" x14ac:dyDescent="0.35">
      <c r="B6" t="str">
        <f>forecast!A4</f>
        <v>Federal Purchases (NIPA Consistent)</v>
      </c>
      <c r="C6" t="str">
        <f>forecast!B4</f>
        <v>federal_purchases</v>
      </c>
      <c r="D6" s="75">
        <f>forecast!C4</f>
        <v>1622.7</v>
      </c>
      <c r="E6" s="75">
        <f>forecast!D4</f>
        <v>1639.5245255749653</v>
      </c>
      <c r="F6" s="75">
        <f>forecast!E4</f>
        <v>1659.3625488249338</v>
      </c>
      <c r="G6" s="75">
        <f>forecast!F4</f>
        <v>1675.7792071132335</v>
      </c>
      <c r="H6" s="75">
        <f>forecast!G4</f>
        <v>1690.9722635415355</v>
      </c>
      <c r="I6" s="75">
        <f>forecast!H4</f>
        <v>1704.7377844665073</v>
      </c>
      <c r="J6" s="75">
        <f>forecast!I4</f>
        <v>1718.2427367098148</v>
      </c>
      <c r="K6" s="75">
        <f>forecast!J4</f>
        <v>1732.2121912781197</v>
      </c>
      <c r="L6" s="75">
        <f>forecast!K4</f>
        <v>1745.5698449164256</v>
      </c>
      <c r="M6" s="75">
        <f>forecast!L4</f>
        <v>1759.0294653763976</v>
      </c>
      <c r="N6" s="75">
        <f>forecast!M4</f>
        <v>1775.0410858363703</v>
      </c>
      <c r="O6" s="75">
        <f>forecast!N4</f>
        <v>1786.1554693980142</v>
      </c>
    </row>
    <row r="7" spans="2:15" x14ac:dyDescent="0.35">
      <c r="B7" t="str">
        <f>forecast!A5</f>
        <v>State Purchases (NIPA Consistent)</v>
      </c>
      <c r="C7" t="str">
        <f>forecast!B5</f>
        <v>state_purchases</v>
      </c>
      <c r="D7" s="75">
        <f>forecast!C5</f>
        <v>2790</v>
      </c>
      <c r="E7" s="75">
        <f>forecast!D5</f>
        <v>2842.1146046511626</v>
      </c>
      <c r="F7" s="75">
        <f>forecast!E5</f>
        <v>2881.8753488372095</v>
      </c>
      <c r="G7" s="75">
        <f>forecast!F5</f>
        <v>2917.0682790697679</v>
      </c>
      <c r="H7" s="75">
        <f>forecast!G5</f>
        <v>2947.4857674418608</v>
      </c>
      <c r="I7" s="75">
        <f>forecast!H5</f>
        <v>2974.9964651162791</v>
      </c>
      <c r="J7" s="75">
        <f>forecast!I5</f>
        <v>3001.5728372093031</v>
      </c>
      <c r="K7" s="75">
        <f>forecast!J5</f>
        <v>3027.6301395348842</v>
      </c>
      <c r="L7" s="75">
        <f>forecast!K5</f>
        <v>3053.5836279069772</v>
      </c>
      <c r="M7" s="75">
        <f>forecast!L5</f>
        <v>3080.2638139534884</v>
      </c>
      <c r="N7" s="75">
        <f>forecast!M5</f>
        <v>3107.8783255813955</v>
      </c>
      <c r="O7" s="75">
        <f>forecast!N5</f>
        <v>3137.5691162790699</v>
      </c>
    </row>
    <row r="8" spans="2:15" x14ac:dyDescent="0.35">
      <c r="B8" t="str">
        <f>forecast!A6</f>
        <v>Non-ARP Subsidies + ARP Provider Relief and PPP</v>
      </c>
      <c r="C8" t="str">
        <f>forecast!B6</f>
        <v>federal_subsidies</v>
      </c>
      <c r="D8" s="75">
        <f>forecast!C6</f>
        <v>12.652000000000015</v>
      </c>
      <c r="E8" s="75">
        <f>forecast!D6</f>
        <v>-5.3886315789473542</v>
      </c>
      <c r="F8" s="75">
        <f>forecast!E6</f>
        <v>75.782000000000011</v>
      </c>
      <c r="G8" s="75">
        <f>forecast!F6</f>
        <v>75.782000000000011</v>
      </c>
      <c r="H8" s="75">
        <f>forecast!G6</f>
        <v>75.782000000000011</v>
      </c>
      <c r="I8" s="75">
        <f>forecast!H6</f>
        <v>75.782000000000011</v>
      </c>
      <c r="J8" s="75">
        <f>forecast!I6</f>
        <v>84.266000000000005</v>
      </c>
      <c r="K8" s="75">
        <f>forecast!J6</f>
        <v>84.266000000000005</v>
      </c>
      <c r="L8" s="75">
        <f>forecast!K6</f>
        <v>84.266000000000005</v>
      </c>
      <c r="M8" s="75">
        <f>forecast!L6</f>
        <v>84.266000000000005</v>
      </c>
      <c r="N8" s="75">
        <f>forecast!M6</f>
        <v>91.364999999999995</v>
      </c>
      <c r="O8" s="75">
        <f>forecast!N6</f>
        <v>91.364999999999995</v>
      </c>
    </row>
    <row r="9" spans="2:15" x14ac:dyDescent="0.35">
      <c r="B9" t="str">
        <f>forecast!A7</f>
        <v>ARP Subsidies less Provider Relief and PPP</v>
      </c>
      <c r="C9" t="str">
        <f>forecast!B7</f>
        <v>federal_aid_to_small_businesses_arp</v>
      </c>
      <c r="D9" s="75">
        <f>forecast!C7</f>
        <v>110.24799999999999</v>
      </c>
      <c r="E9" s="75">
        <f>forecast!D7</f>
        <v>110.24799999999999</v>
      </c>
      <c r="F9" s="75">
        <f>forecast!E7</f>
        <v>12.726000000000001</v>
      </c>
      <c r="G9" s="75">
        <f>forecast!F7</f>
        <v>12.726000000000001</v>
      </c>
      <c r="H9" s="75">
        <f>forecast!G7</f>
        <v>12.726000000000001</v>
      </c>
      <c r="I9" s="75">
        <f>forecast!H7</f>
        <v>12.726000000000001</v>
      </c>
      <c r="J9" s="75">
        <f>forecast!I7</f>
        <v>1.365</v>
      </c>
      <c r="K9" s="75">
        <f>forecast!J7</f>
        <v>1.365</v>
      </c>
      <c r="L9" s="75">
        <f>forecast!K7</f>
        <v>1.365</v>
      </c>
      <c r="M9" s="75">
        <f>forecast!L7</f>
        <v>1.365</v>
      </c>
      <c r="N9" s="75">
        <f>forecast!M7</f>
        <v>-0.90100000000000025</v>
      </c>
      <c r="O9" s="75">
        <f>forecast!N7</f>
        <v>-0.90100000000000025</v>
      </c>
    </row>
    <row r="10" spans="2:15" x14ac:dyDescent="0.35">
      <c r="B10" t="str">
        <f>forecast!A8</f>
        <v>Federal UI</v>
      </c>
      <c r="C10" t="str">
        <f>forecast!B8</f>
        <v>federal_ui</v>
      </c>
      <c r="D10" s="75">
        <f>forecast!C8</f>
        <v>1.1000000000000014</v>
      </c>
      <c r="E10" s="75">
        <f>forecast!D8</f>
        <v>0</v>
      </c>
      <c r="F10" s="75">
        <f>forecast!E8</f>
        <v>0</v>
      </c>
      <c r="G10" s="75">
        <f>forecast!F8</f>
        <v>0</v>
      </c>
      <c r="H10" s="75">
        <f>forecast!G8</f>
        <v>0</v>
      </c>
      <c r="I10" s="75">
        <f>forecast!H8</f>
        <v>0</v>
      </c>
      <c r="J10" s="75">
        <f>forecast!I8</f>
        <v>0</v>
      </c>
      <c r="K10" s="75">
        <f>forecast!J8</f>
        <v>0</v>
      </c>
      <c r="L10" s="75">
        <f>forecast!K8</f>
        <v>0</v>
      </c>
      <c r="M10" s="75">
        <f>forecast!L8</f>
        <v>0</v>
      </c>
      <c r="N10" s="75">
        <f>forecast!M8</f>
        <v>0</v>
      </c>
      <c r="O10" s="75">
        <f>forecast!N8</f>
        <v>0</v>
      </c>
    </row>
    <row r="11" spans="2:15" x14ac:dyDescent="0.35">
      <c r="B11" t="str">
        <f>forecast!A9</f>
        <v>State UI</v>
      </c>
      <c r="C11" t="str">
        <f>forecast!B9</f>
        <v>state_ui</v>
      </c>
      <c r="D11" s="75">
        <f>forecast!C9</f>
        <v>17.5</v>
      </c>
      <c r="E11" s="75">
        <f>forecast!D9</f>
        <v>18.083333333333336</v>
      </c>
      <c r="F11" s="75">
        <f>forecast!E9</f>
        <v>17.743055555555557</v>
      </c>
      <c r="G11" s="75">
        <f>forecast!F9</f>
        <v>17.402777777777779</v>
      </c>
      <c r="H11" s="75">
        <f>forecast!G9</f>
        <v>17.111111111111111</v>
      </c>
      <c r="I11" s="75">
        <f>forecast!H9</f>
        <v>17.164583333333333</v>
      </c>
      <c r="J11" s="75">
        <f>forecast!I9</f>
        <v>17.261805555555554</v>
      </c>
      <c r="K11" s="75">
        <f>forecast!J9</f>
        <v>17.606944444444441</v>
      </c>
      <c r="L11" s="75">
        <f>forecast!K9</f>
        <v>19.30833333333333</v>
      </c>
      <c r="M11" s="75">
        <f>forecast!L9</f>
        <v>19.546527777777772</v>
      </c>
      <c r="N11" s="75">
        <f>forecast!M9</f>
        <v>19.843055555555551</v>
      </c>
      <c r="O11" s="75">
        <f>forecast!N9</f>
        <v>20.129861111111108</v>
      </c>
    </row>
    <row r="12" spans="2:15" x14ac:dyDescent="0.35">
      <c r="B12" t="str">
        <f>forecast!A10</f>
        <v>Federal Medicaid</v>
      </c>
      <c r="C12" t="str">
        <f>forecast!B10</f>
        <v>medicaid_grants</v>
      </c>
      <c r="D12" s="75">
        <f>forecast!C10</f>
        <v>590.13</v>
      </c>
      <c r="E12" s="75">
        <f>forecast!D10</f>
        <v>602.51022329975922</v>
      </c>
      <c r="F12" s="75">
        <f>forecast!E10</f>
        <v>612.81040771995322</v>
      </c>
      <c r="G12" s="75">
        <f>forecast!F10</f>
        <v>626.1563036150128</v>
      </c>
      <c r="H12" s="75">
        <f>forecast!G10</f>
        <v>639.79284884467575</v>
      </c>
      <c r="I12" s="75">
        <f>forecast!H10</f>
        <v>609.79595236530417</v>
      </c>
      <c r="J12" s="75">
        <f>forecast!I10</f>
        <v>602.79832815078862</v>
      </c>
      <c r="K12" s="75">
        <f>forecast!J10</f>
        <v>596.34819050901979</v>
      </c>
      <c r="L12" s="75">
        <f>forecast!K10</f>
        <v>589.96707143225831</v>
      </c>
      <c r="M12" s="75">
        <f>forecast!L10</f>
        <v>583.65423239947074</v>
      </c>
      <c r="N12" s="75">
        <f>forecast!M10</f>
        <v>573.35706667298837</v>
      </c>
      <c r="O12" s="75">
        <f>forecast!N10</f>
        <v>567.22196007893604</v>
      </c>
    </row>
    <row r="13" spans="2:15" x14ac:dyDescent="0.35">
      <c r="B13" t="str">
        <f>forecast!A11</f>
        <v>Total Medicaid</v>
      </c>
      <c r="C13" t="str">
        <f>forecast!B11</f>
        <v>medicaid</v>
      </c>
      <c r="D13" s="75">
        <f>forecast!C11</f>
        <v>789.5</v>
      </c>
      <c r="E13" s="75">
        <f>forecast!D11</f>
        <v>806.06276802596028</v>
      </c>
      <c r="F13" s="75">
        <f>forecast!E11</f>
        <v>823.61734877628294</v>
      </c>
      <c r="G13" s="75">
        <f>forecast!F11</f>
        <v>841.55423636118906</v>
      </c>
      <c r="H13" s="75">
        <f>forecast!G11</f>
        <v>859.88175672806801</v>
      </c>
      <c r="I13" s="75">
        <f>forecast!H11</f>
        <v>878.60841714829724</v>
      </c>
      <c r="J13" s="75">
        <f>forecast!I11</f>
        <v>869.20702208934222</v>
      </c>
      <c r="K13" s="75">
        <f>forecast!J11</f>
        <v>859.90622500706195</v>
      </c>
      <c r="L13" s="75">
        <f>forecast!K11</f>
        <v>850.70494947047496</v>
      </c>
      <c r="M13" s="75">
        <f>forecast!L11</f>
        <v>841.60213056676025</v>
      </c>
      <c r="N13" s="75">
        <f>forecast!M11</f>
        <v>832.59671477800975</v>
      </c>
      <c r="O13" s="75">
        <f>forecast!N11</f>
        <v>823.68765985929849</v>
      </c>
    </row>
    <row r="14" spans="2:15" x14ac:dyDescent="0.35">
      <c r="B14" t="str">
        <f>forecast!A12</f>
        <v>Medicare</v>
      </c>
      <c r="C14" t="str">
        <f>forecast!B12</f>
        <v>medicare</v>
      </c>
      <c r="D14" s="75">
        <f>forecast!C12</f>
        <v>911.8</v>
      </c>
      <c r="E14" s="75">
        <f>forecast!D12</f>
        <v>918.11049555908767</v>
      </c>
      <c r="F14" s="75">
        <f>forecast!E12</f>
        <v>937.55463752799051</v>
      </c>
      <c r="G14" s="75">
        <f>forecast!F12</f>
        <v>955.94003023756272</v>
      </c>
      <c r="H14" s="75">
        <f>forecast!G12</f>
        <v>974.68595944448134</v>
      </c>
      <c r="I14" s="75">
        <f>forecast!H12</f>
        <v>993.79949524879646</v>
      </c>
      <c r="J14" s="75">
        <f>forecast!I12</f>
        <v>1013.2878463948152</v>
      </c>
      <c r="K14" s="75">
        <f>forecast!J12</f>
        <v>1037.7219544758268</v>
      </c>
      <c r="L14" s="75">
        <f>forecast!K12</f>
        <v>1062.7452590421597</v>
      </c>
      <c r="M14" s="75">
        <f>forecast!L12</f>
        <v>1088.3719677946704</v>
      </c>
      <c r="N14" s="75">
        <f>forecast!M12</f>
        <v>1114.6166310342967</v>
      </c>
      <c r="O14" s="75">
        <f>forecast!N12</f>
        <v>1141.4941499234094</v>
      </c>
    </row>
    <row r="15" spans="2:15"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J15" s="75">
        <f>forecast!I13</f>
        <v>0</v>
      </c>
      <c r="K15" s="75">
        <f>forecast!J13</f>
        <v>0</v>
      </c>
      <c r="L15" s="75">
        <f>forecast!K13</f>
        <v>0</v>
      </c>
      <c r="M15" s="75">
        <f>forecast!L13</f>
        <v>0</v>
      </c>
      <c r="N15" s="75">
        <f>forecast!M13</f>
        <v>0</v>
      </c>
      <c r="O15" s="75">
        <f>forecast!N13</f>
        <v>0</v>
      </c>
    </row>
    <row r="16" spans="2:15"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J16" s="75">
        <f>forecast!I14</f>
        <v>0</v>
      </c>
      <c r="K16" s="75">
        <f>forecast!J14</f>
        <v>0</v>
      </c>
      <c r="L16" s="75">
        <f>forecast!K14</f>
        <v>0</v>
      </c>
      <c r="M16" s="75">
        <f>forecast!L14</f>
        <v>0</v>
      </c>
      <c r="N16" s="75">
        <f>forecast!M14</f>
        <v>0</v>
      </c>
      <c r="O16" s="75">
        <f>forecast!N14</f>
        <v>0</v>
      </c>
    </row>
    <row r="17" spans="2:15" x14ac:dyDescent="0.35">
      <c r="B17" t="str">
        <f>forecast!A15</f>
        <v>ARP Other Vulnerable</v>
      </c>
      <c r="C17" t="str">
        <f>forecast!B15</f>
        <v>federal_other_vulnerable_arp</v>
      </c>
      <c r="D17" s="75">
        <f>forecast!C15</f>
        <v>52.756999999999998</v>
      </c>
      <c r="E17" s="75">
        <f>forecast!D15</f>
        <v>52.756999999999998</v>
      </c>
      <c r="F17" s="75">
        <f>forecast!E15</f>
        <v>12</v>
      </c>
      <c r="G17" s="75">
        <f>forecast!F15</f>
        <v>12</v>
      </c>
      <c r="H17" s="75">
        <f>forecast!G15</f>
        <v>12</v>
      </c>
      <c r="I17" s="75">
        <f>forecast!H15</f>
        <v>12</v>
      </c>
      <c r="J17" s="75">
        <f>forecast!I15</f>
        <v>4.2219999999999995</v>
      </c>
      <c r="K17" s="75">
        <f>forecast!J15</f>
        <v>4.2219999999999995</v>
      </c>
      <c r="L17" s="75">
        <f>forecast!K15</f>
        <v>4.2219999999999995</v>
      </c>
      <c r="M17" s="75">
        <f>forecast!L15</f>
        <v>4.2219999999999995</v>
      </c>
      <c r="N17" s="75">
        <f>forecast!M15</f>
        <v>2.3719999999999999</v>
      </c>
      <c r="O17" s="75">
        <f>forecast!N15</f>
        <v>2.3719999999999999</v>
      </c>
    </row>
    <row r="18" spans="2:15" x14ac:dyDescent="0.35">
      <c r="B18" t="str">
        <f>forecast!A16</f>
        <v xml:space="preserve">ARP Other Direct Aid plus Provider Relief </v>
      </c>
      <c r="C18" t="str">
        <f>forecast!B16</f>
        <v>federal_other_direct_aid_arp</v>
      </c>
      <c r="D18" s="75">
        <f>forecast!C16</f>
        <v>39.719000000000008</v>
      </c>
      <c r="E18" s="75">
        <f>forecast!D16</f>
        <v>29.368122807017549</v>
      </c>
      <c r="F18" s="75">
        <f>forecast!E16</f>
        <v>1.4159999999999999</v>
      </c>
      <c r="G18" s="75">
        <f>forecast!F16</f>
        <v>1.4159999999999999</v>
      </c>
      <c r="H18" s="75">
        <f>forecast!G16</f>
        <v>1.4159999999999999</v>
      </c>
      <c r="I18" s="75">
        <f>forecast!H16</f>
        <v>1.4159999999999999</v>
      </c>
      <c r="J18" s="75">
        <f>forecast!I16</f>
        <v>1.4790000000000001</v>
      </c>
      <c r="K18" s="75">
        <f>forecast!J16</f>
        <v>1.4790000000000001</v>
      </c>
      <c r="L18" s="75">
        <f>forecast!K16</f>
        <v>1.4790000000000001</v>
      </c>
      <c r="M18" s="75">
        <f>forecast!L16</f>
        <v>1.4790000000000001</v>
      </c>
      <c r="N18" s="75">
        <f>forecast!M16</f>
        <v>1.63</v>
      </c>
      <c r="O18" s="75">
        <f>forecast!N16</f>
        <v>1.63</v>
      </c>
    </row>
    <row r="19" spans="2:15" x14ac:dyDescent="0.35">
      <c r="B19" t="str">
        <f>forecast!A17</f>
        <v>Other Federal Social Benefits (including all SNAP)</v>
      </c>
      <c r="C19" t="str">
        <f>forecast!B17</f>
        <v>federal_social_benefits</v>
      </c>
      <c r="D19" s="75">
        <f>forecast!C17</f>
        <v>1821.124</v>
      </c>
      <c r="E19" s="75">
        <f>forecast!D17</f>
        <v>1768.7994999999999</v>
      </c>
      <c r="F19" s="75">
        <f>forecast!E17</f>
        <v>1789.8115</v>
      </c>
      <c r="G19" s="75">
        <f>forecast!F17</f>
        <v>1834.9828600000001</v>
      </c>
      <c r="H19" s="75">
        <f>forecast!G17</f>
        <v>1841.9828600000001</v>
      </c>
      <c r="I19" s="75">
        <f>forecast!H17</f>
        <v>1848.9828600000001</v>
      </c>
      <c r="J19" s="75">
        <f>forecast!I17</f>
        <v>1851.2318600000001</v>
      </c>
      <c r="K19" s="75">
        <f>forecast!J17</f>
        <v>1896.1186200000002</v>
      </c>
      <c r="L19" s="75">
        <f>forecast!K17</f>
        <v>1903.1186200000002</v>
      </c>
      <c r="M19" s="75">
        <f>forecast!L17</f>
        <v>1910.1186200000002</v>
      </c>
      <c r="N19" s="75">
        <f>forecast!M17</f>
        <v>1918.1466200000002</v>
      </c>
      <c r="O19" s="75">
        <f>forecast!N17</f>
        <v>1951.0444600000003</v>
      </c>
    </row>
    <row r="20" spans="2:15" x14ac:dyDescent="0.35">
      <c r="B20" t="str">
        <f>forecast!A18</f>
        <v>State Social Benefits ex Medicaid</v>
      </c>
      <c r="C20" t="str">
        <f>forecast!B18</f>
        <v>state_social_benefits</v>
      </c>
      <c r="D20" s="75">
        <f>forecast!C18</f>
        <v>173.20000000000005</v>
      </c>
      <c r="E20" s="75">
        <f>forecast!D18</f>
        <v>175.88583178345257</v>
      </c>
      <c r="F20" s="75">
        <f>forecast!E18</f>
        <v>178.61331306095246</v>
      </c>
      <c r="G20" s="75">
        <f>forecast!F18</f>
        <v>181.38308969586507</v>
      </c>
      <c r="H20" s="75">
        <f>forecast!G18</f>
        <v>184.19581756703121</v>
      </c>
      <c r="I20" s="75">
        <f>forecast!H18</f>
        <v>187.0521627240783</v>
      </c>
      <c r="J20" s="75">
        <f>forecast!I18</f>
        <v>189.95280154513989</v>
      </c>
      <c r="K20" s="75">
        <f>forecast!J18</f>
        <v>192.89842089702088</v>
      </c>
      <c r="L20" s="75">
        <f>forecast!K18</f>
        <v>195.88971829784666</v>
      </c>
      <c r="M20" s="75">
        <f>forecast!L18</f>
        <v>198.92740208223418</v>
      </c>
      <c r="N20" s="75">
        <f>forecast!M18</f>
        <v>202.01219156902462</v>
      </c>
      <c r="O20" s="75">
        <f>forecast!N18</f>
        <v>205.14481723161694</v>
      </c>
    </row>
    <row r="21" spans="2:15" x14ac:dyDescent="0.35">
      <c r="B21" t="str">
        <f>forecast!A19</f>
        <v>Federal Non-Corporate Taxes</v>
      </c>
      <c r="C21" t="str">
        <f>forecast!B19</f>
        <v>federal_non_corporate_taxes</v>
      </c>
      <c r="D21" s="75">
        <f>forecast!C19</f>
        <v>4460.7</v>
      </c>
      <c r="E21" s="75">
        <f>forecast!D19</f>
        <v>4649.1226842348178</v>
      </c>
      <c r="F21" s="75">
        <f>forecast!E19</f>
        <v>4666.9704745077424</v>
      </c>
      <c r="G21" s="75">
        <f>forecast!F19</f>
        <v>4688.1231295587158</v>
      </c>
      <c r="H21" s="75">
        <f>forecast!G19</f>
        <v>4709.8871354758603</v>
      </c>
      <c r="I21" s="75">
        <f>forecast!H19</f>
        <v>4732.2721500313119</v>
      </c>
      <c r="J21" s="75">
        <f>forecast!I19</f>
        <v>4730.7761593348978</v>
      </c>
      <c r="K21" s="75">
        <f>forecast!J19</f>
        <v>4737.6483665229689</v>
      </c>
      <c r="L21" s="75">
        <f>forecast!K19</f>
        <v>4744.6917527791402</v>
      </c>
      <c r="M21" s="75">
        <f>forecast!L19</f>
        <v>4751.9073089229205</v>
      </c>
      <c r="N21" s="75">
        <f>forecast!M19</f>
        <v>4768.3696628847138</v>
      </c>
      <c r="O21" s="75">
        <f>forecast!N19</f>
        <v>4780.1504138596565</v>
      </c>
    </row>
    <row r="22" spans="2:15" x14ac:dyDescent="0.35">
      <c r="B22" t="str">
        <f>forecast!A20</f>
        <v>State Non-Corporate Taxes</v>
      </c>
      <c r="C22" t="str">
        <f>forecast!B20</f>
        <v>state_non_corporate_taxes</v>
      </c>
      <c r="D22" s="75">
        <f>forecast!C20</f>
        <v>2199.5</v>
      </c>
      <c r="E22" s="75">
        <f>forecast!D20</f>
        <v>2232.2397635949983</v>
      </c>
      <c r="F22" s="75">
        <f>forecast!E20</f>
        <v>2262.0777047006172</v>
      </c>
      <c r="G22" s="75">
        <f>forecast!F20</f>
        <v>2288.8346500075536</v>
      </c>
      <c r="H22" s="75">
        <f>forecast!G20</f>
        <v>2315.2749288049358</v>
      </c>
      <c r="I22" s="75">
        <f>forecast!H20</f>
        <v>2340.9668539401846</v>
      </c>
      <c r="J22" s="75">
        <f>forecast!I20</f>
        <v>2364.872884814386</v>
      </c>
      <c r="K22" s="75">
        <f>forecast!J20</f>
        <v>2388.3853645380473</v>
      </c>
      <c r="L22" s="75">
        <f>forecast!K20</f>
        <v>2410.2420834682302</v>
      </c>
      <c r="M22" s="75">
        <f>forecast!L20</f>
        <v>2431.8964700251072</v>
      </c>
      <c r="N22" s="75">
        <f>forecast!M20</f>
        <v>2454.5927379593613</v>
      </c>
      <c r="O22" s="75">
        <f>forecast!N20</f>
        <v>2476.9146285199058</v>
      </c>
    </row>
    <row r="23" spans="2:15" x14ac:dyDescent="0.35">
      <c r="B23" t="str">
        <f>forecast!A21</f>
        <v>Federal Corporate Taxes</v>
      </c>
      <c r="C23" t="str">
        <f>forecast!B21</f>
        <v>federal_corporate_taxes</v>
      </c>
      <c r="D23" s="75">
        <f>forecast!C21</f>
        <v>353.2</v>
      </c>
      <c r="E23" s="75">
        <f>forecast!D21</f>
        <v>349.50195413008231</v>
      </c>
      <c r="F23" s="75">
        <f>forecast!E21</f>
        <v>362.32352507020306</v>
      </c>
      <c r="G23" s="75">
        <f>forecast!F21</f>
        <v>410.93245870623986</v>
      </c>
      <c r="H23" s="75">
        <f>forecast!G21</f>
        <v>424.7120104171741</v>
      </c>
      <c r="I23" s="75">
        <f>forecast!H21</f>
        <v>438.99706860009519</v>
      </c>
      <c r="J23" s="75">
        <f>forecast!I21</f>
        <v>444.50081322306482</v>
      </c>
      <c r="K23" s="75">
        <f>forecast!J21</f>
        <v>449.34534167153834</v>
      </c>
      <c r="L23" s="75">
        <f>forecast!K21</f>
        <v>454.24732741561337</v>
      </c>
      <c r="M23" s="75">
        <f>forecast!L21</f>
        <v>459.20745191290814</v>
      </c>
      <c r="N23" s="75">
        <f>forecast!M21</f>
        <v>445.38279824029598</v>
      </c>
      <c r="O23" s="75">
        <f>forecast!N21</f>
        <v>440.94025576348253</v>
      </c>
    </row>
    <row r="24" spans="2:15" x14ac:dyDescent="0.35">
      <c r="B24" t="str">
        <f>forecast!A22</f>
        <v>State Corporate Taxes</v>
      </c>
      <c r="C24" s="72" t="str">
        <f>forecast!B22</f>
        <v>state_corporate_taxes</v>
      </c>
      <c r="D24" s="74">
        <f>forecast!C22</f>
        <v>109.8</v>
      </c>
      <c r="E24" s="74">
        <f>forecast!D22</f>
        <v>112.00035534253368</v>
      </c>
      <c r="F24" s="74">
        <f>forecast!E22</f>
        <v>112.81698206759772</v>
      </c>
      <c r="G24" s="74">
        <f>forecast!F22</f>
        <v>112.61282538633171</v>
      </c>
      <c r="H24" s="74">
        <f>forecast!G22</f>
        <v>112.00489215767293</v>
      </c>
      <c r="I24" s="74">
        <f>forecast!H22</f>
        <v>111.32436988678622</v>
      </c>
      <c r="J24" s="74">
        <f>forecast!I22</f>
        <v>110.73004710354516</v>
      </c>
      <c r="K24" s="74">
        <f>forecast!J22</f>
        <v>110.21738699281053</v>
      </c>
      <c r="L24" s="74">
        <f>forecast!K22</f>
        <v>110.08581935377244</v>
      </c>
      <c r="M24" s="74">
        <f>forecast!L22</f>
        <v>109.70019006693663</v>
      </c>
      <c r="N24" s="74">
        <f>forecast!M22</f>
        <v>110.30358648045618</v>
      </c>
      <c r="O24" s="74">
        <f>forecast!N22</f>
        <v>110.70282621270971</v>
      </c>
    </row>
    <row r="25" spans="2:15" x14ac:dyDescent="0.35">
      <c r="B25" s="72" t="str">
        <f>forecast!A23</f>
        <v>Federal Student Loans</v>
      </c>
      <c r="C25" s="72" t="str">
        <f>forecast!B23</f>
        <v>federal_student_loans</v>
      </c>
      <c r="D25" s="74">
        <f>forecast!C23</f>
        <v>0</v>
      </c>
      <c r="E25" s="74">
        <f>forecast!D23</f>
        <v>0</v>
      </c>
      <c r="F25" s="74">
        <f>forecast!E23</f>
        <v>0</v>
      </c>
      <c r="G25" s="74">
        <f>forecast!F23</f>
        <v>20.354099999999999</v>
      </c>
      <c r="H25" s="74">
        <f>forecast!G23</f>
        <v>20.595119999999998</v>
      </c>
      <c r="I25" s="74">
        <f>forecast!H23</f>
        <v>20.815079999999998</v>
      </c>
      <c r="J25" s="74">
        <f>forecast!I23</f>
        <v>21.006180000000001</v>
      </c>
      <c r="K25" s="74">
        <f>forecast!J23</f>
        <v>25.815300000000001</v>
      </c>
      <c r="L25" s="74">
        <f>forecast!K23</f>
        <v>26.04045</v>
      </c>
      <c r="M25" s="74">
        <f>forecast!L23</f>
        <v>26.26465</v>
      </c>
      <c r="N25" s="74">
        <f>forecast!M23</f>
        <v>26.498349999999999</v>
      </c>
      <c r="O25" s="74">
        <f>forecast!N23</f>
        <v>26.454419999999999</v>
      </c>
    </row>
    <row r="27" spans="2:15" x14ac:dyDescent="0.35">
      <c r="B27" s="1230" t="s">
        <v>1495</v>
      </c>
      <c r="C27" s="1230"/>
      <c r="D27" s="1230"/>
      <c r="E27" s="1230"/>
      <c r="F27" s="1230"/>
      <c r="G27" s="1230"/>
      <c r="H27" s="1230"/>
      <c r="I27" s="1230"/>
      <c r="J27" s="1230"/>
      <c r="K27" s="1230"/>
      <c r="L27" s="1230"/>
      <c r="M27" s="1230"/>
      <c r="N27" s="1230"/>
      <c r="O27" s="1230"/>
    </row>
    <row r="28" spans="2:15" x14ac:dyDescent="0.3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5">
      <c r="B29" t="s">
        <v>192</v>
      </c>
      <c r="C29" t="s">
        <v>193</v>
      </c>
      <c r="D29" s="75">
        <v>495.46903199999991</v>
      </c>
      <c r="E29" s="75">
        <v>466.60108955001516</v>
      </c>
      <c r="F29" s="75">
        <v>461.04707392966139</v>
      </c>
      <c r="G29" s="75">
        <v>455.81755330501926</v>
      </c>
      <c r="H29" s="75">
        <v>460.23607066666654</v>
      </c>
      <c r="I29" s="75">
        <v>459.18272744600199</v>
      </c>
      <c r="J29" s="75">
        <v>459.6644396868478</v>
      </c>
      <c r="K29" s="75">
        <v>448.37674106921997</v>
      </c>
      <c r="L29" s="75">
        <v>428.63815273333313</v>
      </c>
      <c r="M29" s="75">
        <v>433.22288430384208</v>
      </c>
      <c r="N29" s="75">
        <v>438.09974361432171</v>
      </c>
      <c r="O29" s="75">
        <v>421.39589123198868</v>
      </c>
    </row>
    <row r="30" spans="2:15" x14ac:dyDescent="0.35">
      <c r="B30" t="s">
        <v>134</v>
      </c>
      <c r="C30" t="s">
        <v>194</v>
      </c>
      <c r="D30" s="75">
        <v>75.34842857142857</v>
      </c>
      <c r="E30" s="75">
        <v>75.34842857142857</v>
      </c>
      <c r="F30" s="75">
        <v>75.857428571428571</v>
      </c>
      <c r="G30" s="75">
        <v>75.857428571428571</v>
      </c>
      <c r="H30" s="75">
        <v>75.857428571428571</v>
      </c>
      <c r="I30" s="75">
        <v>75.857428571428571</v>
      </c>
      <c r="J30" s="75">
        <v>77.054428571428573</v>
      </c>
      <c r="K30" s="75">
        <v>77.054428571428573</v>
      </c>
      <c r="L30" s="75">
        <v>77.054428571428573</v>
      </c>
      <c r="M30" s="75">
        <v>77.054428571428573</v>
      </c>
      <c r="N30" s="75">
        <v>78.623428571428576</v>
      </c>
      <c r="O30" s="75">
        <v>78.623428571428576</v>
      </c>
    </row>
    <row r="31" spans="2:15" x14ac:dyDescent="0.35">
      <c r="B31" t="s">
        <v>195</v>
      </c>
      <c r="C31" t="s">
        <v>196</v>
      </c>
      <c r="D31" s="75">
        <v>1578</v>
      </c>
      <c r="E31" s="75">
        <v>1594.3610657282893</v>
      </c>
      <c r="F31" s="75">
        <v>1615.1687618449162</v>
      </c>
      <c r="G31" s="75">
        <v>1631.1331956767624</v>
      </c>
      <c r="H31" s="75">
        <v>1645.9077338192783</v>
      </c>
      <c r="I31" s="75">
        <v>1659.2940603242425</v>
      </c>
      <c r="J31" s="75">
        <v>1671.2123331657658</v>
      </c>
      <c r="K31" s="75">
        <v>1684.7969756189518</v>
      </c>
      <c r="L31" s="75">
        <v>1697.7866702274725</v>
      </c>
      <c r="M31" s="75">
        <v>1710.875522810104</v>
      </c>
      <c r="N31" s="75">
        <v>1725.5233753927357</v>
      </c>
      <c r="O31" s="75">
        <v>1736.3315945708182</v>
      </c>
    </row>
    <row r="32" spans="2:15" x14ac:dyDescent="0.35">
      <c r="B32" t="s">
        <v>197</v>
      </c>
      <c r="C32" t="s">
        <v>198</v>
      </c>
      <c r="D32" s="75">
        <v>2726.3</v>
      </c>
      <c r="E32" s="75">
        <v>2777.2247479069765</v>
      </c>
      <c r="F32" s="75">
        <v>2816.077693023256</v>
      </c>
      <c r="G32" s="75">
        <v>2850.467114418605</v>
      </c>
      <c r="H32" s="75">
        <v>2880.1901246511629</v>
      </c>
      <c r="I32" s="75">
        <v>2907.0727106976742</v>
      </c>
      <c r="J32" s="75">
        <v>2933.0423032558142</v>
      </c>
      <c r="K32" s="75">
        <v>2958.5046772093024</v>
      </c>
      <c r="L32" s="75">
        <v>2983.8656074418604</v>
      </c>
      <c r="M32" s="75">
        <v>3009.9366437209296</v>
      </c>
      <c r="N32" s="75">
        <v>3036.9206734883714</v>
      </c>
      <c r="O32" s="75">
        <v>3065.9335776744192</v>
      </c>
    </row>
    <row r="33" spans="2:15" x14ac:dyDescent="0.35">
      <c r="B33" t="s">
        <v>199</v>
      </c>
      <c r="C33" t="s">
        <v>200</v>
      </c>
      <c r="D33" s="75">
        <v>47.451999999999998</v>
      </c>
      <c r="E33" s="75">
        <v>5.5316537585421628</v>
      </c>
      <c r="F33" s="75">
        <v>75.001000000000005</v>
      </c>
      <c r="G33" s="75">
        <v>75.001000000000005</v>
      </c>
      <c r="H33" s="75">
        <v>75.001000000000005</v>
      </c>
      <c r="I33" s="75">
        <v>75.001000000000005</v>
      </c>
      <c r="J33" s="75">
        <v>81.760000000000019</v>
      </c>
      <c r="K33" s="75">
        <v>81.760000000000019</v>
      </c>
      <c r="L33" s="75">
        <v>81.760000000000019</v>
      </c>
      <c r="M33" s="75">
        <v>81.760000000000019</v>
      </c>
      <c r="N33" s="75">
        <v>87.766000000000005</v>
      </c>
      <c r="O33" s="75">
        <v>87.766000000000005</v>
      </c>
    </row>
    <row r="34" spans="2:15" x14ac:dyDescent="0.35">
      <c r="B34" t="s">
        <v>201</v>
      </c>
      <c r="C34" t="s">
        <v>202</v>
      </c>
      <c r="D34" s="75">
        <v>110.24799999999999</v>
      </c>
      <c r="E34" s="75">
        <v>110.24799999999999</v>
      </c>
      <c r="F34" s="75">
        <v>12.726000000000001</v>
      </c>
      <c r="G34" s="75">
        <v>12.726000000000001</v>
      </c>
      <c r="H34" s="75">
        <v>12.726000000000001</v>
      </c>
      <c r="I34" s="75">
        <v>12.726000000000001</v>
      </c>
      <c r="J34" s="75">
        <v>1.365</v>
      </c>
      <c r="K34" s="75">
        <v>1.365</v>
      </c>
      <c r="L34" s="75">
        <v>1.365</v>
      </c>
      <c r="M34" s="75">
        <v>1.365</v>
      </c>
      <c r="N34" s="75">
        <v>-0.90100000000000025</v>
      </c>
      <c r="O34" s="75">
        <v>-0.90100000000000025</v>
      </c>
    </row>
    <row r="35" spans="2:15" x14ac:dyDescent="0.35">
      <c r="B35" t="s">
        <v>203</v>
      </c>
      <c r="C35" t="s">
        <v>204</v>
      </c>
      <c r="D35" s="75">
        <v>2.1999999999999993</v>
      </c>
      <c r="E35" s="75">
        <v>0</v>
      </c>
      <c r="F35" s="75">
        <v>0</v>
      </c>
      <c r="G35" s="75">
        <v>0</v>
      </c>
      <c r="H35" s="75">
        <v>0</v>
      </c>
      <c r="I35" s="75">
        <v>0</v>
      </c>
      <c r="J35" s="75">
        <v>0</v>
      </c>
      <c r="K35" s="75">
        <v>0</v>
      </c>
      <c r="L35" s="75">
        <v>0</v>
      </c>
      <c r="M35" s="75">
        <v>0</v>
      </c>
      <c r="N35" s="75">
        <v>0</v>
      </c>
      <c r="O35" s="75">
        <v>0</v>
      </c>
    </row>
    <row r="36" spans="2:15" x14ac:dyDescent="0.35">
      <c r="B36" t="s">
        <v>205</v>
      </c>
      <c r="C36" t="s">
        <v>206</v>
      </c>
      <c r="D36" s="75">
        <v>17.8</v>
      </c>
      <c r="E36" s="75">
        <v>18.393333333333334</v>
      </c>
      <c r="F36" s="75">
        <v>18.047222222222221</v>
      </c>
      <c r="G36" s="75">
        <v>17.701111111111111</v>
      </c>
      <c r="H36" s="75">
        <v>17.404444444444444</v>
      </c>
      <c r="I36" s="75">
        <v>17.458833333333331</v>
      </c>
      <c r="J36" s="75">
        <v>17.557722222222221</v>
      </c>
      <c r="K36" s="75">
        <v>17.908777777777775</v>
      </c>
      <c r="L36" s="75">
        <v>19.639333333333333</v>
      </c>
      <c r="M36" s="75">
        <v>19.881611111111109</v>
      </c>
      <c r="N36" s="75">
        <v>20.18322222222222</v>
      </c>
      <c r="O36" s="75">
        <v>20.474944444444443</v>
      </c>
    </row>
    <row r="37" spans="2:15" x14ac:dyDescent="0.35">
      <c r="B37" t="s">
        <v>207</v>
      </c>
      <c r="C37" t="s">
        <v>208</v>
      </c>
      <c r="D37" s="75">
        <v>576.01</v>
      </c>
      <c r="E37" s="75">
        <v>589.15241570768478</v>
      </c>
      <c r="F37" s="75">
        <v>599.03838010823131</v>
      </c>
      <c r="G37" s="75">
        <v>612.08434629508997</v>
      </c>
      <c r="H37" s="75">
        <v>625.41442989312009</v>
      </c>
      <c r="I37" s="75">
        <v>593.73765992599408</v>
      </c>
      <c r="J37" s="75">
        <v>587.35256237575231</v>
      </c>
      <c r="K37" s="75">
        <v>581.52447511722005</v>
      </c>
      <c r="L37" s="75">
        <v>575.75421786279253</v>
      </c>
      <c r="M37" s="75">
        <v>570.04121678623369</v>
      </c>
      <c r="N37" s="75">
        <v>560.13928900535416</v>
      </c>
      <c r="O37" s="75">
        <v>554.5812292259759</v>
      </c>
    </row>
    <row r="38" spans="2:15" x14ac:dyDescent="0.35">
      <c r="B38" t="s">
        <v>209</v>
      </c>
      <c r="C38" t="s">
        <v>210</v>
      </c>
      <c r="D38" s="75">
        <v>812.6</v>
      </c>
      <c r="E38" s="75">
        <v>831.14052360907749</v>
      </c>
      <c r="F38" s="75">
        <v>849.24125225616854</v>
      </c>
      <c r="G38" s="75">
        <v>867.73618184551765</v>
      </c>
      <c r="H38" s="75">
        <v>886.63389735654243</v>
      </c>
      <c r="I38" s="75">
        <v>905.94317073389482</v>
      </c>
      <c r="J38" s="75">
        <v>896.95382397944809</v>
      </c>
      <c r="K38" s="75">
        <v>888.05367526488078</v>
      </c>
      <c r="L38" s="75">
        <v>879.24183951027169</v>
      </c>
      <c r="M38" s="75">
        <v>870.51744041802772</v>
      </c>
      <c r="N38" s="75">
        <v>861.87961038574008</v>
      </c>
      <c r="O38" s="75">
        <v>853.32749041990542</v>
      </c>
    </row>
    <row r="39" spans="2:15" x14ac:dyDescent="0.35">
      <c r="B39" t="s">
        <v>55</v>
      </c>
      <c r="C39" t="s">
        <v>211</v>
      </c>
      <c r="D39" s="75">
        <v>865.9</v>
      </c>
      <c r="E39" s="75">
        <v>871.23840546678446</v>
      </c>
      <c r="F39" s="75">
        <v>889.68986999812137</v>
      </c>
      <c r="G39" s="75">
        <v>906.73240106789979</v>
      </c>
      <c r="H39" s="75">
        <v>924.10139181206455</v>
      </c>
      <c r="I39" s="75">
        <v>941.80309575707611</v>
      </c>
      <c r="J39" s="75">
        <v>959.84388621936091</v>
      </c>
      <c r="K39" s="75">
        <v>982.98926326126013</v>
      </c>
      <c r="L39" s="75">
        <v>1006.6927607288899</v>
      </c>
      <c r="M39" s="75">
        <v>1030.9678369646681</v>
      </c>
      <c r="N39" s="75">
        <v>1055.8282748412969</v>
      </c>
      <c r="O39" s="75">
        <v>1081.2881895873859</v>
      </c>
    </row>
    <row r="40" spans="2:15" x14ac:dyDescent="0.35">
      <c r="B40" t="s">
        <v>212</v>
      </c>
      <c r="C40" t="s">
        <v>213</v>
      </c>
      <c r="D40" s="75">
        <v>0</v>
      </c>
      <c r="E40" s="75">
        <v>0</v>
      </c>
      <c r="F40" s="75">
        <v>0</v>
      </c>
      <c r="G40" s="75">
        <v>0</v>
      </c>
      <c r="H40" s="75">
        <v>0</v>
      </c>
      <c r="I40" s="75">
        <v>0</v>
      </c>
      <c r="J40" s="75">
        <v>0</v>
      </c>
      <c r="K40" s="75">
        <v>0</v>
      </c>
      <c r="L40" s="75">
        <v>0</v>
      </c>
      <c r="M40" s="75">
        <v>0</v>
      </c>
      <c r="N40" s="75">
        <v>0</v>
      </c>
      <c r="O40" s="75">
        <v>0</v>
      </c>
    </row>
    <row r="41" spans="2:15" x14ac:dyDescent="0.35">
      <c r="B41" t="s">
        <v>214</v>
      </c>
      <c r="C41" t="s">
        <v>215</v>
      </c>
      <c r="D41" s="75">
        <v>0</v>
      </c>
      <c r="E41" s="75">
        <v>0</v>
      </c>
      <c r="F41" s="75">
        <v>0</v>
      </c>
      <c r="G41" s="75">
        <v>0</v>
      </c>
      <c r="H41" s="75">
        <v>0</v>
      </c>
      <c r="I41" s="75">
        <v>0</v>
      </c>
      <c r="J41" s="75">
        <v>0</v>
      </c>
      <c r="K41" s="75">
        <v>0</v>
      </c>
      <c r="L41" s="75">
        <v>0</v>
      </c>
      <c r="M41" s="75">
        <v>0</v>
      </c>
      <c r="N41" s="75">
        <v>0</v>
      </c>
      <c r="O41" s="75">
        <v>0</v>
      </c>
    </row>
    <row r="42" spans="2:15" x14ac:dyDescent="0.35">
      <c r="B42" t="s">
        <v>216</v>
      </c>
      <c r="C42" t="s">
        <v>217</v>
      </c>
      <c r="D42" s="75">
        <v>52.756999999999998</v>
      </c>
      <c r="E42" s="75">
        <v>52.756999999999998</v>
      </c>
      <c r="F42" s="75">
        <v>12</v>
      </c>
      <c r="G42" s="75">
        <v>12</v>
      </c>
      <c r="H42" s="75">
        <v>12</v>
      </c>
      <c r="I42" s="75">
        <v>12</v>
      </c>
      <c r="J42" s="75">
        <v>4.2219999999999995</v>
      </c>
      <c r="K42" s="75">
        <v>4.2219999999999995</v>
      </c>
      <c r="L42" s="75">
        <v>4.2219999999999995</v>
      </c>
      <c r="M42" s="75">
        <v>4.2219999999999995</v>
      </c>
      <c r="N42" s="75">
        <v>2.3719999999999999</v>
      </c>
      <c r="O42" s="75">
        <v>2.3719999999999999</v>
      </c>
    </row>
    <row r="43" spans="2:15" x14ac:dyDescent="0.35">
      <c r="B43" t="s">
        <v>865</v>
      </c>
      <c r="C43" t="s">
        <v>219</v>
      </c>
      <c r="D43" s="75">
        <v>63.919000000000011</v>
      </c>
      <c r="E43" s="75">
        <v>49.924011389521638</v>
      </c>
      <c r="F43" s="75">
        <v>1.4159999999999999</v>
      </c>
      <c r="G43" s="75">
        <v>1.4159999999999999</v>
      </c>
      <c r="H43" s="75">
        <v>1.4159999999999999</v>
      </c>
      <c r="I43" s="75">
        <v>1.4159999999999999</v>
      </c>
      <c r="J43" s="75">
        <v>1.4790000000000001</v>
      </c>
      <c r="K43" s="75">
        <v>1.4790000000000001</v>
      </c>
      <c r="L43" s="75">
        <v>1.4790000000000001</v>
      </c>
      <c r="M43" s="75">
        <v>1.4790000000000001</v>
      </c>
      <c r="N43" s="75">
        <v>1.63</v>
      </c>
      <c r="O43" s="75">
        <v>1.63</v>
      </c>
    </row>
    <row r="44" spans="2:15" x14ac:dyDescent="0.35">
      <c r="B44" t="s">
        <v>220</v>
      </c>
      <c r="C44" t="s">
        <v>221</v>
      </c>
      <c r="D44" s="75">
        <v>1864.924</v>
      </c>
      <c r="E44" s="75">
        <v>1833.4363800000012</v>
      </c>
      <c r="F44" s="75">
        <v>1918.8573800000013</v>
      </c>
      <c r="G44" s="75">
        <v>1903.6043400000015</v>
      </c>
      <c r="H44" s="75">
        <v>1910.7043400000016</v>
      </c>
      <c r="I44" s="75">
        <v>1917.8043400000017</v>
      </c>
      <c r="J44" s="75">
        <v>1939.995340000002</v>
      </c>
      <c r="K44" s="75">
        <v>1972.3588200000022</v>
      </c>
      <c r="L44" s="75">
        <v>1979.4588200000023</v>
      </c>
      <c r="M44" s="75">
        <v>1986.5588200000025</v>
      </c>
      <c r="N44" s="75">
        <v>2014.6568200000027</v>
      </c>
      <c r="O44" s="75">
        <v>2047.6603000000027</v>
      </c>
    </row>
    <row r="45" spans="2:15" x14ac:dyDescent="0.35">
      <c r="B45" t="s">
        <v>222</v>
      </c>
      <c r="C45" t="s">
        <v>223</v>
      </c>
      <c r="D45" s="75">
        <v>158.39999999999998</v>
      </c>
      <c r="E45" s="75">
        <v>160.30996245250819</v>
      </c>
      <c r="F45" s="75">
        <v>162.24295493386737</v>
      </c>
      <c r="G45" s="75">
        <v>164.1992551365673</v>
      </c>
      <c r="H45" s="75">
        <v>166.17914410147046</v>
      </c>
      <c r="I45" s="75">
        <v>168.18290625818614</v>
      </c>
      <c r="J45" s="75">
        <v>170.21082946593137</v>
      </c>
      <c r="K45" s="75">
        <v>172.26320505488471</v>
      </c>
      <c r="L45" s="75">
        <v>174.34032786803846</v>
      </c>
      <c r="M45" s="75">
        <v>176.44249630355566</v>
      </c>
      <c r="N45" s="75">
        <v>178.57001235763781</v>
      </c>
      <c r="O45" s="75">
        <v>180.72318166790939</v>
      </c>
    </row>
    <row r="46" spans="2:15" x14ac:dyDescent="0.35">
      <c r="B46" t="s">
        <v>224</v>
      </c>
      <c r="C46" t="s">
        <v>225</v>
      </c>
      <c r="D46" s="75">
        <v>4359</v>
      </c>
      <c r="E46" s="75">
        <v>4540.0926578293529</v>
      </c>
      <c r="F46" s="75">
        <v>4562.5123222398033</v>
      </c>
      <c r="G46" s="75">
        <v>4585.5522182302393</v>
      </c>
      <c r="H46" s="75">
        <v>4609.2222315024628</v>
      </c>
      <c r="I46" s="75">
        <v>4633.5324263497105</v>
      </c>
      <c r="J46" s="75">
        <v>4641.5783291949692</v>
      </c>
      <c r="K46" s="75">
        <v>4643.3993193574615</v>
      </c>
      <c r="L46" s="75">
        <v>4651.7964486710707</v>
      </c>
      <c r="M46" s="75">
        <v>4660.3707791108536</v>
      </c>
      <c r="N46" s="75">
        <v>4673.1632078410867</v>
      </c>
      <c r="O46" s="75">
        <v>4689.6434189790225</v>
      </c>
    </row>
    <row r="47" spans="2:15" x14ac:dyDescent="0.35">
      <c r="B47" t="s">
        <v>226</v>
      </c>
      <c r="C47" t="s">
        <v>227</v>
      </c>
      <c r="D47" s="75">
        <v>2296.3000000000002</v>
      </c>
      <c r="E47" s="75">
        <v>2330.4604894243903</v>
      </c>
      <c r="F47" s="75">
        <v>2361.5788838175868</v>
      </c>
      <c r="G47" s="75">
        <v>2389.5927729294012</v>
      </c>
      <c r="H47" s="75">
        <v>2417.2953388316764</v>
      </c>
      <c r="I47" s="75">
        <v>2444.227231999329</v>
      </c>
      <c r="J47" s="75">
        <v>2469.2682386249699</v>
      </c>
      <c r="K47" s="75">
        <v>2493.9049676117097</v>
      </c>
      <c r="L47" s="75">
        <v>2516.7965936682795</v>
      </c>
      <c r="M47" s="75">
        <v>2539.5085477886455</v>
      </c>
      <c r="N47" s="75">
        <v>2563.2814569029115</v>
      </c>
      <c r="O47" s="75">
        <v>2586.6425748563706</v>
      </c>
    </row>
    <row r="48" spans="2:15" x14ac:dyDescent="0.35">
      <c r="B48" t="s">
        <v>228</v>
      </c>
      <c r="C48" t="s">
        <v>229</v>
      </c>
      <c r="D48" s="75">
        <v>294.2</v>
      </c>
      <c r="E48" s="75">
        <v>291.11969112420786</v>
      </c>
      <c r="F48" s="75">
        <v>301.79949341917819</v>
      </c>
      <c r="G48" s="75">
        <v>347.87108706505029</v>
      </c>
      <c r="H48" s="75">
        <v>359.34884503038683</v>
      </c>
      <c r="I48" s="75">
        <v>371.24766755987548</v>
      </c>
      <c r="J48" s="75">
        <v>375.23564736756987</v>
      </c>
      <c r="K48" s="75">
        <v>379.27092559390309</v>
      </c>
      <c r="L48" s="75">
        <v>383.35406320972095</v>
      </c>
      <c r="M48" s="75">
        <v>387.48562783912104</v>
      </c>
      <c r="N48" s="75">
        <v>388.42882231680363</v>
      </c>
      <c r="O48" s="75">
        <v>384.72838065010342</v>
      </c>
    </row>
    <row r="49" spans="2:15" x14ac:dyDescent="0.35">
      <c r="B49" t="s">
        <v>230</v>
      </c>
      <c r="C49" t="s">
        <v>231</v>
      </c>
      <c r="D49" s="75">
        <v>119.5</v>
      </c>
      <c r="E49" s="75">
        <v>121.89474010412363</v>
      </c>
      <c r="F49" s="75">
        <v>122.78350962730353</v>
      </c>
      <c r="G49" s="75">
        <v>122.56131724650855</v>
      </c>
      <c r="H49" s="75">
        <v>121.89967771258574</v>
      </c>
      <c r="I49" s="75">
        <v>121.15903644326916</v>
      </c>
      <c r="J49" s="75">
        <v>120.51220973473266</v>
      </c>
      <c r="K49" s="75">
        <v>119.95425997851419</v>
      </c>
      <c r="L49" s="75">
        <v>119.81106933311298</v>
      </c>
      <c r="M49" s="75">
        <v>119.39137261383358</v>
      </c>
      <c r="N49" s="75">
        <v>120.04807453929429</v>
      </c>
      <c r="O49" s="75">
        <v>120.48258408396002</v>
      </c>
    </row>
    <row r="50" spans="2:15" x14ac:dyDescent="0.35">
      <c r="B50" t="s">
        <v>1505</v>
      </c>
      <c r="C50" t="s">
        <v>1504</v>
      </c>
      <c r="D50" s="73">
        <v>0</v>
      </c>
      <c r="E50" s="73">
        <v>0</v>
      </c>
      <c r="F50" s="73">
        <v>0</v>
      </c>
      <c r="G50" s="73">
        <v>0</v>
      </c>
      <c r="H50" s="73">
        <v>0</v>
      </c>
      <c r="I50" s="73">
        <v>0</v>
      </c>
      <c r="J50" s="73">
        <v>0</v>
      </c>
      <c r="K50" s="73">
        <v>0</v>
      </c>
      <c r="L50" s="73">
        <v>0</v>
      </c>
      <c r="M50" s="73">
        <v>0</v>
      </c>
      <c r="N50" s="73">
        <v>0</v>
      </c>
      <c r="O50" s="73">
        <v>0</v>
      </c>
    </row>
    <row r="52" spans="2:15" x14ac:dyDescent="0.35">
      <c r="B52" s="1230" t="s">
        <v>232</v>
      </c>
      <c r="C52" s="1230"/>
      <c r="D52" s="1230"/>
      <c r="E52" s="1230"/>
      <c r="F52" s="1230"/>
      <c r="G52" s="1230"/>
      <c r="H52" s="1230"/>
      <c r="I52" s="1230"/>
      <c r="J52" s="1230"/>
      <c r="K52" s="1230"/>
      <c r="L52" s="1230"/>
      <c r="M52" s="1230"/>
      <c r="N52" s="1230"/>
      <c r="O52" s="1230"/>
    </row>
    <row r="53" spans="2:15" x14ac:dyDescent="0.3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5">
      <c r="B54" t="s">
        <v>192</v>
      </c>
      <c r="C54" t="s">
        <v>193</v>
      </c>
      <c r="D54" s="75">
        <f t="shared" ref="D54:K54" si="0">D4-D29</f>
        <v>9.5800000000000409</v>
      </c>
      <c r="E54" s="75">
        <f t="shared" si="0"/>
        <v>29.513631356646101</v>
      </c>
      <c r="F54" s="75">
        <f t="shared" si="0"/>
        <v>26.296466365442598</v>
      </c>
      <c r="G54" s="75">
        <f t="shared" si="0"/>
        <v>16.457042073852904</v>
      </c>
      <c r="H54" s="75">
        <f t="shared" si="0"/>
        <v>16.619200000000035</v>
      </c>
      <c r="I54" s="75">
        <f t="shared" si="0"/>
        <v>16.782955734118673</v>
      </c>
      <c r="J54" s="75">
        <f t="shared" si="0"/>
        <v>16.948325020060338</v>
      </c>
      <c r="K54" s="75">
        <f t="shared" si="0"/>
        <v>17.115323756807015</v>
      </c>
      <c r="L54" s="75">
        <f t="shared" ref="L54:O54" si="1">L4-L29</f>
        <v>17.283968000000073</v>
      </c>
      <c r="M54" s="75">
        <f t="shared" si="1"/>
        <v>17.454273963483445</v>
      </c>
      <c r="N54" s="75">
        <f t="shared" si="1"/>
        <v>17.626258020862679</v>
      </c>
      <c r="O54" s="75">
        <f t="shared" si="1"/>
        <v>17.799936707079382</v>
      </c>
    </row>
    <row r="55" spans="2:15" x14ac:dyDescent="0.35">
      <c r="B55" t="s">
        <v>134</v>
      </c>
      <c r="C55" t="s">
        <v>194</v>
      </c>
      <c r="D55" s="75">
        <f t="shared" ref="D55:K55" si="2">D5-D30</f>
        <v>-8.4285714285528002E-3</v>
      </c>
      <c r="E55" s="75">
        <f t="shared" si="2"/>
        <v>-8.4285714285528002E-3</v>
      </c>
      <c r="F55" s="75">
        <f t="shared" si="2"/>
        <v>0.30157142857144947</v>
      </c>
      <c r="G55" s="75">
        <f t="shared" si="2"/>
        <v>0.30157142857144947</v>
      </c>
      <c r="H55" s="75">
        <f t="shared" si="2"/>
        <v>0.30157142857144947</v>
      </c>
      <c r="I55" s="75">
        <f t="shared" si="2"/>
        <v>0.30157142857144947</v>
      </c>
      <c r="J55" s="75">
        <f t="shared" si="2"/>
        <v>0.76357142857143856</v>
      </c>
      <c r="K55" s="75">
        <f t="shared" si="2"/>
        <v>0.76357142857143856</v>
      </c>
      <c r="L55" s="75">
        <f t="shared" ref="L55:O55" si="3">L5-L30</f>
        <v>0.76357142857143856</v>
      </c>
      <c r="M55" s="75">
        <f t="shared" si="3"/>
        <v>0.76357142857143856</v>
      </c>
      <c r="N55" s="75">
        <f t="shared" si="3"/>
        <v>0.78857142857144424</v>
      </c>
      <c r="O55" s="75">
        <f t="shared" si="3"/>
        <v>0.78857142857144424</v>
      </c>
    </row>
    <row r="56" spans="2:15" x14ac:dyDescent="0.35">
      <c r="B56" t="s">
        <v>195</v>
      </c>
      <c r="C56" t="s">
        <v>196</v>
      </c>
      <c r="D56" s="75">
        <f t="shared" ref="D56:K75" si="4">D6-D31</f>
        <v>44.700000000000045</v>
      </c>
      <c r="E56" s="75">
        <f t="shared" si="4"/>
        <v>45.163459846676005</v>
      </c>
      <c r="F56" s="75">
        <f t="shared" si="4"/>
        <v>44.193786980017649</v>
      </c>
      <c r="G56" s="75">
        <f t="shared" si="4"/>
        <v>44.646011436471099</v>
      </c>
      <c r="H56" s="75">
        <f t="shared" si="4"/>
        <v>45.064529722257248</v>
      </c>
      <c r="I56" s="75">
        <f t="shared" si="4"/>
        <v>45.443724142264728</v>
      </c>
      <c r="J56" s="75">
        <f t="shared" si="4"/>
        <v>47.030403544049022</v>
      </c>
      <c r="K56" s="75">
        <f t="shared" si="4"/>
        <v>47.41521565916787</v>
      </c>
      <c r="L56" s="75">
        <f t="shared" ref="L56:O56" si="5">L6-L31</f>
        <v>47.783174688953068</v>
      </c>
      <c r="M56" s="75">
        <f t="shared" si="5"/>
        <v>48.153942566293608</v>
      </c>
      <c r="N56" s="75">
        <f t="shared" si="5"/>
        <v>49.517710443634542</v>
      </c>
      <c r="O56" s="75">
        <f t="shared" si="5"/>
        <v>49.82387482719605</v>
      </c>
    </row>
    <row r="57" spans="2:15" x14ac:dyDescent="0.35">
      <c r="B57" t="s">
        <v>197</v>
      </c>
      <c r="C57" t="s">
        <v>198</v>
      </c>
      <c r="D57" s="75">
        <f t="shared" si="4"/>
        <v>63.699999999999818</v>
      </c>
      <c r="E57" s="75">
        <f t="shared" si="4"/>
        <v>64.889856744186091</v>
      </c>
      <c r="F57" s="75">
        <f t="shared" si="4"/>
        <v>65.797655813953497</v>
      </c>
      <c r="G57" s="75">
        <f t="shared" si="4"/>
        <v>66.60116465116289</v>
      </c>
      <c r="H57" s="75">
        <f t="shared" si="4"/>
        <v>67.295642790697912</v>
      </c>
      <c r="I57" s="75">
        <f t="shared" si="4"/>
        <v>67.923754418604858</v>
      </c>
      <c r="J57" s="75">
        <f t="shared" si="4"/>
        <v>68.530533953488884</v>
      </c>
      <c r="K57" s="75">
        <f t="shared" si="4"/>
        <v>69.125462325581793</v>
      </c>
      <c r="L57" s="75">
        <f t="shared" ref="L57:O57" si="6">L7-L32</f>
        <v>69.718020465116751</v>
      </c>
      <c r="M57" s="75">
        <f t="shared" si="6"/>
        <v>70.327170232558728</v>
      </c>
      <c r="N57" s="75">
        <f t="shared" si="6"/>
        <v>70.95765209302408</v>
      </c>
      <c r="O57" s="75">
        <f t="shared" si="6"/>
        <v>71.635538604650719</v>
      </c>
    </row>
    <row r="58" spans="2:15" x14ac:dyDescent="0.35">
      <c r="B58" t="s">
        <v>199</v>
      </c>
      <c r="C58" t="s">
        <v>200</v>
      </c>
      <c r="D58" s="75">
        <f t="shared" si="4"/>
        <v>-34.799999999999983</v>
      </c>
      <c r="E58" s="75">
        <f t="shared" si="4"/>
        <v>-10.920285337489517</v>
      </c>
      <c r="F58" s="75">
        <f t="shared" si="4"/>
        <v>0.78100000000000591</v>
      </c>
      <c r="G58" s="75">
        <f t="shared" si="4"/>
        <v>0.78100000000000591</v>
      </c>
      <c r="H58" s="75">
        <f t="shared" si="4"/>
        <v>0.78100000000000591</v>
      </c>
      <c r="I58" s="75">
        <f t="shared" si="4"/>
        <v>0.78100000000000591</v>
      </c>
      <c r="J58" s="75">
        <f t="shared" si="4"/>
        <v>2.505999999999986</v>
      </c>
      <c r="K58" s="75">
        <f t="shared" si="4"/>
        <v>2.505999999999986</v>
      </c>
      <c r="L58" s="75">
        <f t="shared" ref="L58:O58" si="7">L8-L33</f>
        <v>2.505999999999986</v>
      </c>
      <c r="M58" s="75">
        <f t="shared" si="7"/>
        <v>2.505999999999986</v>
      </c>
      <c r="N58" s="75">
        <f t="shared" si="7"/>
        <v>3.5989999999999895</v>
      </c>
      <c r="O58" s="75">
        <f t="shared" si="7"/>
        <v>3.5989999999999895</v>
      </c>
    </row>
    <row r="59" spans="2:15" x14ac:dyDescent="0.35">
      <c r="B59" t="s">
        <v>201</v>
      </c>
      <c r="C59" t="s">
        <v>202</v>
      </c>
      <c r="D59" s="75">
        <f t="shared" si="4"/>
        <v>0</v>
      </c>
      <c r="E59" s="75">
        <f t="shared" si="4"/>
        <v>0</v>
      </c>
      <c r="F59" s="75">
        <f t="shared" si="4"/>
        <v>0</v>
      </c>
      <c r="G59" s="75">
        <f t="shared" si="4"/>
        <v>0</v>
      </c>
      <c r="H59" s="75">
        <f t="shared" si="4"/>
        <v>0</v>
      </c>
      <c r="I59" s="75">
        <f t="shared" si="4"/>
        <v>0</v>
      </c>
      <c r="J59" s="75">
        <f t="shared" si="4"/>
        <v>0</v>
      </c>
      <c r="K59" s="75">
        <f t="shared" si="4"/>
        <v>0</v>
      </c>
      <c r="L59" s="75">
        <f t="shared" ref="L59:O59" si="8">L9-L34</f>
        <v>0</v>
      </c>
      <c r="M59" s="75">
        <f t="shared" si="8"/>
        <v>0</v>
      </c>
      <c r="N59" s="75">
        <f t="shared" si="8"/>
        <v>0</v>
      </c>
      <c r="O59" s="75">
        <f t="shared" si="8"/>
        <v>0</v>
      </c>
    </row>
    <row r="60" spans="2:15" x14ac:dyDescent="0.35">
      <c r="B60" t="s">
        <v>203</v>
      </c>
      <c r="C60" t="s">
        <v>204</v>
      </c>
      <c r="D60" s="75">
        <f t="shared" si="4"/>
        <v>-1.0999999999999979</v>
      </c>
      <c r="E60" s="75">
        <f t="shared" si="4"/>
        <v>0</v>
      </c>
      <c r="F60" s="75">
        <f t="shared" si="4"/>
        <v>0</v>
      </c>
      <c r="G60" s="75">
        <f t="shared" si="4"/>
        <v>0</v>
      </c>
      <c r="H60" s="75">
        <f t="shared" si="4"/>
        <v>0</v>
      </c>
      <c r="I60" s="75">
        <f t="shared" si="4"/>
        <v>0</v>
      </c>
      <c r="J60" s="75">
        <f t="shared" si="4"/>
        <v>0</v>
      </c>
      <c r="K60" s="75">
        <f t="shared" si="4"/>
        <v>0</v>
      </c>
      <c r="L60" s="75">
        <f t="shared" ref="L60:O60" si="9">L10-L35</f>
        <v>0</v>
      </c>
      <c r="M60" s="75">
        <f t="shared" si="9"/>
        <v>0</v>
      </c>
      <c r="N60" s="75">
        <f t="shared" si="9"/>
        <v>0</v>
      </c>
      <c r="O60" s="75">
        <f t="shared" si="9"/>
        <v>0</v>
      </c>
    </row>
    <row r="61" spans="2:15" x14ac:dyDescent="0.35">
      <c r="B61" t="s">
        <v>205</v>
      </c>
      <c r="C61" t="s">
        <v>206</v>
      </c>
      <c r="D61" s="75">
        <f t="shared" si="4"/>
        <v>-0.30000000000000071</v>
      </c>
      <c r="E61" s="75">
        <f t="shared" si="4"/>
        <v>-0.30999999999999872</v>
      </c>
      <c r="F61" s="75">
        <f t="shared" si="4"/>
        <v>-0.30416666666666359</v>
      </c>
      <c r="G61" s="75">
        <f t="shared" si="4"/>
        <v>-0.29833333333333201</v>
      </c>
      <c r="H61" s="75">
        <f t="shared" si="4"/>
        <v>-0.293333333333333</v>
      </c>
      <c r="I61" s="75">
        <f t="shared" si="4"/>
        <v>-0.29424999999999812</v>
      </c>
      <c r="J61" s="75">
        <f t="shared" si="4"/>
        <v>-0.29591666666666683</v>
      </c>
      <c r="K61" s="75">
        <f t="shared" si="4"/>
        <v>-0.30183333333333451</v>
      </c>
      <c r="L61" s="75">
        <f t="shared" ref="L61:O61" si="10">L11-L36</f>
        <v>-0.33100000000000307</v>
      </c>
      <c r="M61" s="75">
        <f t="shared" si="10"/>
        <v>-0.33508333333333695</v>
      </c>
      <c r="N61" s="75">
        <f t="shared" si="10"/>
        <v>-0.3401666666666685</v>
      </c>
      <c r="O61" s="75">
        <f t="shared" si="10"/>
        <v>-0.34508333333333496</v>
      </c>
    </row>
    <row r="62" spans="2:15" x14ac:dyDescent="0.35">
      <c r="B62" t="s">
        <v>207</v>
      </c>
      <c r="C62" t="s">
        <v>208</v>
      </c>
      <c r="D62" s="75">
        <f t="shared" si="4"/>
        <v>14.120000000000005</v>
      </c>
      <c r="E62" s="75">
        <f t="shared" si="4"/>
        <v>13.357807592074437</v>
      </c>
      <c r="F62" s="75">
        <f t="shared" si="4"/>
        <v>13.77202761172191</v>
      </c>
      <c r="G62" s="75">
        <f t="shared" si="4"/>
        <v>14.071957319922831</v>
      </c>
      <c r="H62" s="75">
        <f t="shared" si="4"/>
        <v>14.378418951555659</v>
      </c>
      <c r="I62" s="75">
        <f t="shared" si="4"/>
        <v>16.058292439310094</v>
      </c>
      <c r="J62" s="75">
        <f t="shared" si="4"/>
        <v>15.445765775036307</v>
      </c>
      <c r="K62" s="75">
        <f t="shared" si="4"/>
        <v>14.823715391799738</v>
      </c>
      <c r="L62" s="75">
        <f t="shared" ref="L62:O62" si="11">L12-L37</f>
        <v>14.212853569465778</v>
      </c>
      <c r="M62" s="75">
        <f t="shared" si="11"/>
        <v>13.613015613237053</v>
      </c>
      <c r="N62" s="75">
        <f t="shared" si="11"/>
        <v>13.217777667634209</v>
      </c>
      <c r="O62" s="75">
        <f t="shared" si="11"/>
        <v>12.640730852960132</v>
      </c>
    </row>
    <row r="63" spans="2:15" x14ac:dyDescent="0.35">
      <c r="B63" t="s">
        <v>209</v>
      </c>
      <c r="C63" t="s">
        <v>210</v>
      </c>
      <c r="D63" s="75">
        <f t="shared" si="4"/>
        <v>-23.100000000000023</v>
      </c>
      <c r="E63" s="75">
        <f t="shared" si="4"/>
        <v>-25.077755583117209</v>
      </c>
      <c r="F63" s="75">
        <f t="shared" si="4"/>
        <v>-25.623903479885598</v>
      </c>
      <c r="G63" s="75">
        <f t="shared" si="4"/>
        <v>-26.181945484328594</v>
      </c>
      <c r="H63" s="75">
        <f t="shared" si="4"/>
        <v>-26.752140628474422</v>
      </c>
      <c r="I63" s="75">
        <f t="shared" si="4"/>
        <v>-27.334753585597582</v>
      </c>
      <c r="J63" s="75">
        <f t="shared" si="4"/>
        <v>-27.746801890105871</v>
      </c>
      <c r="K63" s="75">
        <f t="shared" si="4"/>
        <v>-28.147450257818832</v>
      </c>
      <c r="L63" s="75">
        <f t="shared" ref="L63:O63" si="12">L13-L38</f>
        <v>-28.536890039796731</v>
      </c>
      <c r="M63" s="75">
        <f t="shared" si="12"/>
        <v>-28.915309851267466</v>
      </c>
      <c r="N63" s="75">
        <f>N13-N38</f>
        <v>-29.282895607730325</v>
      </c>
      <c r="O63" s="75">
        <f t="shared" si="12"/>
        <v>-29.639830560606924</v>
      </c>
    </row>
    <row r="64" spans="2:15" x14ac:dyDescent="0.35">
      <c r="B64" t="s">
        <v>55</v>
      </c>
      <c r="C64" t="s">
        <v>211</v>
      </c>
      <c r="D64" s="75">
        <f t="shared" si="4"/>
        <v>45.899999999999977</v>
      </c>
      <c r="E64" s="75">
        <f t="shared" si="4"/>
        <v>46.87209009230321</v>
      </c>
      <c r="F64" s="75">
        <f t="shared" si="4"/>
        <v>47.864767529869141</v>
      </c>
      <c r="G64" s="75">
        <f t="shared" si="4"/>
        <v>49.207629169662937</v>
      </c>
      <c r="H64" s="75">
        <f t="shared" si="4"/>
        <v>50.584567632416793</v>
      </c>
      <c r="I64" s="75">
        <f t="shared" si="4"/>
        <v>51.996399491720354</v>
      </c>
      <c r="J64" s="75">
        <f t="shared" si="4"/>
        <v>53.443960175454322</v>
      </c>
      <c r="K64" s="75">
        <f t="shared" si="4"/>
        <v>54.732691214566671</v>
      </c>
      <c r="L64" s="75">
        <f t="shared" ref="L64:O64" si="13">L14-L39</f>
        <v>56.05249831326978</v>
      </c>
      <c r="M64" s="75">
        <f t="shared" si="13"/>
        <v>57.404130830002259</v>
      </c>
      <c r="N64" s="75">
        <f t="shared" si="13"/>
        <v>58.7883561929998</v>
      </c>
      <c r="O64" s="75">
        <f t="shared" si="13"/>
        <v>60.205960336023509</v>
      </c>
    </row>
    <row r="65" spans="2:15" x14ac:dyDescent="0.35">
      <c r="B65" t="s">
        <v>212</v>
      </c>
      <c r="C65" t="s">
        <v>213</v>
      </c>
      <c r="D65" s="75">
        <f t="shared" si="4"/>
        <v>0</v>
      </c>
      <c r="E65" s="75">
        <f t="shared" si="4"/>
        <v>0</v>
      </c>
      <c r="F65" s="75">
        <f t="shared" si="4"/>
        <v>0</v>
      </c>
      <c r="G65" s="75">
        <f t="shared" si="4"/>
        <v>0</v>
      </c>
      <c r="H65" s="75">
        <f t="shared" si="4"/>
        <v>0</v>
      </c>
      <c r="I65" s="75">
        <f t="shared" si="4"/>
        <v>0</v>
      </c>
      <c r="J65" s="75">
        <f t="shared" si="4"/>
        <v>0</v>
      </c>
      <c r="K65" s="75">
        <f t="shared" si="4"/>
        <v>0</v>
      </c>
      <c r="L65" s="75">
        <f t="shared" ref="L65:O65" si="14">L15-L40</f>
        <v>0</v>
      </c>
      <c r="M65" s="75">
        <f t="shared" si="14"/>
        <v>0</v>
      </c>
      <c r="N65" s="75">
        <f t="shared" si="14"/>
        <v>0</v>
      </c>
      <c r="O65" s="75">
        <f t="shared" si="14"/>
        <v>0</v>
      </c>
    </row>
    <row r="66" spans="2:15" x14ac:dyDescent="0.35">
      <c r="B66" t="s">
        <v>214</v>
      </c>
      <c r="C66" t="s">
        <v>215</v>
      </c>
      <c r="D66" s="75">
        <f t="shared" si="4"/>
        <v>0</v>
      </c>
      <c r="E66" s="75">
        <f t="shared" si="4"/>
        <v>0</v>
      </c>
      <c r="F66" s="75">
        <f t="shared" si="4"/>
        <v>0</v>
      </c>
      <c r="G66" s="75">
        <f t="shared" si="4"/>
        <v>0</v>
      </c>
      <c r="H66" s="75">
        <f t="shared" si="4"/>
        <v>0</v>
      </c>
      <c r="I66" s="75">
        <f t="shared" si="4"/>
        <v>0</v>
      </c>
      <c r="J66" s="75">
        <f t="shared" si="4"/>
        <v>0</v>
      </c>
      <c r="K66" s="75">
        <f t="shared" si="4"/>
        <v>0</v>
      </c>
      <c r="L66" s="75">
        <f t="shared" ref="L66:O66" si="15">L16-L41</f>
        <v>0</v>
      </c>
      <c r="M66" s="75">
        <f t="shared" si="15"/>
        <v>0</v>
      </c>
      <c r="N66" s="75">
        <f t="shared" si="15"/>
        <v>0</v>
      </c>
      <c r="O66" s="75">
        <f t="shared" si="15"/>
        <v>0</v>
      </c>
    </row>
    <row r="67" spans="2:15" x14ac:dyDescent="0.35">
      <c r="B67" t="s">
        <v>216</v>
      </c>
      <c r="C67" t="s">
        <v>217</v>
      </c>
      <c r="D67" s="75">
        <f t="shared" si="4"/>
        <v>0</v>
      </c>
      <c r="E67" s="75">
        <f t="shared" si="4"/>
        <v>0</v>
      </c>
      <c r="F67" s="75">
        <f t="shared" si="4"/>
        <v>0</v>
      </c>
      <c r="G67" s="75">
        <f t="shared" si="4"/>
        <v>0</v>
      </c>
      <c r="H67" s="75">
        <f t="shared" si="4"/>
        <v>0</v>
      </c>
      <c r="I67" s="75">
        <f t="shared" si="4"/>
        <v>0</v>
      </c>
      <c r="J67" s="75">
        <f t="shared" si="4"/>
        <v>0</v>
      </c>
      <c r="K67" s="75">
        <f t="shared" si="4"/>
        <v>0</v>
      </c>
      <c r="L67" s="75">
        <f t="shared" ref="L67:O67" si="16">L17-L42</f>
        <v>0</v>
      </c>
      <c r="M67" s="75">
        <f t="shared" si="16"/>
        <v>0</v>
      </c>
      <c r="N67" s="75">
        <f t="shared" si="16"/>
        <v>0</v>
      </c>
      <c r="O67" s="75">
        <f t="shared" si="16"/>
        <v>0</v>
      </c>
    </row>
    <row r="68" spans="2:15" x14ac:dyDescent="0.35">
      <c r="B68" t="s">
        <v>893</v>
      </c>
      <c r="C68" t="s">
        <v>219</v>
      </c>
      <c r="D68" s="75">
        <f t="shared" si="4"/>
        <v>-24.200000000000003</v>
      </c>
      <c r="E68" s="75">
        <f t="shared" si="4"/>
        <v>-20.555888582504089</v>
      </c>
      <c r="F68" s="75">
        <f t="shared" si="4"/>
        <v>0</v>
      </c>
      <c r="G68" s="75">
        <f t="shared" si="4"/>
        <v>0</v>
      </c>
      <c r="H68" s="75">
        <f t="shared" si="4"/>
        <v>0</v>
      </c>
      <c r="I68" s="75">
        <f t="shared" si="4"/>
        <v>0</v>
      </c>
      <c r="J68" s="75">
        <f t="shared" si="4"/>
        <v>0</v>
      </c>
      <c r="K68" s="75">
        <f t="shared" si="4"/>
        <v>0</v>
      </c>
      <c r="L68" s="75">
        <f t="shared" ref="L68:O68" si="17">L18-L43</f>
        <v>0</v>
      </c>
      <c r="M68" s="75">
        <f t="shared" si="17"/>
        <v>0</v>
      </c>
      <c r="N68" s="75">
        <f t="shared" si="17"/>
        <v>0</v>
      </c>
      <c r="O68" s="75">
        <f t="shared" si="17"/>
        <v>0</v>
      </c>
    </row>
    <row r="69" spans="2:15" x14ac:dyDescent="0.35">
      <c r="B69" t="s">
        <v>220</v>
      </c>
      <c r="C69" t="s">
        <v>221</v>
      </c>
      <c r="D69" s="75">
        <f t="shared" si="4"/>
        <v>-43.799999999999955</v>
      </c>
      <c r="E69" s="75">
        <f t="shared" si="4"/>
        <v>-64.636880000001383</v>
      </c>
      <c r="F69" s="75">
        <f t="shared" si="4"/>
        <v>-129.04588000000126</v>
      </c>
      <c r="G69" s="75">
        <f t="shared" si="4"/>
        <v>-68.621480000001384</v>
      </c>
      <c r="H69" s="75">
        <f t="shared" si="4"/>
        <v>-68.72148000000152</v>
      </c>
      <c r="I69" s="75">
        <f t="shared" si="4"/>
        <v>-68.821480000001657</v>
      </c>
      <c r="J69" s="75">
        <f t="shared" si="4"/>
        <v>-88.763480000001891</v>
      </c>
      <c r="K69" s="75">
        <f t="shared" si="4"/>
        <v>-76.240200000002005</v>
      </c>
      <c r="L69" s="75">
        <f t="shared" ref="L69:O69" si="18">L19-L44</f>
        <v>-76.340200000002142</v>
      </c>
      <c r="M69" s="75">
        <f t="shared" si="18"/>
        <v>-76.440200000002278</v>
      </c>
      <c r="N69" s="75">
        <f t="shared" si="18"/>
        <v>-96.510200000002442</v>
      </c>
      <c r="O69" s="75">
        <f t="shared" si="18"/>
        <v>-96.615840000002436</v>
      </c>
    </row>
    <row r="70" spans="2:15" x14ac:dyDescent="0.35">
      <c r="B70" t="s">
        <v>222</v>
      </c>
      <c r="C70" t="s">
        <v>223</v>
      </c>
      <c r="D70" s="75">
        <f t="shared" si="4"/>
        <v>14.800000000000068</v>
      </c>
      <c r="E70" s="75">
        <f t="shared" si="4"/>
        <v>15.575869330944386</v>
      </c>
      <c r="F70" s="75">
        <f t="shared" si="4"/>
        <v>16.370358127085098</v>
      </c>
      <c r="G70" s="75">
        <f t="shared" si="4"/>
        <v>17.183834559297765</v>
      </c>
      <c r="H70" s="75">
        <f t="shared" si="4"/>
        <v>18.016673465560757</v>
      </c>
      <c r="I70" s="75">
        <f t="shared" si="4"/>
        <v>18.869256465892164</v>
      </c>
      <c r="J70" s="75">
        <f t="shared" si="4"/>
        <v>19.741972079208523</v>
      </c>
      <c r="K70" s="75">
        <f t="shared" si="4"/>
        <v>20.635215842136176</v>
      </c>
      <c r="L70" s="75">
        <f t="shared" ref="L70:O70" si="19">L20-L45</f>
        <v>21.549390429808199</v>
      </c>
      <c r="M70" s="75">
        <f t="shared" si="19"/>
        <v>22.484905778678524</v>
      </c>
      <c r="N70" s="75">
        <f t="shared" si="19"/>
        <v>23.442179211386815</v>
      </c>
      <c r="O70" s="75">
        <f t="shared" si="19"/>
        <v>24.421635563707554</v>
      </c>
    </row>
    <row r="71" spans="2:15" x14ac:dyDescent="0.35">
      <c r="B71" t="s">
        <v>224</v>
      </c>
      <c r="C71" t="s">
        <v>225</v>
      </c>
      <c r="D71" s="75">
        <f t="shared" si="4"/>
        <v>101.69999999999982</v>
      </c>
      <c r="E71" s="75">
        <f t="shared" si="4"/>
        <v>109.03002640546492</v>
      </c>
      <c r="F71" s="75">
        <f t="shared" si="4"/>
        <v>104.45815226793911</v>
      </c>
      <c r="G71" s="75">
        <f t="shared" si="4"/>
        <v>102.57091132847654</v>
      </c>
      <c r="H71" s="75">
        <f t="shared" si="4"/>
        <v>100.66490397339749</v>
      </c>
      <c r="I71" s="75">
        <f t="shared" si="4"/>
        <v>98.73972368160139</v>
      </c>
      <c r="J71" s="75">
        <f t="shared" si="4"/>
        <v>89.197830139928556</v>
      </c>
      <c r="K71" s="75">
        <f t="shared" si="4"/>
        <v>94.249047165507363</v>
      </c>
      <c r="L71" s="75">
        <f t="shared" ref="L71:O71" si="20">L21-L46</f>
        <v>92.895304108069467</v>
      </c>
      <c r="M71" s="75">
        <f t="shared" si="20"/>
        <v>91.536529812066874</v>
      </c>
      <c r="N71" s="75">
        <f t="shared" si="20"/>
        <v>95.206455043627102</v>
      </c>
      <c r="O71" s="75">
        <f t="shared" si="20"/>
        <v>90.506994880634011</v>
      </c>
    </row>
    <row r="72" spans="2:15" x14ac:dyDescent="0.35">
      <c r="B72" t="s">
        <v>226</v>
      </c>
      <c r="C72" t="s">
        <v>227</v>
      </c>
      <c r="D72" s="75">
        <f t="shared" si="4"/>
        <v>-96.800000000000182</v>
      </c>
      <c r="E72" s="75">
        <f t="shared" si="4"/>
        <v>-98.220725829391995</v>
      </c>
      <c r="F72" s="75">
        <f t="shared" si="4"/>
        <v>-99.501179116969524</v>
      </c>
      <c r="G72" s="75">
        <f t="shared" si="4"/>
        <v>-100.75812292184764</v>
      </c>
      <c r="H72" s="75">
        <f t="shared" si="4"/>
        <v>-102.02041002674059</v>
      </c>
      <c r="I72" s="75">
        <f t="shared" si="4"/>
        <v>-103.26037805914439</v>
      </c>
      <c r="J72" s="75">
        <f t="shared" si="4"/>
        <v>-104.39535381058386</v>
      </c>
      <c r="K72" s="75">
        <f t="shared" si="4"/>
        <v>-105.51960307366244</v>
      </c>
      <c r="L72" s="75">
        <f t="shared" ref="L72:O72" si="21">L22-L47</f>
        <v>-106.55451020004921</v>
      </c>
      <c r="M72" s="75">
        <f t="shared" si="21"/>
        <v>-107.61207776353831</v>
      </c>
      <c r="N72" s="75">
        <f t="shared" si="21"/>
        <v>-108.68871894355016</v>
      </c>
      <c r="O72" s="75">
        <f t="shared" si="21"/>
        <v>-109.72794633646481</v>
      </c>
    </row>
    <row r="73" spans="2:15" x14ac:dyDescent="0.35">
      <c r="B73" t="s">
        <v>228</v>
      </c>
      <c r="C73" t="s">
        <v>229</v>
      </c>
      <c r="D73" s="75">
        <f t="shared" si="4"/>
        <v>59</v>
      </c>
      <c r="E73" s="75">
        <f t="shared" si="4"/>
        <v>58.382263005874449</v>
      </c>
      <c r="F73" s="75">
        <f t="shared" si="4"/>
        <v>60.52403165102487</v>
      </c>
      <c r="G73" s="75">
        <f t="shared" si="4"/>
        <v>63.061371641189567</v>
      </c>
      <c r="H73" s="75">
        <f t="shared" si="4"/>
        <v>65.363165386787273</v>
      </c>
      <c r="I73" s="75">
        <f t="shared" si="4"/>
        <v>67.749401040219709</v>
      </c>
      <c r="J73" s="75">
        <f t="shared" si="4"/>
        <v>69.265165855494956</v>
      </c>
      <c r="K73" s="75">
        <f t="shared" si="4"/>
        <v>70.074416077635249</v>
      </c>
      <c r="L73" s="75">
        <f t="shared" ref="L73:O73" si="22">L23-L48</f>
        <v>70.893264205892422</v>
      </c>
      <c r="M73" s="75">
        <f t="shared" si="22"/>
        <v>71.721824073787104</v>
      </c>
      <c r="N73" s="75">
        <f t="shared" si="22"/>
        <v>56.953975923492351</v>
      </c>
      <c r="O73" s="75">
        <f t="shared" si="22"/>
        <v>56.211875113379108</v>
      </c>
    </row>
    <row r="74" spans="2:15" x14ac:dyDescent="0.35">
      <c r="B74" t="s">
        <v>230</v>
      </c>
      <c r="C74" t="s">
        <v>231</v>
      </c>
      <c r="D74" s="75">
        <f t="shared" si="4"/>
        <v>-9.7000000000000028</v>
      </c>
      <c r="E74" s="75">
        <f t="shared" ref="E74:O74" si="23">E24-E49</f>
        <v>-9.8943847615899472</v>
      </c>
      <c r="F74" s="75">
        <f t="shared" si="23"/>
        <v>-9.9665275597058098</v>
      </c>
      <c r="G74" s="75">
        <f t="shared" si="23"/>
        <v>-9.9484918601768442</v>
      </c>
      <c r="H74" s="75">
        <f t="shared" si="23"/>
        <v>-9.894785554912815</v>
      </c>
      <c r="I74" s="75">
        <f t="shared" si="23"/>
        <v>-9.8346665564829436</v>
      </c>
      <c r="J74" s="75">
        <f t="shared" si="23"/>
        <v>-9.7821626311875036</v>
      </c>
      <c r="K74" s="75">
        <f t="shared" si="23"/>
        <v>-9.7368729857036556</v>
      </c>
      <c r="L74" s="75">
        <f t="shared" si="23"/>
        <v>-9.7252499793405462</v>
      </c>
      <c r="M74" s="75">
        <f t="shared" si="23"/>
        <v>-9.6911825468969539</v>
      </c>
      <c r="N74" s="75">
        <f t="shared" si="23"/>
        <v>-9.7444880588381153</v>
      </c>
      <c r="O74" s="75">
        <f t="shared" si="23"/>
        <v>-9.779757871250311</v>
      </c>
    </row>
    <row r="75" spans="2:15" x14ac:dyDescent="0.35">
      <c r="B75" s="72" t="s">
        <v>1505</v>
      </c>
      <c r="C75" s="72" t="s">
        <v>1504</v>
      </c>
      <c r="D75" s="75">
        <f t="shared" si="4"/>
        <v>0</v>
      </c>
      <c r="E75" s="75">
        <f t="shared" ref="E75:O75" si="24">E25-E50</f>
        <v>0</v>
      </c>
      <c r="F75" s="75">
        <f t="shared" si="24"/>
        <v>0</v>
      </c>
      <c r="G75" s="75">
        <f t="shared" si="24"/>
        <v>20.354099999999999</v>
      </c>
      <c r="H75" s="75">
        <f t="shared" si="24"/>
        <v>20.595119999999998</v>
      </c>
      <c r="I75" s="75">
        <f t="shared" si="24"/>
        <v>20.815079999999998</v>
      </c>
      <c r="J75" s="75">
        <f t="shared" si="24"/>
        <v>21.006180000000001</v>
      </c>
      <c r="K75" s="75">
        <f t="shared" si="24"/>
        <v>25.815300000000001</v>
      </c>
      <c r="L75" s="75">
        <f t="shared" si="24"/>
        <v>26.04045</v>
      </c>
      <c r="M75" s="75">
        <f t="shared" si="24"/>
        <v>26.26465</v>
      </c>
      <c r="N75" s="75">
        <f t="shared" si="24"/>
        <v>26.498349999999999</v>
      </c>
      <c r="O75" s="75">
        <f t="shared" si="24"/>
        <v>26.454419999999999</v>
      </c>
    </row>
    <row r="77" spans="2:15" x14ac:dyDescent="0.35">
      <c r="B77" s="1230" t="s">
        <v>233</v>
      </c>
      <c r="C77" s="1230"/>
      <c r="D77" s="1230"/>
      <c r="E77" s="1230"/>
      <c r="F77" s="1230"/>
      <c r="G77" s="1230"/>
      <c r="H77" s="1230"/>
      <c r="I77" s="1230"/>
      <c r="J77" s="1230"/>
      <c r="K77" s="1230"/>
      <c r="L77" s="1230"/>
      <c r="M77" s="1230"/>
      <c r="N77" s="1230"/>
      <c r="O77" s="1230"/>
    </row>
    <row r="78" spans="2:15" x14ac:dyDescent="0.3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5">
      <c r="B79" t="s">
        <v>192</v>
      </c>
      <c r="C79" t="s">
        <v>193</v>
      </c>
      <c r="D79" s="76">
        <f t="shared" ref="D79:K79" si="25">(D4/D29-1)</f>
        <v>1.9335214476128959E-2</v>
      </c>
      <c r="E79" s="76">
        <f t="shared" si="25"/>
        <v>6.3252384140612961E-2</v>
      </c>
      <c r="F79" s="76">
        <f t="shared" si="25"/>
        <v>5.7036402251312124E-2</v>
      </c>
      <c r="G79" s="76">
        <f t="shared" si="25"/>
        <v>3.6104450025074675E-2</v>
      </c>
      <c r="H79" s="76">
        <f t="shared" si="25"/>
        <v>3.6110164020665803E-2</v>
      </c>
      <c r="I79" s="76">
        <f t="shared" si="25"/>
        <v>3.6549623343774984E-2</v>
      </c>
      <c r="J79" s="76">
        <f t="shared" si="25"/>
        <v>3.6871081503730307E-2</v>
      </c>
      <c r="K79" s="76">
        <f t="shared" si="25"/>
        <v>3.8171747526406063E-2</v>
      </c>
      <c r="L79" s="76">
        <f t="shared" ref="L79:O79" si="26">(L4/L29-1)</f>
        <v>4.0322980793435992E-2</v>
      </c>
      <c r="M79" s="76">
        <f t="shared" si="26"/>
        <v>4.0289362810395302E-2</v>
      </c>
      <c r="N79" s="76">
        <f t="shared" si="26"/>
        <v>4.0233436056013483E-2</v>
      </c>
      <c r="O79" s="76">
        <f t="shared" si="26"/>
        <v>4.2240413533790377E-2</v>
      </c>
    </row>
    <row r="80" spans="2:15" x14ac:dyDescent="0.35">
      <c r="B80" t="s">
        <v>134</v>
      </c>
      <c r="C80" t="s">
        <v>194</v>
      </c>
      <c r="D80" s="76">
        <f t="shared" ref="D80:K100" si="27">(D5/D30-1)</f>
        <v>-1.1186127684881253E-4</v>
      </c>
      <c r="E80" s="76">
        <f t="shared" si="27"/>
        <v>-1.1186127684881253E-4</v>
      </c>
      <c r="F80" s="76">
        <f t="shared" si="27"/>
        <v>3.975502917126672E-3</v>
      </c>
      <c r="G80" s="76">
        <f t="shared" si="27"/>
        <v>3.975502917126672E-3</v>
      </c>
      <c r="H80" s="76">
        <f t="shared" si="27"/>
        <v>3.975502917126672E-3</v>
      </c>
      <c r="I80" s="76">
        <f t="shared" si="27"/>
        <v>3.975502917126672E-3</v>
      </c>
      <c r="J80" s="76">
        <f t="shared" si="27"/>
        <v>9.9095073797557109E-3</v>
      </c>
      <c r="K80" s="76">
        <f t="shared" si="27"/>
        <v>9.9095073797557109E-3</v>
      </c>
      <c r="L80" s="76">
        <f t="shared" ref="L80:O80" si="28">(L5/L30-1)</f>
        <v>9.9095073797557109E-3</v>
      </c>
      <c r="M80" s="76">
        <f t="shared" si="28"/>
        <v>9.9095073797557109E-3</v>
      </c>
      <c r="N80" s="76">
        <f t="shared" si="28"/>
        <v>1.0029725781482979E-2</v>
      </c>
      <c r="O80" s="76">
        <f t="shared" si="28"/>
        <v>1.0029725781482979E-2</v>
      </c>
    </row>
    <row r="81" spans="2:15" x14ac:dyDescent="0.35">
      <c r="B81" t="s">
        <v>195</v>
      </c>
      <c r="C81" t="s">
        <v>196</v>
      </c>
      <c r="D81" s="76">
        <f t="shared" si="27"/>
        <v>2.8326996197718612E-2</v>
      </c>
      <c r="E81" s="76">
        <f t="shared" si="27"/>
        <v>2.8326996197718612E-2</v>
      </c>
      <c r="F81" s="76">
        <f t="shared" si="27"/>
        <v>2.7361714778050494E-2</v>
      </c>
      <c r="G81" s="76">
        <f t="shared" si="27"/>
        <v>2.7371162302872065E-2</v>
      </c>
      <c r="H81" s="76">
        <f t="shared" si="27"/>
        <v>2.73797423733384E-2</v>
      </c>
      <c r="I81" s="76">
        <f t="shared" si="27"/>
        <v>2.7387384327395514E-2</v>
      </c>
      <c r="J81" s="76">
        <f t="shared" si="27"/>
        <v>2.8141489032072808E-2</v>
      </c>
      <c r="K81" s="76">
        <f t="shared" si="27"/>
        <v>2.8142984790050951E-2</v>
      </c>
      <c r="L81" s="76">
        <f t="shared" ref="L81:O81" si="29">(L6/L31-1)</f>
        <v>2.814439265361357E-2</v>
      </c>
      <c r="M81" s="76">
        <f t="shared" si="29"/>
        <v>2.8145789640616981E-2</v>
      </c>
      <c r="N81" s="76">
        <f t="shared" si="29"/>
        <v>2.8697212190686328E-2</v>
      </c>
      <c r="O81" s="76">
        <f t="shared" si="29"/>
        <v>2.869490769101124E-2</v>
      </c>
    </row>
    <row r="82" spans="2:15" x14ac:dyDescent="0.35">
      <c r="B82" t="s">
        <v>197</v>
      </c>
      <c r="C82" t="s">
        <v>198</v>
      </c>
      <c r="D82" s="76">
        <f t="shared" si="27"/>
        <v>2.336500018339871E-2</v>
      </c>
      <c r="E82" s="76">
        <f t="shared" si="27"/>
        <v>2.336500018339871E-2</v>
      </c>
      <c r="F82" s="76">
        <f t="shared" si="27"/>
        <v>2.336500018339871E-2</v>
      </c>
      <c r="G82" s="76">
        <f t="shared" si="27"/>
        <v>2.336500018339871E-2</v>
      </c>
      <c r="H82" s="76">
        <f t="shared" si="27"/>
        <v>2.3365000183398932E-2</v>
      </c>
      <c r="I82" s="76">
        <f t="shared" si="27"/>
        <v>2.336500018339871E-2</v>
      </c>
      <c r="J82" s="76">
        <f t="shared" si="27"/>
        <v>2.3365000183398932E-2</v>
      </c>
      <c r="K82" s="76">
        <f t="shared" si="27"/>
        <v>2.3365000183398932E-2</v>
      </c>
      <c r="L82" s="76">
        <f t="shared" ref="L82:O82" si="30">(L7/L32-1)</f>
        <v>2.3365000183398932E-2</v>
      </c>
      <c r="M82" s="76">
        <f t="shared" si="30"/>
        <v>2.3365000183398932E-2</v>
      </c>
      <c r="N82" s="76">
        <f t="shared" si="30"/>
        <v>2.3365000183398932E-2</v>
      </c>
      <c r="O82" s="76">
        <f t="shared" si="30"/>
        <v>2.3365000183398488E-2</v>
      </c>
    </row>
    <row r="83" spans="2:15" x14ac:dyDescent="0.35">
      <c r="B83" t="s">
        <v>199</v>
      </c>
      <c r="C83" t="s">
        <v>200</v>
      </c>
      <c r="D83" s="76">
        <f t="shared" si="27"/>
        <v>-0.7333726713310289</v>
      </c>
      <c r="E83" s="76">
        <f t="shared" si="27"/>
        <v>-1.974144770110756</v>
      </c>
      <c r="F83" s="76">
        <f t="shared" si="27"/>
        <v>1.0413194490740185E-2</v>
      </c>
      <c r="G83" s="76">
        <f t="shared" si="27"/>
        <v>1.0413194490740185E-2</v>
      </c>
      <c r="H83" s="76">
        <f t="shared" si="27"/>
        <v>1.0413194490740185E-2</v>
      </c>
      <c r="I83" s="76">
        <f t="shared" si="27"/>
        <v>1.0413194490740185E-2</v>
      </c>
      <c r="J83" s="76">
        <f t="shared" si="27"/>
        <v>3.0650684931506689E-2</v>
      </c>
      <c r="K83" s="76">
        <f t="shared" si="27"/>
        <v>3.0650684931506689E-2</v>
      </c>
      <c r="L83" s="76">
        <f t="shared" ref="L83:O83" si="31">(L8/L33-1)</f>
        <v>3.0650684931506689E-2</v>
      </c>
      <c r="M83" s="76">
        <f t="shared" si="31"/>
        <v>3.0650684931506689E-2</v>
      </c>
      <c r="N83" s="76">
        <f t="shared" si="31"/>
        <v>4.1006767996718319E-2</v>
      </c>
      <c r="O83" s="76">
        <f t="shared" si="31"/>
        <v>4.1006767996718319E-2</v>
      </c>
    </row>
    <row r="84" spans="2:15" x14ac:dyDescent="0.35">
      <c r="B84" t="s">
        <v>201</v>
      </c>
      <c r="C84" t="s">
        <v>202</v>
      </c>
      <c r="D84" s="76">
        <f t="shared" si="27"/>
        <v>0</v>
      </c>
      <c r="E84" s="76">
        <f t="shared" si="27"/>
        <v>0</v>
      </c>
      <c r="F84" s="76">
        <f t="shared" si="27"/>
        <v>0</v>
      </c>
      <c r="G84" s="76">
        <f t="shared" si="27"/>
        <v>0</v>
      </c>
      <c r="H84" s="76">
        <f t="shared" si="27"/>
        <v>0</v>
      </c>
      <c r="I84" s="76">
        <f t="shared" si="27"/>
        <v>0</v>
      </c>
      <c r="J84" s="76">
        <f t="shared" si="27"/>
        <v>0</v>
      </c>
      <c r="K84" s="76">
        <f t="shared" si="27"/>
        <v>0</v>
      </c>
      <c r="L84" s="76">
        <f t="shared" ref="L84:O84" si="32">(L9/L34-1)</f>
        <v>0</v>
      </c>
      <c r="M84" s="76">
        <f t="shared" si="32"/>
        <v>0</v>
      </c>
      <c r="N84" s="76">
        <f t="shared" si="32"/>
        <v>0</v>
      </c>
      <c r="O84" s="76">
        <f t="shared" si="32"/>
        <v>0</v>
      </c>
    </row>
    <row r="85" spans="2:15" x14ac:dyDescent="0.35">
      <c r="B85" t="s">
        <v>203</v>
      </c>
      <c r="C85" t="s">
        <v>204</v>
      </c>
      <c r="D85" s="76">
        <f t="shared" si="27"/>
        <v>-0.49999999999999922</v>
      </c>
      <c r="E85" s="76" t="e">
        <f t="shared" si="27"/>
        <v>#DIV/0!</v>
      </c>
      <c r="F85" s="76" t="e">
        <f t="shared" si="27"/>
        <v>#DIV/0!</v>
      </c>
      <c r="G85" s="76" t="e">
        <f t="shared" si="27"/>
        <v>#DIV/0!</v>
      </c>
      <c r="H85" s="76" t="e">
        <f t="shared" si="27"/>
        <v>#DIV/0!</v>
      </c>
      <c r="I85" s="76" t="e">
        <f t="shared" si="27"/>
        <v>#DIV/0!</v>
      </c>
      <c r="J85" s="76" t="e">
        <f t="shared" si="27"/>
        <v>#DIV/0!</v>
      </c>
      <c r="K85" s="76" t="e">
        <f t="shared" si="27"/>
        <v>#DIV/0!</v>
      </c>
      <c r="L85" s="76" t="e">
        <f t="shared" ref="L85:O85" si="33">(L10/L35-1)</f>
        <v>#DIV/0!</v>
      </c>
      <c r="M85" s="76" t="e">
        <f t="shared" si="33"/>
        <v>#DIV/0!</v>
      </c>
      <c r="N85" s="76" t="e">
        <f t="shared" si="33"/>
        <v>#DIV/0!</v>
      </c>
      <c r="O85" s="76" t="e">
        <f t="shared" si="33"/>
        <v>#DIV/0!</v>
      </c>
    </row>
    <row r="86" spans="2:15" x14ac:dyDescent="0.35">
      <c r="B86" t="s">
        <v>205</v>
      </c>
      <c r="C86" t="s">
        <v>206</v>
      </c>
      <c r="D86" s="76">
        <f t="shared" si="27"/>
        <v>-1.6853932584269704E-2</v>
      </c>
      <c r="E86" s="76">
        <f t="shared" si="27"/>
        <v>-1.6853932584269593E-2</v>
      </c>
      <c r="F86" s="76">
        <f t="shared" si="27"/>
        <v>-1.6853932584269482E-2</v>
      </c>
      <c r="G86" s="76">
        <f t="shared" si="27"/>
        <v>-1.6853932584269593E-2</v>
      </c>
      <c r="H86" s="76">
        <f t="shared" si="27"/>
        <v>-1.6853932584269593E-2</v>
      </c>
      <c r="I86" s="76">
        <f t="shared" si="27"/>
        <v>-1.6853932584269593E-2</v>
      </c>
      <c r="J86" s="76">
        <f t="shared" si="27"/>
        <v>-1.6853932584269704E-2</v>
      </c>
      <c r="K86" s="76">
        <f t="shared" si="27"/>
        <v>-1.6853932584269704E-2</v>
      </c>
      <c r="L86" s="76">
        <f t="shared" ref="L86:O86" si="34">(L11/L36-1)</f>
        <v>-1.6853932584269815E-2</v>
      </c>
      <c r="M86" s="76">
        <f t="shared" si="34"/>
        <v>-1.6853932584269815E-2</v>
      </c>
      <c r="N86" s="76">
        <f t="shared" si="34"/>
        <v>-1.6853932584269704E-2</v>
      </c>
      <c r="O86" s="76">
        <f t="shared" si="34"/>
        <v>-1.6853932584269704E-2</v>
      </c>
    </row>
    <row r="87" spans="2:15" x14ac:dyDescent="0.35">
      <c r="B87" t="s">
        <v>207</v>
      </c>
      <c r="C87" t="s">
        <v>208</v>
      </c>
      <c r="D87" s="76">
        <f t="shared" si="27"/>
        <v>2.4513463307928696E-2</v>
      </c>
      <c r="E87" s="76">
        <f t="shared" si="27"/>
        <v>2.2672923399676082E-2</v>
      </c>
      <c r="F87" s="76">
        <f t="shared" si="27"/>
        <v>2.2990225783586116E-2</v>
      </c>
      <c r="G87" s="76">
        <f t="shared" si="27"/>
        <v>2.2990225783586116E-2</v>
      </c>
      <c r="H87" s="76">
        <f t="shared" si="27"/>
        <v>2.2990225783586116E-2</v>
      </c>
      <c r="I87" s="76">
        <f t="shared" si="27"/>
        <v>2.7046107267832076E-2</v>
      </c>
      <c r="J87" s="76">
        <f t="shared" si="27"/>
        <v>2.6297264648953877E-2</v>
      </c>
      <c r="K87" s="76">
        <f t="shared" si="27"/>
        <v>2.5491128965486221E-2</v>
      </c>
      <c r="L87" s="76">
        <f t="shared" ref="L87:O87" si="35">(L12/L37-1)</f>
        <v>2.4685626485245971E-2</v>
      </c>
      <c r="M87" s="76">
        <f t="shared" si="35"/>
        <v>2.3880756710864315E-2</v>
      </c>
      <c r="N87" s="76">
        <f t="shared" si="35"/>
        <v>2.3597305040153893E-2</v>
      </c>
      <c r="O87" s="76">
        <f t="shared" si="35"/>
        <v>2.2793290120191489E-2</v>
      </c>
    </row>
    <row r="88" spans="2:15" x14ac:dyDescent="0.35">
      <c r="B88" t="s">
        <v>209</v>
      </c>
      <c r="C88" t="s">
        <v>210</v>
      </c>
      <c r="D88" s="76">
        <f t="shared" si="27"/>
        <v>-2.8427270489785883E-2</v>
      </c>
      <c r="E88" s="76">
        <f t="shared" si="27"/>
        <v>-3.0172702293736808E-2</v>
      </c>
      <c r="F88" s="76">
        <f t="shared" si="27"/>
        <v>-3.0172702293736808E-2</v>
      </c>
      <c r="G88" s="76">
        <f t="shared" si="27"/>
        <v>-3.0172702293736697E-2</v>
      </c>
      <c r="H88" s="76">
        <f t="shared" si="27"/>
        <v>-3.0172702293736697E-2</v>
      </c>
      <c r="I88" s="76">
        <f t="shared" si="27"/>
        <v>-3.0172702293736586E-2</v>
      </c>
      <c r="J88" s="76">
        <f t="shared" si="27"/>
        <v>-3.0934481963635241E-2</v>
      </c>
      <c r="K88" s="76">
        <f t="shared" si="27"/>
        <v>-3.1695663271055441E-2</v>
      </c>
      <c r="L88" s="76">
        <f t="shared" ref="L88:O88" si="36">(L13/L38-1)</f>
        <v>-3.245624668599878E-2</v>
      </c>
      <c r="M88" s="76">
        <f t="shared" si="36"/>
        <v>-3.3216232678097923E-2</v>
      </c>
      <c r="N88" s="76">
        <f t="shared" si="36"/>
        <v>-3.3975621716616056E-2</v>
      </c>
      <c r="O88" s="76">
        <f t="shared" si="36"/>
        <v>-3.4734414270448211E-2</v>
      </c>
    </row>
    <row r="89" spans="2:15" x14ac:dyDescent="0.35">
      <c r="B89" t="s">
        <v>55</v>
      </c>
      <c r="C89" t="s">
        <v>211</v>
      </c>
      <c r="D89" s="76">
        <f t="shared" si="27"/>
        <v>5.3008430534703832E-2</v>
      </c>
      <c r="E89" s="76">
        <f t="shared" si="27"/>
        <v>5.3799384643966164E-2</v>
      </c>
      <c r="F89" s="76">
        <f t="shared" si="27"/>
        <v>5.3799384643966164E-2</v>
      </c>
      <c r="G89" s="76">
        <f t="shared" si="27"/>
        <v>5.426918582782414E-2</v>
      </c>
      <c r="H89" s="76">
        <f t="shared" si="27"/>
        <v>5.4739196456815131E-2</v>
      </c>
      <c r="I89" s="76">
        <f t="shared" si="27"/>
        <v>5.5209416624313112E-2</v>
      </c>
      <c r="J89" s="76">
        <f t="shared" si="27"/>
        <v>5.5679846423734247E-2</v>
      </c>
      <c r="K89" s="76">
        <f t="shared" si="27"/>
        <v>5.5679846423734247E-2</v>
      </c>
      <c r="L89" s="76">
        <f t="shared" ref="L89:O89" si="37">(L14/L39-1)</f>
        <v>5.5679846423734469E-2</v>
      </c>
      <c r="M89" s="76">
        <f t="shared" si="37"/>
        <v>5.5679846423734247E-2</v>
      </c>
      <c r="N89" s="76">
        <f t="shared" si="37"/>
        <v>5.5679846423734247E-2</v>
      </c>
      <c r="O89" s="76">
        <f t="shared" si="37"/>
        <v>5.5679846423734469E-2</v>
      </c>
    </row>
    <row r="90" spans="2:15" x14ac:dyDescent="0.35">
      <c r="B90" t="s">
        <v>212</v>
      </c>
      <c r="C90" t="s">
        <v>213</v>
      </c>
      <c r="D90" s="76" t="e">
        <f t="shared" si="27"/>
        <v>#DIV/0!</v>
      </c>
      <c r="E90" s="76" t="e">
        <f t="shared" si="27"/>
        <v>#DIV/0!</v>
      </c>
      <c r="F90" s="76" t="e">
        <f t="shared" si="27"/>
        <v>#DIV/0!</v>
      </c>
      <c r="G90" s="76" t="e">
        <f t="shared" si="27"/>
        <v>#DIV/0!</v>
      </c>
      <c r="H90" s="76" t="e">
        <f t="shared" si="27"/>
        <v>#DIV/0!</v>
      </c>
      <c r="I90" s="76" t="e">
        <f t="shared" si="27"/>
        <v>#DIV/0!</v>
      </c>
      <c r="J90" s="76" t="e">
        <f t="shared" si="27"/>
        <v>#DIV/0!</v>
      </c>
      <c r="K90" s="76" t="e">
        <f t="shared" si="27"/>
        <v>#DIV/0!</v>
      </c>
      <c r="L90" s="76" t="e">
        <f t="shared" ref="L90:O90" si="38">(L15/L40-1)</f>
        <v>#DIV/0!</v>
      </c>
      <c r="M90" s="76" t="e">
        <f t="shared" si="38"/>
        <v>#DIV/0!</v>
      </c>
      <c r="N90" s="76" t="e">
        <f t="shared" si="38"/>
        <v>#DIV/0!</v>
      </c>
      <c r="O90" s="76" t="e">
        <f t="shared" si="38"/>
        <v>#DIV/0!</v>
      </c>
    </row>
    <row r="91" spans="2:15" x14ac:dyDescent="0.35">
      <c r="B91" t="s">
        <v>214</v>
      </c>
      <c r="C91" t="s">
        <v>215</v>
      </c>
      <c r="D91" s="76" t="e">
        <f t="shared" si="27"/>
        <v>#DIV/0!</v>
      </c>
      <c r="E91" s="76" t="e">
        <f t="shared" si="27"/>
        <v>#DIV/0!</v>
      </c>
      <c r="F91" s="76" t="e">
        <f t="shared" si="27"/>
        <v>#DIV/0!</v>
      </c>
      <c r="G91" s="76" t="e">
        <f t="shared" si="27"/>
        <v>#DIV/0!</v>
      </c>
      <c r="H91" s="76" t="e">
        <f t="shared" si="27"/>
        <v>#DIV/0!</v>
      </c>
      <c r="I91" s="76" t="e">
        <f t="shared" si="27"/>
        <v>#DIV/0!</v>
      </c>
      <c r="J91" s="76" t="e">
        <f t="shared" si="27"/>
        <v>#DIV/0!</v>
      </c>
      <c r="K91" s="76" t="e">
        <f t="shared" si="27"/>
        <v>#DIV/0!</v>
      </c>
      <c r="L91" s="76" t="e">
        <f t="shared" ref="L91:O91" si="39">(L16/L41-1)</f>
        <v>#DIV/0!</v>
      </c>
      <c r="M91" s="76" t="e">
        <f t="shared" si="39"/>
        <v>#DIV/0!</v>
      </c>
      <c r="N91" s="76" t="e">
        <f t="shared" si="39"/>
        <v>#DIV/0!</v>
      </c>
      <c r="O91" s="76" t="e">
        <f t="shared" si="39"/>
        <v>#DIV/0!</v>
      </c>
    </row>
    <row r="92" spans="2:15" x14ac:dyDescent="0.35">
      <c r="B92" t="s">
        <v>216</v>
      </c>
      <c r="C92" t="s">
        <v>217</v>
      </c>
      <c r="D92" s="76">
        <f t="shared" si="27"/>
        <v>0</v>
      </c>
      <c r="E92" s="76">
        <f t="shared" si="27"/>
        <v>0</v>
      </c>
      <c r="F92" s="76">
        <f t="shared" si="27"/>
        <v>0</v>
      </c>
      <c r="G92" s="76">
        <f t="shared" si="27"/>
        <v>0</v>
      </c>
      <c r="H92" s="76">
        <f t="shared" si="27"/>
        <v>0</v>
      </c>
      <c r="I92" s="76">
        <f t="shared" si="27"/>
        <v>0</v>
      </c>
      <c r="J92" s="76">
        <f t="shared" si="27"/>
        <v>0</v>
      </c>
      <c r="K92" s="76">
        <f t="shared" si="27"/>
        <v>0</v>
      </c>
      <c r="L92" s="76">
        <f t="shared" ref="L92:O92" si="40">(L17/L42-1)</f>
        <v>0</v>
      </c>
      <c r="M92" s="76">
        <f t="shared" si="40"/>
        <v>0</v>
      </c>
      <c r="N92" s="76">
        <f t="shared" si="40"/>
        <v>0</v>
      </c>
      <c r="O92" s="76">
        <f t="shared" si="40"/>
        <v>0</v>
      </c>
    </row>
    <row r="93" spans="2:15" x14ac:dyDescent="0.35">
      <c r="B93" t="s">
        <v>218</v>
      </c>
      <c r="C93" t="s">
        <v>219</v>
      </c>
      <c r="D93" s="76">
        <f t="shared" si="27"/>
        <v>-0.37860417090380005</v>
      </c>
      <c r="E93" s="76">
        <f t="shared" si="27"/>
        <v>-0.41174352802143788</v>
      </c>
      <c r="F93" s="76">
        <f t="shared" si="27"/>
        <v>0</v>
      </c>
      <c r="G93" s="76">
        <f t="shared" si="27"/>
        <v>0</v>
      </c>
      <c r="H93" s="76">
        <f t="shared" si="27"/>
        <v>0</v>
      </c>
      <c r="I93" s="76">
        <f t="shared" si="27"/>
        <v>0</v>
      </c>
      <c r="J93" s="76">
        <f t="shared" si="27"/>
        <v>0</v>
      </c>
      <c r="K93" s="76">
        <f t="shared" si="27"/>
        <v>0</v>
      </c>
      <c r="L93" s="76">
        <f t="shared" ref="L93:O93" si="41">(L18/L43-1)</f>
        <v>0</v>
      </c>
      <c r="M93" s="76">
        <f t="shared" si="41"/>
        <v>0</v>
      </c>
      <c r="N93" s="76">
        <f t="shared" si="41"/>
        <v>0</v>
      </c>
      <c r="O93" s="76">
        <f t="shared" si="41"/>
        <v>0</v>
      </c>
    </row>
    <row r="94" spans="2:15" x14ac:dyDescent="0.35">
      <c r="B94" t="s">
        <v>220</v>
      </c>
      <c r="C94" t="s">
        <v>221</v>
      </c>
      <c r="D94" s="76">
        <f t="shared" si="27"/>
        <v>-2.3486211770560095E-2</v>
      </c>
      <c r="E94" s="76">
        <f t="shared" si="27"/>
        <v>-3.5254498440791981E-2</v>
      </c>
      <c r="F94" s="76">
        <f t="shared" si="27"/>
        <v>-6.7251418133014718E-2</v>
      </c>
      <c r="G94" s="76">
        <f t="shared" si="27"/>
        <v>-3.6048184256609384E-2</v>
      </c>
      <c r="H94" s="76">
        <f t="shared" si="27"/>
        <v>-3.5966569270472037E-2</v>
      </c>
      <c r="I94" s="76">
        <f t="shared" si="27"/>
        <v>-3.588555858623288E-2</v>
      </c>
      <c r="J94" s="76">
        <f t="shared" si="27"/>
        <v>-4.5754481039115169E-2</v>
      </c>
      <c r="K94" s="76">
        <f t="shared" si="27"/>
        <v>-3.8654325585646743E-2</v>
      </c>
      <c r="L94" s="76">
        <f t="shared" ref="L94:O94" si="42">(L19/L44-1)</f>
        <v>-3.856619760344504E-2</v>
      </c>
      <c r="M94" s="76">
        <f t="shared" si="42"/>
        <v>-3.8478699563500585E-2</v>
      </c>
      <c r="N94" s="76">
        <f t="shared" si="42"/>
        <v>-4.7904039557467804E-2</v>
      </c>
      <c r="O94" s="76">
        <f t="shared" si="42"/>
        <v>-4.7183529416477077E-2</v>
      </c>
    </row>
    <row r="95" spans="2:15" x14ac:dyDescent="0.35">
      <c r="B95" t="s">
        <v>222</v>
      </c>
      <c r="C95" t="s">
        <v>223</v>
      </c>
      <c r="D95" s="76">
        <f t="shared" si="27"/>
        <v>9.3434343434343869E-2</v>
      </c>
      <c r="E95" s="76">
        <f t="shared" si="27"/>
        <v>9.7160956765607986E-2</v>
      </c>
      <c r="F95" s="76">
        <f t="shared" si="27"/>
        <v>0.10090027103955235</v>
      </c>
      <c r="G95" s="76">
        <f t="shared" si="27"/>
        <v>0.10465232954318626</v>
      </c>
      <c r="H95" s="76">
        <f t="shared" si="27"/>
        <v>0.10841717571104836</v>
      </c>
      <c r="I95" s="76">
        <f t="shared" si="27"/>
        <v>0.11219485312570954</v>
      </c>
      <c r="J95" s="76">
        <f t="shared" si="27"/>
        <v>0.11598540551827807</v>
      </c>
      <c r="K95" s="76">
        <f t="shared" si="27"/>
        <v>0.11978887676890482</v>
      </c>
      <c r="L95" s="76">
        <f t="shared" ref="L95:O95" si="43">(L20/L45-1)</f>
        <v>0.12360531090729254</v>
      </c>
      <c r="M95" s="76">
        <f t="shared" si="43"/>
        <v>0.12743475211320399</v>
      </c>
      <c r="N95" s="76">
        <f t="shared" si="43"/>
        <v>0.13127724471697477</v>
      </c>
      <c r="O95" s="76">
        <f t="shared" si="43"/>
        <v>0.13513283320002567</v>
      </c>
    </row>
    <row r="96" spans="2:15" x14ac:dyDescent="0.35">
      <c r="B96" t="s">
        <v>224</v>
      </c>
      <c r="C96" t="s">
        <v>225</v>
      </c>
      <c r="D96" s="76">
        <f t="shared" si="27"/>
        <v>2.3331039229181005E-2</v>
      </c>
      <c r="E96" s="76">
        <f t="shared" si="27"/>
        <v>2.4014934192464921E-2</v>
      </c>
      <c r="F96" s="76">
        <f t="shared" si="27"/>
        <v>2.2894875649707602E-2</v>
      </c>
      <c r="G96" s="76">
        <f t="shared" si="27"/>
        <v>2.2368278987358936E-2</v>
      </c>
      <c r="H96" s="76">
        <f t="shared" si="27"/>
        <v>2.183988944715809E-2</v>
      </c>
      <c r="I96" s="76">
        <f t="shared" si="27"/>
        <v>2.1309816053103114E-2</v>
      </c>
      <c r="J96" s="76">
        <f t="shared" si="27"/>
        <v>1.921713344335596E-2</v>
      </c>
      <c r="K96" s="76">
        <f t="shared" si="27"/>
        <v>2.0297424512382811E-2</v>
      </c>
      <c r="L96" s="76">
        <f t="shared" ref="L96:O96" si="44">(L21/L46-1)</f>
        <v>1.9969769772408608E-2</v>
      </c>
      <c r="M96" s="76">
        <f t="shared" si="44"/>
        <v>1.964146934882538E-2</v>
      </c>
      <c r="N96" s="76">
        <f t="shared" si="44"/>
        <v>2.0373021614969566E-2</v>
      </c>
      <c r="O96" s="76">
        <f t="shared" si="44"/>
        <v>1.9299334041976701E-2</v>
      </c>
    </row>
    <row r="97" spans="2:15" x14ac:dyDescent="0.35">
      <c r="B97" t="s">
        <v>226</v>
      </c>
      <c r="C97" t="s">
        <v>227</v>
      </c>
      <c r="D97" s="76">
        <f t="shared" si="27"/>
        <v>-4.21547707181118E-2</v>
      </c>
      <c r="E97" s="76">
        <f t="shared" si="27"/>
        <v>-4.2146488333579035E-2</v>
      </c>
      <c r="F97" s="76">
        <f t="shared" si="27"/>
        <v>-4.2133328595876485E-2</v>
      </c>
      <c r="G97" s="76">
        <f t="shared" si="27"/>
        <v>-4.2165394900457565E-2</v>
      </c>
      <c r="H97" s="76">
        <f t="shared" si="27"/>
        <v>-4.2204363028329417E-2</v>
      </c>
      <c r="I97" s="76">
        <f t="shared" si="27"/>
        <v>-4.2246635954006351E-2</v>
      </c>
      <c r="J97" s="76">
        <f t="shared" si="27"/>
        <v>-4.227785065129952E-2</v>
      </c>
      <c r="K97" s="76">
        <f t="shared" si="27"/>
        <v>-4.2310995985830768E-2</v>
      </c>
      <c r="L97" s="76">
        <f t="shared" ref="L97:O97" si="45">(L22/L47-1)</f>
        <v>-4.2337354742182032E-2</v>
      </c>
      <c r="M97" s="76">
        <f t="shared" si="45"/>
        <v>-4.2375158712202321E-2</v>
      </c>
      <c r="N97" s="76">
        <f t="shared" si="45"/>
        <v>-4.2402178914395683E-2</v>
      </c>
      <c r="O97" s="76">
        <f t="shared" si="45"/>
        <v>-4.2420992913007161E-2</v>
      </c>
    </row>
    <row r="98" spans="2:15" x14ac:dyDescent="0.35">
      <c r="B98" t="s">
        <v>228</v>
      </c>
      <c r="C98" t="s">
        <v>229</v>
      </c>
      <c r="D98" s="76">
        <f t="shared" si="27"/>
        <v>0.20054384772263756</v>
      </c>
      <c r="E98" s="76">
        <f t="shared" si="27"/>
        <v>0.20054384772263756</v>
      </c>
      <c r="F98" s="76">
        <f t="shared" si="27"/>
        <v>0.20054384772263778</v>
      </c>
      <c r="G98" s="76">
        <f t="shared" si="27"/>
        <v>0.18127799057182759</v>
      </c>
      <c r="H98" s="76">
        <f t="shared" si="27"/>
        <v>0.18189335040511989</v>
      </c>
      <c r="I98" s="76">
        <f t="shared" si="27"/>
        <v>0.18249111566281551</v>
      </c>
      <c r="J98" s="76">
        <f t="shared" si="27"/>
        <v>0.18459111318825427</v>
      </c>
      <c r="K98" s="76">
        <f t="shared" si="27"/>
        <v>0.18476084336785159</v>
      </c>
      <c r="L98" s="76">
        <f t="shared" ref="L98:O98" si="46">(L23/L48-1)</f>
        <v>0.18492894952598671</v>
      </c>
      <c r="M98" s="76">
        <f t="shared" si="46"/>
        <v>0.18509544334264971</v>
      </c>
      <c r="N98" s="76">
        <f t="shared" si="46"/>
        <v>0.14662654430170097</v>
      </c>
      <c r="O98" s="76">
        <f t="shared" si="46"/>
        <v>0.14610795028532553</v>
      </c>
    </row>
    <row r="99" spans="2:15" x14ac:dyDescent="0.35">
      <c r="B99" t="s">
        <v>230</v>
      </c>
      <c r="C99" t="s">
        <v>231</v>
      </c>
      <c r="D99" s="76">
        <f t="shared" si="27"/>
        <v>-8.1171548117154879E-2</v>
      </c>
      <c r="E99" s="76">
        <f t="shared" ref="E99:O99" si="47">(E24/E49-1)</f>
        <v>-8.1171548117154768E-2</v>
      </c>
      <c r="F99" s="76">
        <f t="shared" si="47"/>
        <v>-8.1171548117154768E-2</v>
      </c>
      <c r="G99" s="76">
        <f t="shared" si="47"/>
        <v>-8.1171548117154768E-2</v>
      </c>
      <c r="H99" s="76">
        <f t="shared" si="47"/>
        <v>-8.1171548117154768E-2</v>
      </c>
      <c r="I99" s="76">
        <f t="shared" si="47"/>
        <v>-8.1171548117154879E-2</v>
      </c>
      <c r="J99" s="76">
        <f t="shared" si="47"/>
        <v>-8.1171548117154768E-2</v>
      </c>
      <c r="K99" s="76">
        <f t="shared" si="47"/>
        <v>-8.1171548117154768E-2</v>
      </c>
      <c r="L99" s="76">
        <f t="shared" si="47"/>
        <v>-8.1171548117154768E-2</v>
      </c>
      <c r="M99" s="76">
        <f t="shared" si="47"/>
        <v>-8.1171548117154879E-2</v>
      </c>
      <c r="N99" s="76">
        <f t="shared" si="47"/>
        <v>-8.1171548117154768E-2</v>
      </c>
      <c r="O99" s="76">
        <f t="shared" si="47"/>
        <v>-8.1171548117154768E-2</v>
      </c>
    </row>
    <row r="100" spans="2:15" x14ac:dyDescent="0.35">
      <c r="B100" s="72" t="s">
        <v>1505</v>
      </c>
      <c r="C100" s="72" t="s">
        <v>1504</v>
      </c>
      <c r="D100" s="76" t="e">
        <f t="shared" si="27"/>
        <v>#DIV/0!</v>
      </c>
      <c r="E100" s="76" t="e">
        <f t="shared" ref="E100:O100" si="48">(E25/E50-1)</f>
        <v>#DIV/0!</v>
      </c>
      <c r="F100" s="76" t="e">
        <f t="shared" si="48"/>
        <v>#DIV/0!</v>
      </c>
      <c r="G100" s="76" t="e">
        <f t="shared" si="48"/>
        <v>#DIV/0!</v>
      </c>
      <c r="H100" s="76" t="e">
        <f t="shared" si="48"/>
        <v>#DIV/0!</v>
      </c>
      <c r="I100" s="76" t="e">
        <f t="shared" si="48"/>
        <v>#DIV/0!</v>
      </c>
      <c r="J100" s="76" t="e">
        <f t="shared" si="48"/>
        <v>#DIV/0!</v>
      </c>
      <c r="K100" s="76" t="e">
        <f t="shared" si="48"/>
        <v>#DIV/0!</v>
      </c>
      <c r="L100" s="76" t="e">
        <f t="shared" si="48"/>
        <v>#DIV/0!</v>
      </c>
      <c r="M100" s="76" t="e">
        <f t="shared" si="48"/>
        <v>#DIV/0!</v>
      </c>
      <c r="N100" s="76" t="e">
        <f t="shared" si="48"/>
        <v>#DIV/0!</v>
      </c>
      <c r="O100" s="76" t="e">
        <f t="shared" si="48"/>
        <v>#DIV/0!</v>
      </c>
    </row>
  </sheetData>
  <mergeCells count="4">
    <mergeCell ref="B2:O2"/>
    <mergeCell ref="B77:O77"/>
    <mergeCell ref="B52:O52"/>
    <mergeCell ref="B27:O27"/>
  </mergeCells>
  <conditionalFormatting sqref="D54:O75 D79:O100">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3"/>
  <sheetViews>
    <sheetView tabSelected="1" zoomScaleNormal="100" workbookViewId="0">
      <selection activeCell="C17" sqref="C17"/>
    </sheetView>
  </sheetViews>
  <sheetFormatPr defaultColWidth="11.453125" defaultRowHeight="14.5" x14ac:dyDescent="0.35"/>
  <cols>
    <col min="1" max="1" width="41.1796875" customWidth="1"/>
    <col min="2" max="2" width="23.453125" customWidth="1"/>
    <col min="3" max="10" width="10.453125" customWidth="1"/>
  </cols>
  <sheetData>
    <row r="1" spans="1:15" x14ac:dyDescent="0.35">
      <c r="A1" s="77" t="s">
        <v>178</v>
      </c>
      <c r="B1" s="77" t="s">
        <v>179</v>
      </c>
      <c r="C1" s="78" t="s">
        <v>183</v>
      </c>
      <c r="D1" s="78" t="s">
        <v>184</v>
      </c>
      <c r="E1" s="78" t="s">
        <v>185</v>
      </c>
      <c r="F1" s="78" t="s">
        <v>186</v>
      </c>
      <c r="G1" s="78" t="s">
        <v>187</v>
      </c>
      <c r="H1" s="78" t="s">
        <v>188</v>
      </c>
      <c r="I1" s="78" t="s">
        <v>189</v>
      </c>
      <c r="J1" s="78" t="s">
        <v>190</v>
      </c>
      <c r="K1" s="78" t="s">
        <v>191</v>
      </c>
      <c r="L1" s="78" t="s">
        <v>175</v>
      </c>
      <c r="M1" s="78" t="s">
        <v>176</v>
      </c>
      <c r="N1" s="78" t="s">
        <v>177</v>
      </c>
      <c r="O1" s="77"/>
    </row>
    <row r="2" spans="1:15" x14ac:dyDescent="0.35">
      <c r="A2" t="s">
        <v>192</v>
      </c>
      <c r="B2" t="s">
        <v>193</v>
      </c>
      <c r="C2" s="75">
        <f>Grants!R97</f>
        <v>505.04903199999995</v>
      </c>
      <c r="D2" s="75">
        <f>Grants!S97</f>
        <v>496.11472090666126</v>
      </c>
      <c r="E2" s="75">
        <f>Grants!T97</f>
        <v>487.34354029510399</v>
      </c>
      <c r="F2" s="75">
        <f>Grants!U97</f>
        <v>472.27459537887216</v>
      </c>
      <c r="G2" s="75">
        <f>Grants!V97</f>
        <v>476.85527066666657</v>
      </c>
      <c r="H2" s="75">
        <f>Grants!W97</f>
        <v>475.96568318012066</v>
      </c>
      <c r="I2" s="75">
        <f>Grants!X97</f>
        <v>476.61276470690814</v>
      </c>
      <c r="J2" s="75">
        <f>Grants!Y97</f>
        <v>465.49206482602699</v>
      </c>
      <c r="K2" s="75">
        <f>Grants!Z97</f>
        <v>445.9221207333332</v>
      </c>
      <c r="L2" s="75">
        <f>Grants!AA97</f>
        <v>450.67715826732552</v>
      </c>
      <c r="M2" s="75">
        <f>Grants!AB97</f>
        <v>455.72600163518439</v>
      </c>
      <c r="N2" s="75">
        <f>Grants!AC97</f>
        <v>439.19582793906807</v>
      </c>
      <c r="O2" s="75"/>
    </row>
    <row r="3" spans="1:15" x14ac:dyDescent="0.35">
      <c r="A3" t="s">
        <v>134</v>
      </c>
      <c r="B3" t="s">
        <v>194</v>
      </c>
      <c r="C3" s="75">
        <f>Grants!R141</f>
        <v>75.340000000000018</v>
      </c>
      <c r="D3" s="75">
        <f>Grants!S141</f>
        <v>75.340000000000018</v>
      </c>
      <c r="E3" s="75">
        <f>Grants!T141</f>
        <v>76.15900000000002</v>
      </c>
      <c r="F3" s="75">
        <f>Grants!U141</f>
        <v>76.15900000000002</v>
      </c>
      <c r="G3" s="75">
        <f>Grants!V141</f>
        <v>76.15900000000002</v>
      </c>
      <c r="H3" s="75">
        <f>Grants!W141</f>
        <v>76.15900000000002</v>
      </c>
      <c r="I3" s="75">
        <f>Grants!X141</f>
        <v>77.818000000000012</v>
      </c>
      <c r="J3" s="75">
        <f>Grants!Y141</f>
        <v>77.818000000000012</v>
      </c>
      <c r="K3" s="75">
        <f>Grants!Z141</f>
        <v>77.818000000000012</v>
      </c>
      <c r="L3" s="75">
        <f>Grants!AA141</f>
        <v>77.818000000000012</v>
      </c>
      <c r="M3" s="75">
        <f>Grants!AB141</f>
        <v>79.41200000000002</v>
      </c>
      <c r="N3" s="75">
        <f>Grants!AC141</f>
        <v>79.41200000000002</v>
      </c>
      <c r="O3" s="75"/>
    </row>
    <row r="4" spans="1:15" x14ac:dyDescent="0.35">
      <c r="A4" t="s">
        <v>195</v>
      </c>
      <c r="B4" t="s">
        <v>196</v>
      </c>
      <c r="C4" s="75">
        <f>'Federal and State Purchases'!R13</f>
        <v>1622.7</v>
      </c>
      <c r="D4" s="75">
        <f>'Federal and State Purchases'!S13</f>
        <v>1639.5245255749653</v>
      </c>
      <c r="E4" s="75">
        <f>'Federal and State Purchases'!T13</f>
        <v>1659.3625488249338</v>
      </c>
      <c r="F4" s="75">
        <f>'Federal and State Purchases'!U13</f>
        <v>1675.7792071132335</v>
      </c>
      <c r="G4" s="75">
        <f>'Federal and State Purchases'!V13</f>
        <v>1690.9722635415355</v>
      </c>
      <c r="H4" s="75">
        <f>'Federal and State Purchases'!W13</f>
        <v>1704.7377844665073</v>
      </c>
      <c r="I4" s="75">
        <f>'Federal and State Purchases'!X13</f>
        <v>1718.2427367098148</v>
      </c>
      <c r="J4" s="75">
        <f>'Federal and State Purchases'!Y13</f>
        <v>1732.2121912781197</v>
      </c>
      <c r="K4" s="75">
        <f>'Federal and State Purchases'!Z13</f>
        <v>1745.5698449164256</v>
      </c>
      <c r="L4" s="75">
        <f>'Federal and State Purchases'!AA13</f>
        <v>1759.0294653763976</v>
      </c>
      <c r="M4" s="75">
        <f>'Federal and State Purchases'!AB13</f>
        <v>1775.0410858363703</v>
      </c>
      <c r="N4" s="75">
        <f>'Federal and State Purchases'!AC13</f>
        <v>1786.1554693980142</v>
      </c>
      <c r="O4" s="75"/>
    </row>
    <row r="5" spans="1:15" x14ac:dyDescent="0.35">
      <c r="A5" t="s">
        <v>197</v>
      </c>
      <c r="B5" t="s">
        <v>198</v>
      </c>
      <c r="C5" s="75">
        <f>'Federal and State Purchases'!R45</f>
        <v>2790</v>
      </c>
      <c r="D5" s="75">
        <f>'Federal and State Purchases'!S45</f>
        <v>2842.1146046511626</v>
      </c>
      <c r="E5" s="75">
        <f>'Federal and State Purchases'!T45</f>
        <v>2881.8753488372095</v>
      </c>
      <c r="F5" s="75">
        <f>'Federal and State Purchases'!U45</f>
        <v>2917.0682790697679</v>
      </c>
      <c r="G5" s="75">
        <f>'Federal and State Purchases'!V45</f>
        <v>2947.4857674418608</v>
      </c>
      <c r="H5" s="75">
        <f>'Federal and State Purchases'!W45</f>
        <v>2974.9964651162791</v>
      </c>
      <c r="I5" s="75">
        <f>'Federal and State Purchases'!X45</f>
        <v>3001.5728372093031</v>
      </c>
      <c r="J5" s="75">
        <f>'Federal and State Purchases'!Y45</f>
        <v>3027.6301395348842</v>
      </c>
      <c r="K5" s="75">
        <f>'Federal and State Purchases'!Z45</f>
        <v>3053.5836279069772</v>
      </c>
      <c r="L5" s="75">
        <f>'Federal and State Purchases'!AA45</f>
        <v>3080.2638139534884</v>
      </c>
      <c r="M5" s="75">
        <f>'Federal and State Purchases'!AB45</f>
        <v>3107.8783255813955</v>
      </c>
      <c r="N5" s="75">
        <f>'Federal and State Purchases'!AC45</f>
        <v>3137.5691162790699</v>
      </c>
      <c r="O5" s="75"/>
    </row>
    <row r="6" spans="1:15" x14ac:dyDescent="0.35">
      <c r="A6" t="s">
        <v>199</v>
      </c>
      <c r="B6" t="s">
        <v>200</v>
      </c>
      <c r="C6" s="75">
        <f>Subsidies!R46</f>
        <v>12.652000000000015</v>
      </c>
      <c r="D6" s="75">
        <f>Subsidies!S46</f>
        <v>-5.3886315789473542</v>
      </c>
      <c r="E6" s="75">
        <f>Subsidies!T46</f>
        <v>75.782000000000011</v>
      </c>
      <c r="F6" s="75">
        <f>Subsidies!U46</f>
        <v>75.782000000000011</v>
      </c>
      <c r="G6" s="75">
        <f>Subsidies!V46</f>
        <v>75.782000000000011</v>
      </c>
      <c r="H6" s="75">
        <f>Subsidies!W46</f>
        <v>75.782000000000011</v>
      </c>
      <c r="I6" s="75">
        <f>Subsidies!X46</f>
        <v>84.266000000000005</v>
      </c>
      <c r="J6" s="75">
        <f>Subsidies!Y46</f>
        <v>84.266000000000005</v>
      </c>
      <c r="K6" s="75">
        <f>Subsidies!Z46</f>
        <v>84.266000000000005</v>
      </c>
      <c r="L6" s="75">
        <f>Subsidies!AA46</f>
        <v>84.266000000000005</v>
      </c>
      <c r="M6" s="75">
        <f>Subsidies!AB46</f>
        <v>91.364999999999995</v>
      </c>
      <c r="N6" s="75">
        <f>Subsidies!AC46</f>
        <v>91.364999999999995</v>
      </c>
      <c r="O6" s="75"/>
    </row>
    <row r="7" spans="1:15" x14ac:dyDescent="0.35">
      <c r="A7" t="s">
        <v>201</v>
      </c>
      <c r="B7" t="s">
        <v>202</v>
      </c>
      <c r="C7" s="75">
        <f>Subsidies!R45</f>
        <v>110.24799999999999</v>
      </c>
      <c r="D7" s="75">
        <f>Subsidies!S45</f>
        <v>110.24799999999999</v>
      </c>
      <c r="E7" s="75">
        <f>Subsidies!T45</f>
        <v>12.726000000000001</v>
      </c>
      <c r="F7" s="75">
        <f>Subsidies!U45</f>
        <v>12.726000000000001</v>
      </c>
      <c r="G7" s="75">
        <f>Subsidies!V45</f>
        <v>12.726000000000001</v>
      </c>
      <c r="H7" s="75">
        <f>Subsidies!W45</f>
        <v>12.726000000000001</v>
      </c>
      <c r="I7" s="75">
        <f>Subsidies!X45</f>
        <v>1.365</v>
      </c>
      <c r="J7" s="75">
        <f>Subsidies!Y45</f>
        <v>1.365</v>
      </c>
      <c r="K7" s="75">
        <f>Subsidies!Z45</f>
        <v>1.365</v>
      </c>
      <c r="L7" s="75">
        <f>Subsidies!AA45</f>
        <v>1.365</v>
      </c>
      <c r="M7" s="75">
        <f>Subsidies!AB45</f>
        <v>-0.90100000000000025</v>
      </c>
      <c r="N7" s="75">
        <f>Subsidies!AC45</f>
        <v>-0.90100000000000025</v>
      </c>
      <c r="O7" s="75"/>
    </row>
    <row r="8" spans="1:15" x14ac:dyDescent="0.35">
      <c r="A8" t="s">
        <v>203</v>
      </c>
      <c r="B8" t="s">
        <v>204</v>
      </c>
      <c r="C8" s="75">
        <f>'Unemployment Insurance'!R19</f>
        <v>1.1000000000000014</v>
      </c>
      <c r="D8" s="75">
        <f>'Unemployment Insurance'!S19</f>
        <v>0</v>
      </c>
      <c r="E8" s="75">
        <f>'Unemployment Insurance'!T19</f>
        <v>0</v>
      </c>
      <c r="F8" s="75">
        <f>'Unemployment Insurance'!U19</f>
        <v>0</v>
      </c>
      <c r="G8" s="75">
        <f>'Unemployment Insurance'!V19</f>
        <v>0</v>
      </c>
      <c r="H8" s="75">
        <f>'Unemployment Insurance'!W19</f>
        <v>0</v>
      </c>
      <c r="I8" s="75">
        <f>'Unemployment Insurance'!X19</f>
        <v>0</v>
      </c>
      <c r="J8" s="75">
        <f>'Unemployment Insurance'!Y19</f>
        <v>0</v>
      </c>
      <c r="K8" s="75">
        <f>'Unemployment Insurance'!Z19</f>
        <v>0</v>
      </c>
      <c r="L8" s="75">
        <f>'Unemployment Insurance'!AA19</f>
        <v>0</v>
      </c>
      <c r="M8" s="75">
        <f>'Unemployment Insurance'!AB19</f>
        <v>0</v>
      </c>
      <c r="N8" s="75">
        <f>'Unemployment Insurance'!AC19</f>
        <v>0</v>
      </c>
      <c r="O8" s="75"/>
    </row>
    <row r="9" spans="1:15" x14ac:dyDescent="0.35">
      <c r="A9" t="s">
        <v>205</v>
      </c>
      <c r="B9" t="s">
        <v>206</v>
      </c>
      <c r="C9" s="75">
        <f>'Unemployment Insurance'!R20</f>
        <v>17.5</v>
      </c>
      <c r="D9" s="75">
        <f>'Unemployment Insurance'!S20</f>
        <v>18.083333333333336</v>
      </c>
      <c r="E9" s="75">
        <f>'Unemployment Insurance'!T20</f>
        <v>17.743055555555557</v>
      </c>
      <c r="F9" s="75">
        <f>'Unemployment Insurance'!U20</f>
        <v>17.402777777777779</v>
      </c>
      <c r="G9" s="75">
        <f>'Unemployment Insurance'!V20</f>
        <v>17.111111111111111</v>
      </c>
      <c r="H9" s="75">
        <f>'Unemployment Insurance'!W20</f>
        <v>17.164583333333333</v>
      </c>
      <c r="I9" s="75">
        <f>'Unemployment Insurance'!X20</f>
        <v>17.261805555555554</v>
      </c>
      <c r="J9" s="75">
        <f>'Unemployment Insurance'!Y20</f>
        <v>17.606944444444441</v>
      </c>
      <c r="K9" s="75">
        <f>'Unemployment Insurance'!Z20</f>
        <v>19.30833333333333</v>
      </c>
      <c r="L9" s="75">
        <f>'Unemployment Insurance'!AA20</f>
        <v>19.546527777777772</v>
      </c>
      <c r="M9" s="75">
        <f>'Unemployment Insurance'!AB20</f>
        <v>19.843055555555551</v>
      </c>
      <c r="N9" s="75">
        <f>'Unemployment Insurance'!AC20</f>
        <v>20.129861111111108</v>
      </c>
      <c r="O9" s="75"/>
    </row>
    <row r="10" spans="1:15" x14ac:dyDescent="0.35">
      <c r="A10" s="36" t="s">
        <v>207</v>
      </c>
      <c r="B10" s="36" t="s">
        <v>208</v>
      </c>
      <c r="C10" s="75">
        <f>Medicaid!R37</f>
        <v>590.13</v>
      </c>
      <c r="D10" s="75">
        <f>Medicaid!S37</f>
        <v>602.51022329975922</v>
      </c>
      <c r="E10" s="75">
        <f>Medicaid!T37</f>
        <v>612.81040771995322</v>
      </c>
      <c r="F10" s="75">
        <f>Medicaid!U37</f>
        <v>626.1563036150128</v>
      </c>
      <c r="G10" s="75">
        <f>Medicaid!V37</f>
        <v>639.79284884467575</v>
      </c>
      <c r="H10" s="75">
        <f>Medicaid!W37</f>
        <v>609.79595236530417</v>
      </c>
      <c r="I10" s="75">
        <f>Medicaid!X37</f>
        <v>602.79832815078862</v>
      </c>
      <c r="J10" s="75">
        <f>Medicaid!Y37</f>
        <v>596.34819050901979</v>
      </c>
      <c r="K10" s="75">
        <f>Medicaid!Z37</f>
        <v>589.96707143225831</v>
      </c>
      <c r="L10" s="75">
        <f>Medicaid!AA37</f>
        <v>583.65423239947074</v>
      </c>
      <c r="M10" s="75">
        <f>Medicaid!AB37</f>
        <v>573.35706667298837</v>
      </c>
      <c r="N10" s="75">
        <f>Medicaid!AC37</f>
        <v>567.22196007893604</v>
      </c>
      <c r="O10" s="75"/>
    </row>
    <row r="11" spans="1:15" x14ac:dyDescent="0.35">
      <c r="A11" s="36" t="s">
        <v>209</v>
      </c>
      <c r="B11" s="36" t="s">
        <v>210</v>
      </c>
      <c r="C11" s="75">
        <f>Medicaid!R36</f>
        <v>789.5</v>
      </c>
      <c r="D11" s="75">
        <f>Medicaid!S36</f>
        <v>806.06276802596028</v>
      </c>
      <c r="E11" s="75">
        <f>Medicaid!T36</f>
        <v>823.61734877628294</v>
      </c>
      <c r="F11" s="75">
        <f>Medicaid!U36</f>
        <v>841.55423636118906</v>
      </c>
      <c r="G11" s="75">
        <f>Medicaid!V36</f>
        <v>859.88175672806801</v>
      </c>
      <c r="H11" s="75">
        <f>Medicaid!W36</f>
        <v>878.60841714829724</v>
      </c>
      <c r="I11" s="75">
        <f>Medicaid!X36</f>
        <v>869.20702208934222</v>
      </c>
      <c r="J11" s="75">
        <f>Medicaid!Y36</f>
        <v>859.90622500706195</v>
      </c>
      <c r="K11" s="75">
        <f>Medicaid!Z36</f>
        <v>850.70494947047496</v>
      </c>
      <c r="L11" s="75">
        <f>Medicaid!AA36</f>
        <v>841.60213056676025</v>
      </c>
      <c r="M11" s="75">
        <f>Medicaid!AB36</f>
        <v>832.59671477800975</v>
      </c>
      <c r="N11" s="75">
        <f>Medicaid!AC36</f>
        <v>823.68765985929849</v>
      </c>
      <c r="O11" s="75"/>
    </row>
    <row r="12" spans="1:15" x14ac:dyDescent="0.35">
      <c r="A12" t="s">
        <v>55</v>
      </c>
      <c r="B12" t="s">
        <v>211</v>
      </c>
      <c r="C12" s="75">
        <f>Medicare!R10</f>
        <v>911.8</v>
      </c>
      <c r="D12" s="75">
        <f>Medicare!S10</f>
        <v>918.11049555908767</v>
      </c>
      <c r="E12" s="75">
        <f>Medicare!T10</f>
        <v>937.55463752799051</v>
      </c>
      <c r="F12" s="75">
        <f>Medicare!U10</f>
        <v>955.94003023756272</v>
      </c>
      <c r="G12" s="75">
        <f>Medicare!V10</f>
        <v>974.68595944448134</v>
      </c>
      <c r="H12" s="75">
        <f>Medicare!W10</f>
        <v>993.79949524879646</v>
      </c>
      <c r="I12" s="75">
        <f>Medicare!X10</f>
        <v>1013.2878463948152</v>
      </c>
      <c r="J12" s="75">
        <f>Medicare!Y10</f>
        <v>1037.7219544758268</v>
      </c>
      <c r="K12" s="75">
        <f>Medicare!Z10</f>
        <v>1062.7452590421597</v>
      </c>
      <c r="L12" s="75">
        <f>Medicare!AA10</f>
        <v>1088.3719677946704</v>
      </c>
      <c r="M12" s="75">
        <f>Medicare!AB10</f>
        <v>1114.6166310342967</v>
      </c>
      <c r="N12" s="75">
        <f>Medicare!AC10</f>
        <v>1141.4941499234094</v>
      </c>
      <c r="O12" s="75"/>
    </row>
    <row r="13" spans="1:15" x14ac:dyDescent="0.35">
      <c r="A13" t="s">
        <v>212</v>
      </c>
      <c r="B13" t="s">
        <v>213</v>
      </c>
      <c r="C13" s="75">
        <f>'Rebate Checks'!R11</f>
        <v>0</v>
      </c>
      <c r="D13" s="75">
        <f>'Rebate Checks'!S11</f>
        <v>0</v>
      </c>
      <c r="E13" s="75">
        <f>'Rebate Checks'!T11</f>
        <v>0</v>
      </c>
      <c r="F13" s="75">
        <f>'Rebate Checks'!U11</f>
        <v>0</v>
      </c>
      <c r="G13" s="75">
        <f>'Rebate Checks'!V11</f>
        <v>0</v>
      </c>
      <c r="H13" s="75">
        <f>'Rebate Checks'!W11</f>
        <v>0</v>
      </c>
      <c r="I13" s="75">
        <f>'Rebate Checks'!X11</f>
        <v>0</v>
      </c>
      <c r="J13" s="75">
        <f>'Rebate Checks'!Y11</f>
        <v>0</v>
      </c>
      <c r="K13" s="75">
        <f>'Rebate Checks'!Z11</f>
        <v>0</v>
      </c>
      <c r="L13" s="75">
        <f>'Rebate Checks'!AA11</f>
        <v>0</v>
      </c>
      <c r="M13" s="75">
        <f>'Rebate Checks'!AB11</f>
        <v>0</v>
      </c>
      <c r="N13" s="75">
        <f>'Rebate Checks'!AC11</f>
        <v>0</v>
      </c>
      <c r="O13" s="75"/>
    </row>
    <row r="14" spans="1:15" x14ac:dyDescent="0.35">
      <c r="A14" t="s">
        <v>214</v>
      </c>
      <c r="B14" t="s">
        <v>215</v>
      </c>
      <c r="C14" s="75">
        <f>'Rebate Checks'!R10</f>
        <v>0</v>
      </c>
      <c r="D14" s="75">
        <f>'Rebate Checks'!S10</f>
        <v>0</v>
      </c>
      <c r="E14" s="75">
        <f>'Rebate Checks'!T10</f>
        <v>0</v>
      </c>
      <c r="F14" s="75">
        <f>'Rebate Checks'!U10</f>
        <v>0</v>
      </c>
      <c r="G14" s="75">
        <f>'Rebate Checks'!V10</f>
        <v>0</v>
      </c>
      <c r="H14" s="75">
        <f>'Rebate Checks'!W10</f>
        <v>0</v>
      </c>
      <c r="I14" s="75">
        <f>'Rebate Checks'!X10</f>
        <v>0</v>
      </c>
      <c r="J14" s="75">
        <f>'Rebate Checks'!Y10</f>
        <v>0</v>
      </c>
      <c r="K14" s="75">
        <f>'Rebate Checks'!Z10</f>
        <v>0</v>
      </c>
      <c r="L14" s="75">
        <f>'Rebate Checks'!AA10</f>
        <v>0</v>
      </c>
      <c r="M14" s="75">
        <f>'Rebate Checks'!AB10</f>
        <v>0</v>
      </c>
      <c r="N14" s="75">
        <f>'Rebate Checks'!AC10</f>
        <v>0</v>
      </c>
      <c r="O14" s="75"/>
    </row>
    <row r="15" spans="1:15" x14ac:dyDescent="0.35">
      <c r="A15" t="s">
        <v>216</v>
      </c>
      <c r="B15" t="s">
        <v>217</v>
      </c>
      <c r="C15" s="75">
        <f>'Social Benefits'!R17</f>
        <v>52.756999999999998</v>
      </c>
      <c r="D15" s="75">
        <f>'Social Benefits'!S17</f>
        <v>52.756999999999998</v>
      </c>
      <c r="E15" s="75">
        <f>'Social Benefits'!T17</f>
        <v>12</v>
      </c>
      <c r="F15" s="75">
        <f>'Social Benefits'!U17</f>
        <v>12</v>
      </c>
      <c r="G15" s="75">
        <f>'Social Benefits'!V17</f>
        <v>12</v>
      </c>
      <c r="H15" s="75">
        <f>'Social Benefits'!W17</f>
        <v>12</v>
      </c>
      <c r="I15" s="75">
        <f>'Social Benefits'!X17</f>
        <v>4.2219999999999995</v>
      </c>
      <c r="J15" s="75">
        <f>'Social Benefits'!Y17</f>
        <v>4.2219999999999995</v>
      </c>
      <c r="K15" s="75">
        <f>'Social Benefits'!Z17</f>
        <v>4.2219999999999995</v>
      </c>
      <c r="L15" s="75">
        <f>'Social Benefits'!AA17</f>
        <v>4.2219999999999995</v>
      </c>
      <c r="M15" s="75">
        <f>'Social Benefits'!AB17</f>
        <v>2.3719999999999999</v>
      </c>
      <c r="N15" s="75">
        <f>'Social Benefits'!AC17</f>
        <v>2.3719999999999999</v>
      </c>
      <c r="O15" s="75"/>
    </row>
    <row r="16" spans="1:15" x14ac:dyDescent="0.35">
      <c r="A16" t="s">
        <v>865</v>
      </c>
      <c r="B16" t="s">
        <v>219</v>
      </c>
      <c r="C16" s="75">
        <f>'Social Benefits'!R24</f>
        <v>39.719000000000008</v>
      </c>
      <c r="D16" s="75">
        <f>'Social Benefits'!S24</f>
        <v>29.368122807017549</v>
      </c>
      <c r="E16" s="75">
        <f>'Social Benefits'!T24</f>
        <v>1.4159999999999999</v>
      </c>
      <c r="F16" s="75">
        <f>'Social Benefits'!U24</f>
        <v>1.4159999999999999</v>
      </c>
      <c r="G16" s="75">
        <f>'Social Benefits'!V24</f>
        <v>1.4159999999999999</v>
      </c>
      <c r="H16" s="75">
        <f>'Social Benefits'!W24</f>
        <v>1.4159999999999999</v>
      </c>
      <c r="I16" s="75">
        <f>'Social Benefits'!X24</f>
        <v>1.4790000000000001</v>
      </c>
      <c r="J16" s="75">
        <f>'Social Benefits'!Y24</f>
        <v>1.4790000000000001</v>
      </c>
      <c r="K16" s="75">
        <f>'Social Benefits'!Z24</f>
        <v>1.4790000000000001</v>
      </c>
      <c r="L16" s="75">
        <f>'Social Benefits'!AA24</f>
        <v>1.4790000000000001</v>
      </c>
      <c r="M16" s="75">
        <f>'Social Benefits'!AB24</f>
        <v>1.63</v>
      </c>
      <c r="N16" s="75">
        <f>'Social Benefits'!AC24</f>
        <v>1.63</v>
      </c>
      <c r="O16" s="75"/>
    </row>
    <row r="17" spans="1:15" x14ac:dyDescent="0.35">
      <c r="A17" t="s">
        <v>220</v>
      </c>
      <c r="B17" t="s">
        <v>221</v>
      </c>
      <c r="C17" s="75">
        <f>'Social Benefits'!R28</f>
        <v>1821.124</v>
      </c>
      <c r="D17" s="75">
        <f>'Social Benefits'!S28</f>
        <v>1768.7994999999999</v>
      </c>
      <c r="E17" s="75">
        <f>'Social Benefits'!T28</f>
        <v>1789.8115</v>
      </c>
      <c r="F17" s="75">
        <f>'Social Benefits'!U28</f>
        <v>1834.9828600000001</v>
      </c>
      <c r="G17" s="75">
        <f>'Social Benefits'!V28</f>
        <v>1841.9828600000001</v>
      </c>
      <c r="H17" s="75">
        <f>'Social Benefits'!W28</f>
        <v>1848.9828600000001</v>
      </c>
      <c r="I17" s="75">
        <f>'Social Benefits'!X28</f>
        <v>1851.2318600000001</v>
      </c>
      <c r="J17" s="75">
        <f>'Social Benefits'!Y28</f>
        <v>1896.1186200000002</v>
      </c>
      <c r="K17" s="75">
        <f>'Social Benefits'!Z28</f>
        <v>1903.1186200000002</v>
      </c>
      <c r="L17" s="75">
        <f>'Social Benefits'!AA28</f>
        <v>1910.1186200000002</v>
      </c>
      <c r="M17" s="75">
        <f>'Social Benefits'!AB28</f>
        <v>1918.1466200000002</v>
      </c>
      <c r="N17" s="75">
        <f>'Social Benefits'!AC28</f>
        <v>1951.0444600000003</v>
      </c>
      <c r="O17" s="75"/>
    </row>
    <row r="18" spans="1:15" x14ac:dyDescent="0.35">
      <c r="A18" t="s">
        <v>222</v>
      </c>
      <c r="B18" t="s">
        <v>223</v>
      </c>
      <c r="C18" s="75">
        <f>'Social Benefits'!R32</f>
        <v>173.20000000000005</v>
      </c>
      <c r="D18" s="75">
        <f>'Social Benefits'!S32</f>
        <v>175.88583178345257</v>
      </c>
      <c r="E18" s="75">
        <f>'Social Benefits'!T32</f>
        <v>178.61331306095246</v>
      </c>
      <c r="F18" s="75">
        <f>'Social Benefits'!U32</f>
        <v>181.38308969586507</v>
      </c>
      <c r="G18" s="75">
        <f>'Social Benefits'!V32</f>
        <v>184.19581756703121</v>
      </c>
      <c r="H18" s="75">
        <f>'Social Benefits'!W32</f>
        <v>187.0521627240783</v>
      </c>
      <c r="I18" s="75">
        <f>'Social Benefits'!X32</f>
        <v>189.95280154513989</v>
      </c>
      <c r="J18" s="75">
        <f>'Social Benefits'!Y32</f>
        <v>192.89842089702088</v>
      </c>
      <c r="K18" s="75">
        <f>'Social Benefits'!Z32</f>
        <v>195.88971829784666</v>
      </c>
      <c r="L18" s="75">
        <f>'Social Benefits'!AA32</f>
        <v>198.92740208223418</v>
      </c>
      <c r="M18" s="75">
        <f>'Social Benefits'!AB32</f>
        <v>202.01219156902462</v>
      </c>
      <c r="N18" s="75">
        <f>'Social Benefits'!AC32</f>
        <v>205.14481723161694</v>
      </c>
      <c r="O18" s="75"/>
    </row>
    <row r="19" spans="1:15" x14ac:dyDescent="0.35">
      <c r="A19" t="s">
        <v>224</v>
      </c>
      <c r="B19" t="s">
        <v>225</v>
      </c>
      <c r="C19" s="75">
        <f>Taxes!R9</f>
        <v>4460.7</v>
      </c>
      <c r="D19" s="75">
        <f>Taxes!S9</f>
        <v>4649.1226842348178</v>
      </c>
      <c r="E19" s="75">
        <f>Taxes!T9</f>
        <v>4666.9704745077424</v>
      </c>
      <c r="F19" s="75">
        <f>Taxes!U9</f>
        <v>4688.1231295587158</v>
      </c>
      <c r="G19" s="75">
        <f>Taxes!V9</f>
        <v>4709.8871354758603</v>
      </c>
      <c r="H19" s="75">
        <f>Taxes!W9</f>
        <v>4732.2721500313119</v>
      </c>
      <c r="I19" s="75">
        <f>Taxes!X9</f>
        <v>4730.7761593348978</v>
      </c>
      <c r="J19" s="75">
        <f>Taxes!Y9</f>
        <v>4737.6483665229689</v>
      </c>
      <c r="K19" s="75">
        <f>Taxes!Z9</f>
        <v>4744.6917527791402</v>
      </c>
      <c r="L19" s="75">
        <f>Taxes!AA9</f>
        <v>4751.9073089229205</v>
      </c>
      <c r="M19" s="75">
        <f>Taxes!AB9</f>
        <v>4768.3696628847138</v>
      </c>
      <c r="N19" s="75">
        <f>Taxes!AC9</f>
        <v>4780.1504138596565</v>
      </c>
      <c r="O19" s="75"/>
    </row>
    <row r="20" spans="1:15" x14ac:dyDescent="0.35">
      <c r="A20" t="s">
        <v>226</v>
      </c>
      <c r="B20" t="s">
        <v>227</v>
      </c>
      <c r="C20" s="75">
        <f>Taxes!R21</f>
        <v>2199.5</v>
      </c>
      <c r="D20" s="75">
        <f>Taxes!S21</f>
        <v>2232.2397635949983</v>
      </c>
      <c r="E20" s="75">
        <f>Taxes!T21</f>
        <v>2262.0777047006172</v>
      </c>
      <c r="F20" s="75">
        <f>Taxes!U21</f>
        <v>2288.8346500075536</v>
      </c>
      <c r="G20" s="75">
        <f>Taxes!V21</f>
        <v>2315.2749288049358</v>
      </c>
      <c r="H20" s="75">
        <f>Taxes!W21</f>
        <v>2340.9668539401846</v>
      </c>
      <c r="I20" s="75">
        <f>Taxes!X21</f>
        <v>2364.872884814386</v>
      </c>
      <c r="J20" s="75">
        <f>Taxes!Y21</f>
        <v>2388.3853645380473</v>
      </c>
      <c r="K20" s="75">
        <f>Taxes!Z21</f>
        <v>2410.2420834682302</v>
      </c>
      <c r="L20" s="75">
        <f>Taxes!AA21</f>
        <v>2431.8964700251072</v>
      </c>
      <c r="M20" s="75">
        <f>Taxes!AB21</f>
        <v>2454.5927379593613</v>
      </c>
      <c r="N20" s="75">
        <f>Taxes!AC21</f>
        <v>2476.9146285199058</v>
      </c>
      <c r="O20" s="75"/>
    </row>
    <row r="21" spans="1:15" x14ac:dyDescent="0.35">
      <c r="A21" t="s">
        <v>228</v>
      </c>
      <c r="B21" t="s">
        <v>229</v>
      </c>
      <c r="C21" s="75">
        <f>Taxes!R17</f>
        <v>353.2</v>
      </c>
      <c r="D21" s="75">
        <f>Taxes!S17</f>
        <v>349.50195413008231</v>
      </c>
      <c r="E21" s="75">
        <f>Taxes!T17</f>
        <v>362.32352507020306</v>
      </c>
      <c r="F21" s="75">
        <f>Taxes!U17</f>
        <v>410.93245870623986</v>
      </c>
      <c r="G21" s="75">
        <f>Taxes!V17</f>
        <v>424.7120104171741</v>
      </c>
      <c r="H21" s="75">
        <f>Taxes!W17</f>
        <v>438.99706860009519</v>
      </c>
      <c r="I21" s="75">
        <f>Taxes!X17</f>
        <v>444.50081322306482</v>
      </c>
      <c r="J21" s="75">
        <f>Taxes!Y17</f>
        <v>449.34534167153834</v>
      </c>
      <c r="K21" s="75">
        <f>Taxes!Z17</f>
        <v>454.24732741561337</v>
      </c>
      <c r="L21" s="75">
        <f>Taxes!AA17</f>
        <v>459.20745191290814</v>
      </c>
      <c r="M21" s="75">
        <f>Taxes!AB17</f>
        <v>445.38279824029598</v>
      </c>
      <c r="N21" s="75">
        <f>Taxes!AC17</f>
        <v>440.94025576348253</v>
      </c>
      <c r="O21" s="75"/>
    </row>
    <row r="22" spans="1:15" x14ac:dyDescent="0.35">
      <c r="A22" t="s">
        <v>230</v>
      </c>
      <c r="B22" t="s">
        <v>231</v>
      </c>
      <c r="C22" s="75">
        <f>Taxes!R26</f>
        <v>109.8</v>
      </c>
      <c r="D22" s="75">
        <f>Taxes!S26</f>
        <v>112.00035534253368</v>
      </c>
      <c r="E22" s="75">
        <f>Taxes!T26</f>
        <v>112.81698206759772</v>
      </c>
      <c r="F22" s="75">
        <f>Taxes!U26</f>
        <v>112.61282538633171</v>
      </c>
      <c r="G22" s="75">
        <f>Taxes!V26</f>
        <v>112.00489215767293</v>
      </c>
      <c r="H22" s="75">
        <f>Taxes!W26</f>
        <v>111.32436988678622</v>
      </c>
      <c r="I22" s="75">
        <f>Taxes!X26</f>
        <v>110.73004710354516</v>
      </c>
      <c r="J22" s="75">
        <f>Taxes!Y26</f>
        <v>110.21738699281053</v>
      </c>
      <c r="K22" s="75">
        <f>Taxes!Z26</f>
        <v>110.08581935377244</v>
      </c>
      <c r="L22" s="75">
        <f>Taxes!AA26</f>
        <v>109.70019006693663</v>
      </c>
      <c r="M22" s="75">
        <f>Taxes!AB26</f>
        <v>110.30358648045618</v>
      </c>
      <c r="N22" s="75">
        <f>Taxes!AC26</f>
        <v>110.70282621270971</v>
      </c>
      <c r="O22" s="75"/>
    </row>
    <row r="23" spans="1:15" x14ac:dyDescent="0.35">
      <c r="A23" t="s">
        <v>1505</v>
      </c>
      <c r="B23" t="s">
        <v>1504</v>
      </c>
      <c r="C23" s="74">
        <f>'Student loans'!R11</f>
        <v>0</v>
      </c>
      <c r="D23" s="74">
        <f>'Student loans'!S11</f>
        <v>0</v>
      </c>
      <c r="E23" s="74">
        <f>'Student loans'!T11</f>
        <v>0</v>
      </c>
      <c r="F23" s="74">
        <f>'Student loans'!U11</f>
        <v>20.354099999999999</v>
      </c>
      <c r="G23" s="74">
        <f>'Student loans'!V11</f>
        <v>20.595119999999998</v>
      </c>
      <c r="H23" s="74">
        <f>'Student loans'!W11</f>
        <v>20.815079999999998</v>
      </c>
      <c r="I23" s="74">
        <f>'Student loans'!X11</f>
        <v>21.006180000000001</v>
      </c>
      <c r="J23" s="74">
        <f>'Student loans'!Y11</f>
        <v>25.815300000000001</v>
      </c>
      <c r="K23" s="74">
        <f>'Student loans'!Z11</f>
        <v>26.04045</v>
      </c>
      <c r="L23" s="74">
        <f>'Student loans'!AA11</f>
        <v>26.26465</v>
      </c>
      <c r="M23" s="74">
        <f>'Student loans'!AB11</f>
        <v>26.498349999999999</v>
      </c>
      <c r="N23" s="74">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pane xSplit="7" ySplit="4" topLeftCell="H32" activePane="bottomRight" state="frozen"/>
      <selection activeCell="A4" sqref="A4"/>
      <selection pane="topRight" activeCell="H4" sqref="H4"/>
      <selection pane="bottomLeft" activeCell="A8" sqref="A8"/>
      <selection pane="bottomRight" activeCell="C53" sqref="C53"/>
    </sheetView>
  </sheetViews>
  <sheetFormatPr defaultColWidth="11.453125" defaultRowHeight="14.5" x14ac:dyDescent="0.35"/>
  <cols>
    <col min="1" max="1" width="6.54296875" customWidth="1"/>
    <col min="2" max="2" width="65" customWidth="1"/>
    <col min="3" max="10" width="11.54296875" customWidth="1"/>
    <col min="11" max="11" width="18.26953125" customWidth="1"/>
  </cols>
  <sheetData>
    <row r="2" spans="1:15" x14ac:dyDescent="0.35">
      <c r="A2" s="1231" t="s">
        <v>989</v>
      </c>
      <c r="B2" s="1231"/>
      <c r="C2" s="1231"/>
      <c r="D2" s="1231"/>
      <c r="E2" s="1231"/>
      <c r="F2" s="1231"/>
      <c r="G2" s="1231"/>
      <c r="H2" s="1231"/>
      <c r="I2" s="1231"/>
      <c r="J2" s="1231"/>
      <c r="K2" s="1231"/>
      <c r="L2" s="1231"/>
      <c r="M2" s="1231"/>
      <c r="N2" s="1231"/>
      <c r="O2" s="1231"/>
    </row>
    <row r="3" spans="1:15" x14ac:dyDescent="0.35">
      <c r="A3" s="1231" t="s">
        <v>960</v>
      </c>
      <c r="B3" s="1231"/>
      <c r="C3" s="1231"/>
      <c r="D3" s="1231"/>
      <c r="E3" s="1231"/>
      <c r="F3" s="1231"/>
      <c r="G3" s="1231"/>
      <c r="H3" s="1231"/>
      <c r="I3" s="1231"/>
      <c r="J3" s="1231"/>
      <c r="K3" s="1231"/>
      <c r="L3" s="1231"/>
      <c r="M3" s="1231"/>
      <c r="N3" s="1231"/>
      <c r="O3" s="1231"/>
    </row>
    <row r="4" spans="1:15" ht="15" customHeight="1" x14ac:dyDescent="0.35">
      <c r="A4" s="1232"/>
      <c r="B4" s="1232"/>
      <c r="C4" s="1232"/>
      <c r="D4" s="114"/>
      <c r="E4" s="114"/>
      <c r="F4" s="114"/>
      <c r="G4" s="114"/>
      <c r="H4" s="114"/>
      <c r="I4" s="114"/>
      <c r="J4" s="114"/>
    </row>
    <row r="5" spans="1:15" x14ac:dyDescent="0.35">
      <c r="A5" s="125"/>
      <c r="B5" s="134"/>
      <c r="C5" s="1233"/>
      <c r="D5" s="1233"/>
      <c r="E5" s="1233"/>
      <c r="F5" s="1233"/>
      <c r="G5" s="1233"/>
      <c r="H5" s="36"/>
      <c r="I5" s="36"/>
      <c r="J5" s="36"/>
      <c r="K5" s="36"/>
    </row>
    <row r="6" spans="1:15" x14ac:dyDescent="0.35">
      <c r="A6" s="85" t="s">
        <v>886</v>
      </c>
      <c r="B6" s="135"/>
      <c r="C6" s="1234"/>
      <c r="D6" s="1235"/>
      <c r="E6" s="137">
        <v>2022</v>
      </c>
      <c r="F6" s="116"/>
      <c r="G6" s="116"/>
      <c r="H6" s="133"/>
      <c r="I6" s="85"/>
      <c r="J6" s="85"/>
      <c r="K6" s="126"/>
    </row>
    <row r="7" spans="1:15" ht="15" customHeight="1" x14ac:dyDescent="0.35">
      <c r="A7" s="136"/>
      <c r="B7" s="138"/>
      <c r="C7" s="101" t="s">
        <v>234</v>
      </c>
      <c r="D7" s="102" t="s">
        <v>235</v>
      </c>
      <c r="E7" s="102" t="s">
        <v>236</v>
      </c>
      <c r="F7" s="102" t="s">
        <v>237</v>
      </c>
      <c r="G7" s="102" t="s">
        <v>1010</v>
      </c>
      <c r="H7" s="102" t="s">
        <v>1025</v>
      </c>
      <c r="I7" s="102" t="s">
        <v>1292</v>
      </c>
      <c r="J7" s="103" t="s">
        <v>1506</v>
      </c>
      <c r="K7" s="127" t="s">
        <v>1024</v>
      </c>
    </row>
    <row r="8" spans="1:15" x14ac:dyDescent="0.35">
      <c r="A8" s="139">
        <v>1</v>
      </c>
      <c r="B8" s="88" t="s">
        <v>239</v>
      </c>
      <c r="C8" s="90">
        <v>21205.7</v>
      </c>
      <c r="D8" s="93">
        <v>21319.5</v>
      </c>
      <c r="E8" s="93">
        <v>21434.3</v>
      </c>
      <c r="F8" s="93">
        <v>21503.599999999999</v>
      </c>
      <c r="G8" s="93">
        <v>21624.3</v>
      </c>
      <c r="H8" s="93">
        <v>21748.7</v>
      </c>
      <c r="I8" s="93">
        <v>21823.9</v>
      </c>
      <c r="J8" s="94">
        <v>21895.5</v>
      </c>
      <c r="K8" s="128"/>
    </row>
    <row r="9" spans="1:15" x14ac:dyDescent="0.35">
      <c r="A9" s="77">
        <v>2</v>
      </c>
      <c r="B9" s="89" t="s">
        <v>240</v>
      </c>
      <c r="C9" s="91">
        <v>13174.5</v>
      </c>
      <c r="D9" s="95">
        <v>13269.4</v>
      </c>
      <c r="E9" s="95">
        <v>13335.3</v>
      </c>
      <c r="F9" s="95">
        <v>13396.5</v>
      </c>
      <c r="G9" s="95">
        <v>13471.4</v>
      </c>
      <c r="H9" s="95">
        <v>13539</v>
      </c>
      <c r="I9" s="95">
        <v>13643.7</v>
      </c>
      <c r="J9" s="96">
        <v>13690.5</v>
      </c>
      <c r="K9" s="128"/>
    </row>
    <row r="10" spans="1:15" x14ac:dyDescent="0.35">
      <c r="A10" s="140">
        <v>3</v>
      </c>
      <c r="B10" s="92" t="s">
        <v>241</v>
      </c>
      <c r="C10" s="104">
        <v>10851.2</v>
      </c>
      <c r="D10" s="105">
        <v>10933.6</v>
      </c>
      <c r="E10" s="105">
        <v>10991.7</v>
      </c>
      <c r="F10" s="105">
        <v>11045</v>
      </c>
      <c r="G10" s="105">
        <v>11110.6</v>
      </c>
      <c r="H10" s="105">
        <v>11169.7</v>
      </c>
      <c r="I10" s="105">
        <v>11262.9</v>
      </c>
      <c r="J10" s="106">
        <v>11302</v>
      </c>
      <c r="K10" s="128"/>
    </row>
    <row r="11" spans="1:15" x14ac:dyDescent="0.35">
      <c r="A11" s="36">
        <v>4</v>
      </c>
      <c r="B11" s="107" t="s">
        <v>242</v>
      </c>
      <c r="C11" s="108">
        <v>9268.7999999999993</v>
      </c>
      <c r="D11" s="109">
        <v>9345.6</v>
      </c>
      <c r="E11" s="109">
        <v>9398.7999999999993</v>
      </c>
      <c r="F11" s="109">
        <v>9449.9</v>
      </c>
      <c r="G11" s="109">
        <v>9508.5</v>
      </c>
      <c r="H11" s="109">
        <v>9565.7999999999993</v>
      </c>
      <c r="I11" s="109">
        <v>9650.9</v>
      </c>
      <c r="J11" s="110">
        <v>9683.9</v>
      </c>
      <c r="K11" s="128"/>
    </row>
    <row r="12" spans="1:15" x14ac:dyDescent="0.35">
      <c r="A12" s="140">
        <v>5</v>
      </c>
      <c r="B12" s="92" t="s">
        <v>243</v>
      </c>
      <c r="C12" s="104">
        <v>1582.4</v>
      </c>
      <c r="D12" s="105">
        <v>1588</v>
      </c>
      <c r="E12" s="105">
        <v>1592.8</v>
      </c>
      <c r="F12" s="105">
        <v>1595.1</v>
      </c>
      <c r="G12" s="105">
        <v>1602.1</v>
      </c>
      <c r="H12" s="105">
        <v>1603.9</v>
      </c>
      <c r="I12" s="105">
        <v>1612</v>
      </c>
      <c r="J12" s="106">
        <v>1618.1</v>
      </c>
      <c r="K12" s="128"/>
    </row>
    <row r="13" spans="1:15" x14ac:dyDescent="0.35">
      <c r="A13" s="36">
        <v>6</v>
      </c>
      <c r="B13" s="107" t="s">
        <v>244</v>
      </c>
      <c r="C13" s="108">
        <v>2323.3000000000002</v>
      </c>
      <c r="D13" s="109">
        <v>2335.6999999999998</v>
      </c>
      <c r="E13" s="109">
        <v>2343.6</v>
      </c>
      <c r="F13" s="109">
        <v>2351.5</v>
      </c>
      <c r="G13" s="109">
        <v>2360.8000000000002</v>
      </c>
      <c r="H13" s="109">
        <v>2369.1999999999998</v>
      </c>
      <c r="I13" s="109">
        <v>2380.9</v>
      </c>
      <c r="J13" s="110">
        <v>2388.5</v>
      </c>
      <c r="K13" s="128"/>
    </row>
    <row r="14" spans="1:15" x14ac:dyDescent="0.35">
      <c r="A14" s="139">
        <v>7</v>
      </c>
      <c r="B14" s="111" t="s">
        <v>245</v>
      </c>
      <c r="C14" s="97">
        <v>1780.7</v>
      </c>
      <c r="D14" s="120">
        <v>1808.6</v>
      </c>
      <c r="E14" s="120">
        <v>1844.9</v>
      </c>
      <c r="F14" s="120">
        <v>1827.2</v>
      </c>
      <c r="G14" s="120">
        <v>1836.2</v>
      </c>
      <c r="H14" s="120">
        <v>1842.6</v>
      </c>
      <c r="I14" s="120">
        <v>1839</v>
      </c>
      <c r="J14" s="98">
        <v>1860.5</v>
      </c>
      <c r="K14" s="128"/>
    </row>
    <row r="15" spans="1:15" x14ac:dyDescent="0.35">
      <c r="A15" s="36">
        <v>8</v>
      </c>
      <c r="B15" s="107" t="s">
        <v>246</v>
      </c>
      <c r="C15" s="108">
        <v>51.2</v>
      </c>
      <c r="D15" s="109">
        <v>71.099999999999994</v>
      </c>
      <c r="E15" s="109">
        <v>100.9</v>
      </c>
      <c r="F15" s="109">
        <v>97.7</v>
      </c>
      <c r="G15" s="109">
        <v>95.7</v>
      </c>
      <c r="H15" s="109">
        <v>93.7</v>
      </c>
      <c r="I15" s="109">
        <v>92.9</v>
      </c>
      <c r="J15" s="110">
        <v>92.1</v>
      </c>
      <c r="K15" s="128"/>
    </row>
    <row r="16" spans="1:15" x14ac:dyDescent="0.35">
      <c r="A16" s="140"/>
      <c r="B16" s="112" t="s">
        <v>249</v>
      </c>
      <c r="C16" s="104" t="s">
        <v>1507</v>
      </c>
      <c r="D16" s="105"/>
      <c r="E16" s="105"/>
      <c r="F16" s="105"/>
      <c r="G16" s="105"/>
      <c r="H16" s="105"/>
      <c r="I16" s="105"/>
      <c r="J16" s="106"/>
      <c r="K16" s="128"/>
    </row>
    <row r="17" spans="1:11" ht="16.149999999999999" customHeight="1" x14ac:dyDescent="0.35">
      <c r="A17" s="140">
        <v>9</v>
      </c>
      <c r="B17" s="92" t="s">
        <v>979</v>
      </c>
      <c r="C17" s="104">
        <v>0.3</v>
      </c>
      <c r="D17" s="105">
        <v>0.2</v>
      </c>
      <c r="E17" s="105">
        <v>1.3</v>
      </c>
      <c r="F17" s="105">
        <v>0</v>
      </c>
      <c r="G17" s="105">
        <v>0</v>
      </c>
      <c r="H17" s="105">
        <v>0</v>
      </c>
      <c r="I17" s="105">
        <v>0</v>
      </c>
      <c r="J17" s="106">
        <v>0</v>
      </c>
      <c r="K17" s="128"/>
    </row>
    <row r="18" spans="1:11" ht="16.149999999999999" customHeight="1" x14ac:dyDescent="0.35">
      <c r="A18" s="80">
        <v>10</v>
      </c>
      <c r="B18" s="83" t="s">
        <v>980</v>
      </c>
      <c r="C18" s="108">
        <v>0</v>
      </c>
      <c r="D18" s="109">
        <v>0</v>
      </c>
      <c r="E18" s="109">
        <v>0</v>
      </c>
      <c r="F18" s="109">
        <v>0</v>
      </c>
      <c r="G18" s="109">
        <v>0</v>
      </c>
      <c r="H18" s="109">
        <v>0</v>
      </c>
      <c r="I18" s="109">
        <v>0</v>
      </c>
      <c r="J18" s="110">
        <v>0</v>
      </c>
      <c r="K18" s="129"/>
    </row>
    <row r="19" spans="1:11" x14ac:dyDescent="0.35">
      <c r="A19" s="140">
        <v>11</v>
      </c>
      <c r="B19" s="92" t="s">
        <v>250</v>
      </c>
      <c r="C19" s="104">
        <v>1729.6</v>
      </c>
      <c r="D19" s="105">
        <v>1737.5</v>
      </c>
      <c r="E19" s="105">
        <v>1743.9</v>
      </c>
      <c r="F19" s="105">
        <v>1729.6</v>
      </c>
      <c r="G19" s="105">
        <v>1740.5</v>
      </c>
      <c r="H19" s="105">
        <v>1749</v>
      </c>
      <c r="I19" s="105">
        <v>1746.2</v>
      </c>
      <c r="J19" s="106">
        <v>1768.4</v>
      </c>
      <c r="K19" s="128"/>
    </row>
    <row r="20" spans="1:11" x14ac:dyDescent="0.35">
      <c r="B20" s="113" t="s">
        <v>251</v>
      </c>
      <c r="C20" s="108" t="s">
        <v>1507</v>
      </c>
      <c r="D20" s="109"/>
      <c r="E20" s="109"/>
      <c r="F20" s="109"/>
      <c r="G20" s="109"/>
      <c r="H20" s="109"/>
      <c r="I20" s="109"/>
      <c r="J20" s="110"/>
      <c r="K20" s="128"/>
    </row>
    <row r="21" spans="1:11" ht="16.149999999999999" customHeight="1" x14ac:dyDescent="0.35">
      <c r="A21" s="80">
        <v>12</v>
      </c>
      <c r="B21" s="83" t="s">
        <v>980</v>
      </c>
      <c r="C21" s="108">
        <v>0</v>
      </c>
      <c r="D21" s="109">
        <v>0</v>
      </c>
      <c r="E21" s="109">
        <v>0</v>
      </c>
      <c r="F21" s="109">
        <v>0</v>
      </c>
      <c r="G21" s="109">
        <v>0</v>
      </c>
      <c r="H21" s="109">
        <v>0</v>
      </c>
      <c r="I21" s="109">
        <v>0</v>
      </c>
      <c r="J21" s="110">
        <v>0</v>
      </c>
      <c r="K21" s="129"/>
    </row>
    <row r="22" spans="1:11" x14ac:dyDescent="0.35">
      <c r="A22" s="139">
        <v>13</v>
      </c>
      <c r="B22" s="111" t="s">
        <v>252</v>
      </c>
      <c r="C22" s="97">
        <v>739.2</v>
      </c>
      <c r="D22" s="120">
        <v>743.3</v>
      </c>
      <c r="E22" s="120">
        <v>752.1</v>
      </c>
      <c r="F22" s="120">
        <v>759.9</v>
      </c>
      <c r="G22" s="120">
        <v>775.8</v>
      </c>
      <c r="H22" s="120">
        <v>792</v>
      </c>
      <c r="I22" s="120">
        <v>794</v>
      </c>
      <c r="J22" s="98">
        <v>797.3</v>
      </c>
      <c r="K22" s="128"/>
    </row>
    <row r="23" spans="1:11" x14ac:dyDescent="0.35">
      <c r="A23" s="77">
        <v>14</v>
      </c>
      <c r="B23" s="89" t="s">
        <v>253</v>
      </c>
      <c r="C23" s="91">
        <v>3265.4</v>
      </c>
      <c r="D23" s="95">
        <v>3267.6</v>
      </c>
      <c r="E23" s="95">
        <v>3276.5</v>
      </c>
      <c r="F23" s="95">
        <v>3296.5</v>
      </c>
      <c r="G23" s="95">
        <v>3324.2</v>
      </c>
      <c r="H23" s="95">
        <v>3348.4</v>
      </c>
      <c r="I23" s="95">
        <v>3348</v>
      </c>
      <c r="J23" s="96">
        <v>3345.7</v>
      </c>
      <c r="K23" s="128"/>
    </row>
    <row r="24" spans="1:11" x14ac:dyDescent="0.35">
      <c r="A24" s="140">
        <v>15</v>
      </c>
      <c r="B24" s="92" t="s">
        <v>254</v>
      </c>
      <c r="C24" s="104">
        <v>1664.6</v>
      </c>
      <c r="D24" s="105">
        <v>1670.8</v>
      </c>
      <c r="E24" s="105">
        <v>1676.9</v>
      </c>
      <c r="F24" s="105">
        <v>1692.6</v>
      </c>
      <c r="G24" s="105">
        <v>1708.5</v>
      </c>
      <c r="H24" s="105">
        <v>1724.6</v>
      </c>
      <c r="I24" s="105">
        <v>1721.6</v>
      </c>
      <c r="J24" s="106">
        <v>1718.9</v>
      </c>
      <c r="K24" s="128"/>
    </row>
    <row r="25" spans="1:11" x14ac:dyDescent="0.35">
      <c r="A25" s="36">
        <v>16</v>
      </c>
      <c r="B25" s="107" t="s">
        <v>255</v>
      </c>
      <c r="C25" s="108">
        <v>1600.8</v>
      </c>
      <c r="D25" s="109">
        <v>1596.8</v>
      </c>
      <c r="E25" s="109">
        <v>1599.6</v>
      </c>
      <c r="F25" s="109">
        <v>1603.8</v>
      </c>
      <c r="G25" s="109">
        <v>1615.6</v>
      </c>
      <c r="H25" s="109">
        <v>1623.8</v>
      </c>
      <c r="I25" s="109">
        <v>1626.4</v>
      </c>
      <c r="J25" s="110">
        <v>1626.8</v>
      </c>
      <c r="K25" s="128"/>
    </row>
    <row r="26" spans="1:11" x14ac:dyDescent="0.35">
      <c r="A26" s="139">
        <v>17</v>
      </c>
      <c r="B26" s="111" t="s">
        <v>256</v>
      </c>
      <c r="C26" s="97">
        <v>3869.5</v>
      </c>
      <c r="D26" s="120">
        <v>3866.5</v>
      </c>
      <c r="E26" s="120">
        <v>3870.2</v>
      </c>
      <c r="F26" s="120">
        <v>3875.3</v>
      </c>
      <c r="G26" s="120">
        <v>3877.8</v>
      </c>
      <c r="H26" s="120">
        <v>3896.4</v>
      </c>
      <c r="I26" s="120">
        <v>3881.7</v>
      </c>
      <c r="J26" s="98">
        <v>3890</v>
      </c>
      <c r="K26" s="128"/>
    </row>
    <row r="27" spans="1:11" x14ac:dyDescent="0.35">
      <c r="A27" s="36">
        <v>18</v>
      </c>
      <c r="B27" s="107" t="s">
        <v>257</v>
      </c>
      <c r="C27" s="108">
        <v>3797.8</v>
      </c>
      <c r="D27" s="109">
        <v>3795.5</v>
      </c>
      <c r="E27" s="109">
        <v>3799.7</v>
      </c>
      <c r="F27" s="109">
        <v>3805.1</v>
      </c>
      <c r="G27" s="109">
        <v>3807.9</v>
      </c>
      <c r="H27" s="109">
        <v>3814.4</v>
      </c>
      <c r="I27" s="109">
        <v>3812.2</v>
      </c>
      <c r="J27" s="110">
        <v>3820.6</v>
      </c>
      <c r="K27" s="128"/>
    </row>
    <row r="28" spans="1:11" x14ac:dyDescent="0.35">
      <c r="A28" s="140">
        <v>19</v>
      </c>
      <c r="B28" s="92" t="s">
        <v>258</v>
      </c>
      <c r="C28" s="104">
        <v>1195.8</v>
      </c>
      <c r="D28" s="105">
        <v>1197.5999999999999</v>
      </c>
      <c r="E28" s="105">
        <v>1202.7</v>
      </c>
      <c r="F28" s="105">
        <v>1204.4000000000001</v>
      </c>
      <c r="G28" s="105">
        <v>1207.2</v>
      </c>
      <c r="H28" s="105">
        <v>1209</v>
      </c>
      <c r="I28" s="105">
        <v>1211</v>
      </c>
      <c r="J28" s="106">
        <v>1212.9000000000001</v>
      </c>
      <c r="K28" s="128"/>
    </row>
    <row r="29" spans="1:11" x14ac:dyDescent="0.35">
      <c r="A29" s="80">
        <v>20</v>
      </c>
      <c r="B29" s="81" t="s">
        <v>259</v>
      </c>
      <c r="C29" s="108">
        <v>905</v>
      </c>
      <c r="D29" s="109">
        <v>907.8</v>
      </c>
      <c r="E29" s="109">
        <v>911.2</v>
      </c>
      <c r="F29" s="109">
        <v>907.1</v>
      </c>
      <c r="G29" s="109">
        <v>911.6</v>
      </c>
      <c r="H29" s="109">
        <v>916.6</v>
      </c>
      <c r="I29" s="109">
        <v>914.1</v>
      </c>
      <c r="J29" s="110">
        <v>920.1</v>
      </c>
      <c r="K29" s="130">
        <f>forecast!D12</f>
        <v>918.11049555908767</v>
      </c>
    </row>
    <row r="30" spans="1:11" x14ac:dyDescent="0.35">
      <c r="A30" s="140"/>
      <c r="B30" s="112" t="s">
        <v>260</v>
      </c>
      <c r="C30" s="104" t="s">
        <v>1507</v>
      </c>
      <c r="D30" s="105" t="s">
        <v>1507</v>
      </c>
      <c r="E30" s="105" t="s">
        <v>1507</v>
      </c>
      <c r="F30" s="105" t="s">
        <v>1507</v>
      </c>
      <c r="G30" s="105" t="s">
        <v>1507</v>
      </c>
      <c r="H30" s="105" t="s">
        <v>1507</v>
      </c>
      <c r="I30" s="105" t="s">
        <v>1507</v>
      </c>
      <c r="J30" s="106" t="s">
        <v>1507</v>
      </c>
      <c r="K30" s="128"/>
    </row>
    <row r="31" spans="1:11" ht="16.149999999999999" customHeight="1" x14ac:dyDescent="0.35">
      <c r="A31" s="140">
        <v>21</v>
      </c>
      <c r="B31" s="92" t="s">
        <v>981</v>
      </c>
      <c r="C31" s="104">
        <v>15.8</v>
      </c>
      <c r="D31" s="105">
        <v>15.8</v>
      </c>
      <c r="E31" s="105">
        <v>15.9</v>
      </c>
      <c r="F31" s="105">
        <v>7.9</v>
      </c>
      <c r="G31" s="105">
        <v>7.9</v>
      </c>
      <c r="H31" s="105">
        <v>8</v>
      </c>
      <c r="I31" s="105">
        <v>0</v>
      </c>
      <c r="J31" s="106">
        <v>0</v>
      </c>
      <c r="K31" s="128"/>
    </row>
    <row r="32" spans="1:11" x14ac:dyDescent="0.35">
      <c r="A32" s="80">
        <v>22</v>
      </c>
      <c r="B32" s="81" t="s">
        <v>261</v>
      </c>
      <c r="C32" s="108">
        <v>756.6</v>
      </c>
      <c r="D32" s="109">
        <v>763.8</v>
      </c>
      <c r="E32" s="109">
        <v>769</v>
      </c>
      <c r="F32" s="109">
        <v>780.7</v>
      </c>
      <c r="G32" s="109">
        <v>790.6</v>
      </c>
      <c r="H32" s="109">
        <v>797.2</v>
      </c>
      <c r="I32" s="109">
        <v>802.5</v>
      </c>
      <c r="J32" s="110">
        <v>805.8</v>
      </c>
      <c r="K32" s="130">
        <f>forecast!D11</f>
        <v>806.06276802596028</v>
      </c>
    </row>
    <row r="33" spans="1:11" x14ac:dyDescent="0.35">
      <c r="A33" s="80">
        <v>23</v>
      </c>
      <c r="B33" s="81" t="s">
        <v>262</v>
      </c>
      <c r="C33" s="104">
        <v>25.5</v>
      </c>
      <c r="D33" s="105">
        <v>23.6</v>
      </c>
      <c r="E33" s="105">
        <v>21.7</v>
      </c>
      <c r="F33" s="105">
        <v>19.5</v>
      </c>
      <c r="G33" s="105">
        <v>18.2</v>
      </c>
      <c r="H33" s="105">
        <v>18.100000000000001</v>
      </c>
      <c r="I33" s="105">
        <v>18.7</v>
      </c>
      <c r="J33" s="106">
        <v>19.100000000000001</v>
      </c>
      <c r="K33" s="130">
        <f>forecast!D9+forecast!D8</f>
        <v>18.083333333333336</v>
      </c>
    </row>
    <row r="34" spans="1:11" ht="16.149999999999999" customHeight="1" x14ac:dyDescent="0.35">
      <c r="B34" s="115" t="s">
        <v>982</v>
      </c>
      <c r="C34" s="108" t="s">
        <v>1507</v>
      </c>
      <c r="D34" s="109"/>
      <c r="E34" s="109"/>
      <c r="F34" s="109"/>
      <c r="G34" s="109"/>
      <c r="H34" s="109"/>
      <c r="I34" s="109"/>
      <c r="J34" s="110"/>
      <c r="K34" s="128"/>
    </row>
    <row r="35" spans="1:11" x14ac:dyDescent="0.35">
      <c r="A35" s="36">
        <v>24</v>
      </c>
      <c r="B35" s="117" t="s">
        <v>263</v>
      </c>
      <c r="C35" s="108">
        <v>0.2</v>
      </c>
      <c r="D35" s="109">
        <v>0.2</v>
      </c>
      <c r="E35" s="109">
        <v>0.2</v>
      </c>
      <c r="F35" s="109">
        <v>0.1</v>
      </c>
      <c r="G35" s="109">
        <v>0</v>
      </c>
      <c r="H35" s="109">
        <v>0</v>
      </c>
      <c r="I35" s="109">
        <v>0</v>
      </c>
      <c r="J35" s="110">
        <v>0</v>
      </c>
      <c r="K35" s="128"/>
    </row>
    <row r="36" spans="1:11" x14ac:dyDescent="0.35">
      <c r="A36" s="140">
        <v>25</v>
      </c>
      <c r="B36" s="118" t="s">
        <v>264</v>
      </c>
      <c r="C36" s="104">
        <v>0.9</v>
      </c>
      <c r="D36" s="105">
        <v>0.8</v>
      </c>
      <c r="E36" s="105">
        <v>0.7</v>
      </c>
      <c r="F36" s="105">
        <v>0.7</v>
      </c>
      <c r="G36" s="105">
        <v>0.5</v>
      </c>
      <c r="H36" s="105">
        <v>0.4</v>
      </c>
      <c r="I36" s="105">
        <v>0.4</v>
      </c>
      <c r="J36" s="106">
        <v>0.3</v>
      </c>
      <c r="K36" s="128"/>
    </row>
    <row r="37" spans="1:11" x14ac:dyDescent="0.35">
      <c r="A37" s="36">
        <v>26</v>
      </c>
      <c r="B37" s="119" t="s">
        <v>265</v>
      </c>
      <c r="C37" s="108">
        <v>1</v>
      </c>
      <c r="D37" s="109">
        <v>0.7</v>
      </c>
      <c r="E37" s="109">
        <v>0.6</v>
      </c>
      <c r="F37" s="109">
        <v>0.5</v>
      </c>
      <c r="G37" s="109">
        <v>0.3</v>
      </c>
      <c r="H37" s="109">
        <v>0.3</v>
      </c>
      <c r="I37" s="109">
        <v>0.2</v>
      </c>
      <c r="J37" s="110">
        <v>0.2</v>
      </c>
      <c r="K37" s="128"/>
    </row>
    <row r="38" spans="1:11" x14ac:dyDescent="0.35">
      <c r="A38" s="140">
        <v>27</v>
      </c>
      <c r="B38" s="118" t="s">
        <v>266</v>
      </c>
      <c r="C38" s="104">
        <v>0</v>
      </c>
      <c r="D38" s="105">
        <v>0</v>
      </c>
      <c r="E38" s="105">
        <v>0</v>
      </c>
      <c r="F38" s="105">
        <v>0</v>
      </c>
      <c r="G38" s="105">
        <v>0</v>
      </c>
      <c r="H38" s="105">
        <v>0</v>
      </c>
      <c r="I38" s="105">
        <v>0</v>
      </c>
      <c r="J38" s="106">
        <v>0</v>
      </c>
      <c r="K38" s="128"/>
    </row>
    <row r="39" spans="1:11" x14ac:dyDescent="0.35">
      <c r="A39" s="36">
        <v>28</v>
      </c>
      <c r="B39" s="107" t="s">
        <v>267</v>
      </c>
      <c r="C39" s="108">
        <v>157.19999999999999</v>
      </c>
      <c r="D39" s="109">
        <v>157.6</v>
      </c>
      <c r="E39" s="109">
        <v>158.1</v>
      </c>
      <c r="F39" s="109">
        <v>159.1</v>
      </c>
      <c r="G39" s="109">
        <v>159.69999999999999</v>
      </c>
      <c r="H39" s="109">
        <v>160.4</v>
      </c>
      <c r="I39" s="109">
        <v>161.1</v>
      </c>
      <c r="J39" s="110">
        <v>161.69999999999999</v>
      </c>
      <c r="K39" s="128"/>
    </row>
    <row r="40" spans="1:11" x14ac:dyDescent="0.35">
      <c r="A40" s="140">
        <v>29</v>
      </c>
      <c r="B40" s="92" t="s">
        <v>268</v>
      </c>
      <c r="C40" s="104">
        <v>757.8</v>
      </c>
      <c r="D40" s="105">
        <v>745.1</v>
      </c>
      <c r="E40" s="105">
        <v>736.9</v>
      </c>
      <c r="F40" s="105">
        <v>734.2</v>
      </c>
      <c r="G40" s="105">
        <v>720.5</v>
      </c>
      <c r="H40" s="105">
        <v>713.2</v>
      </c>
      <c r="I40" s="105">
        <v>704.8</v>
      </c>
      <c r="J40" s="106">
        <v>701</v>
      </c>
      <c r="K40" s="128"/>
    </row>
    <row r="41" spans="1:11" x14ac:dyDescent="0.35">
      <c r="B41" s="115" t="s">
        <v>269</v>
      </c>
      <c r="C41" s="108" t="s">
        <v>1507</v>
      </c>
      <c r="D41" s="109"/>
      <c r="E41" s="109"/>
      <c r="F41" s="109"/>
      <c r="G41" s="109"/>
      <c r="H41" s="109"/>
      <c r="I41" s="109"/>
      <c r="J41" s="110"/>
      <c r="K41" s="128"/>
    </row>
    <row r="42" spans="1:11" ht="16.149999999999999" customHeight="1" x14ac:dyDescent="0.35">
      <c r="A42" s="80">
        <v>30</v>
      </c>
      <c r="B42" s="82" t="s">
        <v>983</v>
      </c>
      <c r="C42" s="108">
        <v>94.3</v>
      </c>
      <c r="D42" s="109">
        <v>94.3</v>
      </c>
      <c r="E42" s="109">
        <v>94.3</v>
      </c>
      <c r="F42" s="109">
        <v>94.3</v>
      </c>
      <c r="G42" s="109">
        <v>94.3</v>
      </c>
      <c r="H42" s="109">
        <v>94.3</v>
      </c>
      <c r="I42" s="109">
        <v>94.3</v>
      </c>
      <c r="J42" s="110">
        <v>94.3</v>
      </c>
      <c r="K42" s="130">
        <f>'Social Benefits'!S21</f>
        <v>94.3</v>
      </c>
    </row>
    <row r="43" spans="1:11" ht="16.149999999999999" customHeight="1" x14ac:dyDescent="0.35">
      <c r="A43" s="80">
        <v>31</v>
      </c>
      <c r="B43" s="82" t="s">
        <v>984</v>
      </c>
      <c r="C43" s="104">
        <v>0</v>
      </c>
      <c r="D43" s="105">
        <v>0</v>
      </c>
      <c r="E43" s="105">
        <v>0</v>
      </c>
      <c r="F43" s="105">
        <v>0</v>
      </c>
      <c r="G43" s="105">
        <v>0</v>
      </c>
      <c r="H43" s="105">
        <v>0</v>
      </c>
      <c r="I43" s="105">
        <v>0</v>
      </c>
      <c r="J43" s="106">
        <v>0</v>
      </c>
      <c r="K43" s="129"/>
    </row>
    <row r="44" spans="1:11" ht="16.149999999999999" customHeight="1" x14ac:dyDescent="0.35">
      <c r="A44" s="36">
        <v>32</v>
      </c>
      <c r="B44" s="117" t="s">
        <v>985</v>
      </c>
      <c r="C44" s="108">
        <v>0</v>
      </c>
      <c r="D44" s="109">
        <v>0</v>
      </c>
      <c r="E44" s="109">
        <v>0</v>
      </c>
      <c r="F44" s="109">
        <v>0</v>
      </c>
      <c r="G44" s="109">
        <v>0</v>
      </c>
      <c r="H44" s="109">
        <v>0</v>
      </c>
      <c r="I44" s="109">
        <v>0</v>
      </c>
      <c r="J44" s="110">
        <v>0</v>
      </c>
      <c r="K44" s="128"/>
    </row>
    <row r="45" spans="1:11" ht="16.149999999999999" customHeight="1" x14ac:dyDescent="0.35">
      <c r="A45" s="80">
        <v>33</v>
      </c>
      <c r="B45" s="83" t="s">
        <v>986</v>
      </c>
      <c r="C45" s="104">
        <v>0</v>
      </c>
      <c r="D45" s="105">
        <v>0</v>
      </c>
      <c r="E45" s="105">
        <v>0</v>
      </c>
      <c r="F45" s="105">
        <v>0</v>
      </c>
      <c r="G45" s="105">
        <v>0</v>
      </c>
      <c r="H45" s="105">
        <v>0</v>
      </c>
      <c r="I45" s="105">
        <v>0</v>
      </c>
      <c r="J45" s="106">
        <v>0</v>
      </c>
      <c r="K45" s="129"/>
    </row>
    <row r="46" spans="1:11" ht="16.149999999999999" customHeight="1" x14ac:dyDescent="0.35">
      <c r="A46" s="80">
        <v>34</v>
      </c>
      <c r="B46" s="124" t="s">
        <v>987</v>
      </c>
      <c r="C46" s="108">
        <v>32.700000000000003</v>
      </c>
      <c r="D46" s="109">
        <v>23.6</v>
      </c>
      <c r="E46" s="109">
        <v>24.3</v>
      </c>
      <c r="F46" s="109">
        <v>27.3</v>
      </c>
      <c r="G46" s="109">
        <v>17.8</v>
      </c>
      <c r="H46" s="109">
        <v>14.8</v>
      </c>
      <c r="I46" s="109">
        <v>11.8</v>
      </c>
      <c r="J46" s="110">
        <v>9.8000000000000007</v>
      </c>
      <c r="K46" s="131">
        <f>'Provider Relief'!S11</f>
        <v>9.6491228070175428</v>
      </c>
    </row>
    <row r="47" spans="1:11" x14ac:dyDescent="0.35">
      <c r="A47" s="140">
        <v>35</v>
      </c>
      <c r="B47" s="92" t="s">
        <v>270</v>
      </c>
      <c r="C47" s="104">
        <v>71.7</v>
      </c>
      <c r="D47" s="105">
        <v>71</v>
      </c>
      <c r="E47" s="105">
        <v>70.5</v>
      </c>
      <c r="F47" s="105">
        <v>70.2</v>
      </c>
      <c r="G47" s="105">
        <v>70</v>
      </c>
      <c r="H47" s="105">
        <v>82</v>
      </c>
      <c r="I47" s="105">
        <v>69.5</v>
      </c>
      <c r="J47" s="106">
        <v>69.400000000000006</v>
      </c>
      <c r="K47" s="128"/>
    </row>
    <row r="48" spans="1:11" x14ac:dyDescent="0.35">
      <c r="A48" s="77">
        <v>36</v>
      </c>
      <c r="B48" s="89" t="s">
        <v>271</v>
      </c>
      <c r="C48" s="91">
        <v>1623.6</v>
      </c>
      <c r="D48" s="95">
        <v>1635.9</v>
      </c>
      <c r="E48" s="95">
        <v>1644.7</v>
      </c>
      <c r="F48" s="95">
        <v>1651.8</v>
      </c>
      <c r="G48" s="95">
        <v>1661.2</v>
      </c>
      <c r="H48" s="95">
        <v>1669.7</v>
      </c>
      <c r="I48" s="95">
        <v>1682.6</v>
      </c>
      <c r="J48" s="96">
        <v>1688.4</v>
      </c>
      <c r="K48" s="128"/>
    </row>
    <row r="49" spans="1:11" x14ac:dyDescent="0.35">
      <c r="A49" s="139">
        <v>37</v>
      </c>
      <c r="B49" s="111" t="s">
        <v>272</v>
      </c>
      <c r="C49" s="97">
        <v>3125.7</v>
      </c>
      <c r="D49" s="120">
        <v>3147</v>
      </c>
      <c r="E49" s="120">
        <v>3163.7</v>
      </c>
      <c r="F49" s="120">
        <v>3183.6</v>
      </c>
      <c r="G49" s="120">
        <v>3199.3</v>
      </c>
      <c r="H49" s="120">
        <v>3210.8</v>
      </c>
      <c r="I49" s="120">
        <v>3223.2</v>
      </c>
      <c r="J49" s="98">
        <v>3227.2</v>
      </c>
      <c r="K49" s="128"/>
    </row>
    <row r="50" spans="1:11" x14ac:dyDescent="0.35">
      <c r="A50" s="77">
        <v>38</v>
      </c>
      <c r="B50" s="89" t="s">
        <v>273</v>
      </c>
      <c r="C50" s="91">
        <v>18080</v>
      </c>
      <c r="D50" s="95">
        <v>18172.5</v>
      </c>
      <c r="E50" s="95">
        <v>18270.599999999999</v>
      </c>
      <c r="F50" s="95">
        <v>18320</v>
      </c>
      <c r="G50" s="95">
        <v>18425</v>
      </c>
      <c r="H50" s="95">
        <v>18538</v>
      </c>
      <c r="I50" s="95">
        <v>18600.7</v>
      </c>
      <c r="J50" s="96">
        <v>18668.3</v>
      </c>
      <c r="K50" s="128"/>
    </row>
    <row r="51" spans="1:11" x14ac:dyDescent="0.35">
      <c r="A51" s="139">
        <v>39</v>
      </c>
      <c r="B51" s="111" t="s">
        <v>274</v>
      </c>
      <c r="C51" s="97">
        <v>17234.400000000001</v>
      </c>
      <c r="D51" s="120">
        <v>17359.2</v>
      </c>
      <c r="E51" s="120">
        <v>17574.8</v>
      </c>
      <c r="F51" s="120">
        <v>17645.400000000001</v>
      </c>
      <c r="G51" s="120">
        <v>17768.400000000001</v>
      </c>
      <c r="H51" s="120">
        <v>17982.2</v>
      </c>
      <c r="I51" s="120">
        <v>17947.7</v>
      </c>
      <c r="J51" s="98">
        <v>18015.5</v>
      </c>
      <c r="K51" s="128"/>
    </row>
    <row r="52" spans="1:11" x14ac:dyDescent="0.35">
      <c r="A52" s="36">
        <v>40</v>
      </c>
      <c r="B52" s="107" t="s">
        <v>275</v>
      </c>
      <c r="C52" s="108">
        <v>16725.599999999999</v>
      </c>
      <c r="D52" s="109">
        <v>16844.5</v>
      </c>
      <c r="E52" s="109">
        <v>17054.2</v>
      </c>
      <c r="F52" s="109">
        <v>17115.599999999999</v>
      </c>
      <c r="G52" s="109">
        <v>17231.099999999999</v>
      </c>
      <c r="H52" s="109">
        <v>17437.400000000001</v>
      </c>
      <c r="I52" s="109">
        <v>17402.599999999999</v>
      </c>
      <c r="J52" s="110">
        <v>17470.099999999999</v>
      </c>
      <c r="K52" s="128"/>
    </row>
    <row r="53" spans="1:11" x14ac:dyDescent="0.35">
      <c r="A53" s="140">
        <v>41</v>
      </c>
      <c r="B53" s="92" t="s">
        <v>276</v>
      </c>
      <c r="C53" s="104">
        <v>288.10000000000002</v>
      </c>
      <c r="D53" s="105">
        <v>293.5</v>
      </c>
      <c r="E53" s="105">
        <v>298.8</v>
      </c>
      <c r="F53" s="105">
        <v>306</v>
      </c>
      <c r="G53" s="105">
        <v>313.10000000000002</v>
      </c>
      <c r="H53" s="105">
        <v>320.2</v>
      </c>
      <c r="I53" s="105">
        <v>320.2</v>
      </c>
      <c r="J53" s="106">
        <v>320.2</v>
      </c>
      <c r="K53" s="128"/>
    </row>
    <row r="54" spans="1:11" x14ac:dyDescent="0.35">
      <c r="B54" s="122" t="s">
        <v>277</v>
      </c>
      <c r="C54" s="108" t="s">
        <v>1507</v>
      </c>
      <c r="D54" s="109"/>
      <c r="E54" s="109"/>
      <c r="F54" s="109"/>
      <c r="G54" s="109"/>
      <c r="H54" s="109"/>
      <c r="I54" s="109"/>
      <c r="J54" s="110"/>
      <c r="K54" s="128"/>
    </row>
    <row r="55" spans="1:11" ht="16.149999999999999" customHeight="1" x14ac:dyDescent="0.35">
      <c r="A55" s="36">
        <v>42</v>
      </c>
      <c r="B55" s="117" t="s">
        <v>988</v>
      </c>
      <c r="C55" s="108">
        <v>-37.799999999999997</v>
      </c>
      <c r="D55" s="109">
        <v>-37.799999999999997</v>
      </c>
      <c r="E55" s="109">
        <v>-37.799999999999997</v>
      </c>
      <c r="F55" s="109">
        <v>-37.799999999999997</v>
      </c>
      <c r="G55" s="109">
        <v>-37.799999999999997</v>
      </c>
      <c r="H55" s="109">
        <v>-37.799999999999997</v>
      </c>
      <c r="I55" s="109">
        <v>-37.799999999999997</v>
      </c>
      <c r="J55" s="110">
        <v>-37.799999999999997</v>
      </c>
      <c r="K55" s="128"/>
    </row>
    <row r="56" spans="1:11" x14ac:dyDescent="0.35">
      <c r="A56" s="140">
        <v>43</v>
      </c>
      <c r="B56" s="92" t="s">
        <v>278</v>
      </c>
      <c r="C56" s="104">
        <v>220.7</v>
      </c>
      <c r="D56" s="105">
        <v>221.3</v>
      </c>
      <c r="E56" s="105">
        <v>221.8</v>
      </c>
      <c r="F56" s="105">
        <v>223.8</v>
      </c>
      <c r="G56" s="105">
        <v>224.2</v>
      </c>
      <c r="H56" s="105">
        <v>224.6</v>
      </c>
      <c r="I56" s="105">
        <v>224.9</v>
      </c>
      <c r="J56" s="106">
        <v>225.2</v>
      </c>
      <c r="K56" s="128"/>
    </row>
    <row r="57" spans="1:11" x14ac:dyDescent="0.35">
      <c r="A57" s="36">
        <v>44</v>
      </c>
      <c r="B57" s="107" t="s">
        <v>279</v>
      </c>
      <c r="C57" s="108">
        <v>113.6</v>
      </c>
      <c r="D57" s="109">
        <v>114.1</v>
      </c>
      <c r="E57" s="109">
        <v>114.6</v>
      </c>
      <c r="F57" s="109">
        <v>115</v>
      </c>
      <c r="G57" s="109">
        <v>115.4</v>
      </c>
      <c r="H57" s="109">
        <v>115.8</v>
      </c>
      <c r="I57" s="109">
        <v>116.1</v>
      </c>
      <c r="J57" s="110">
        <v>116.4</v>
      </c>
      <c r="K57" s="128"/>
    </row>
    <row r="58" spans="1:11" x14ac:dyDescent="0.35">
      <c r="A58" s="140">
        <v>45</v>
      </c>
      <c r="B58" s="92" t="s">
        <v>280</v>
      </c>
      <c r="C58" s="104">
        <v>107.2</v>
      </c>
      <c r="D58" s="105">
        <v>107.2</v>
      </c>
      <c r="E58" s="105">
        <v>107.2</v>
      </c>
      <c r="F58" s="105">
        <v>108.8</v>
      </c>
      <c r="G58" s="105">
        <v>108.8</v>
      </c>
      <c r="H58" s="105">
        <v>108.8</v>
      </c>
      <c r="I58" s="105">
        <v>108.8</v>
      </c>
      <c r="J58" s="106">
        <v>108.8</v>
      </c>
      <c r="K58" s="128"/>
    </row>
    <row r="59" spans="1:11" ht="15" customHeight="1" x14ac:dyDescent="0.35">
      <c r="A59" s="79">
        <v>46</v>
      </c>
      <c r="B59" s="123" t="s">
        <v>281</v>
      </c>
      <c r="C59" s="100">
        <v>845.6</v>
      </c>
      <c r="D59" s="121">
        <v>813.3</v>
      </c>
      <c r="E59" s="121">
        <v>695.8</v>
      </c>
      <c r="F59" s="121">
        <v>674.7</v>
      </c>
      <c r="G59" s="121">
        <v>656.6</v>
      </c>
      <c r="H59" s="121">
        <v>555.70000000000005</v>
      </c>
      <c r="I59" s="121">
        <v>653</v>
      </c>
      <c r="J59" s="99">
        <v>652.79999999999995</v>
      </c>
      <c r="K59" s="132"/>
    </row>
    <row r="61" spans="1:11" x14ac:dyDescent="0.35">
      <c r="A61" s="36" t="s">
        <v>282</v>
      </c>
      <c r="B61" s="86" t="s">
        <v>283</v>
      </c>
    </row>
    <row r="62" spans="1:11" x14ac:dyDescent="0.35">
      <c r="A62" s="36" t="s">
        <v>284</v>
      </c>
      <c r="B62" s="36" t="s">
        <v>285</v>
      </c>
    </row>
    <row r="63" spans="1:11" x14ac:dyDescent="0.35">
      <c r="A63" s="36" t="s">
        <v>286</v>
      </c>
      <c r="B63" s="36" t="s">
        <v>287</v>
      </c>
    </row>
    <row r="64" spans="1:11" x14ac:dyDescent="0.35">
      <c r="A64" s="36" t="s">
        <v>288</v>
      </c>
      <c r="B64" s="36" t="s">
        <v>289</v>
      </c>
    </row>
    <row r="66" spans="1:7" x14ac:dyDescent="0.35">
      <c r="A66" s="1239" t="s">
        <v>961</v>
      </c>
      <c r="B66" s="1239"/>
      <c r="C66" s="1239"/>
      <c r="D66" s="1239"/>
      <c r="E66" s="1239"/>
      <c r="F66" s="1239"/>
      <c r="G66" s="1239"/>
    </row>
    <row r="67" spans="1:7" x14ac:dyDescent="0.35">
      <c r="A67" s="1237" t="s">
        <v>962</v>
      </c>
      <c r="B67" s="1237"/>
      <c r="C67" s="1237"/>
      <c r="D67" s="1237"/>
      <c r="E67" s="1237"/>
      <c r="F67" s="1237"/>
      <c r="G67" s="1237"/>
    </row>
    <row r="68" spans="1:7" x14ac:dyDescent="0.35">
      <c r="A68" s="1236" t="s">
        <v>963</v>
      </c>
      <c r="B68" s="1236"/>
      <c r="C68" s="1236"/>
      <c r="D68" s="1236"/>
      <c r="E68" s="1236"/>
      <c r="F68" s="1236"/>
      <c r="G68" s="1236"/>
    </row>
    <row r="69" spans="1:7" x14ac:dyDescent="0.35">
      <c r="A69" s="1238" t="s">
        <v>964</v>
      </c>
      <c r="B69" s="1238"/>
      <c r="C69" s="1238"/>
      <c r="D69" s="1238"/>
      <c r="E69" s="1238"/>
      <c r="F69" s="1238"/>
      <c r="G69" s="1238"/>
    </row>
    <row r="70" spans="1:7" x14ac:dyDescent="0.35">
      <c r="A70" s="1240" t="s">
        <v>965</v>
      </c>
      <c r="B70" s="1240"/>
      <c r="C70" s="1240"/>
      <c r="D70" s="1240"/>
      <c r="E70" s="1240"/>
      <c r="F70" s="1240"/>
      <c r="G70" s="1240"/>
    </row>
    <row r="71" spans="1:7" x14ac:dyDescent="0.35">
      <c r="A71" s="1237" t="s">
        <v>966</v>
      </c>
      <c r="B71" s="1237"/>
      <c r="C71" s="1237"/>
      <c r="D71" s="1237"/>
      <c r="E71" s="1237"/>
      <c r="F71" s="1237"/>
      <c r="G71" s="1237"/>
    </row>
    <row r="72" spans="1:7" x14ac:dyDescent="0.35">
      <c r="A72" s="1236" t="s">
        <v>967</v>
      </c>
      <c r="B72" s="1236"/>
      <c r="C72" s="1236"/>
      <c r="D72" s="1236"/>
      <c r="E72" s="1236"/>
      <c r="F72" s="1236"/>
      <c r="G72" s="1236"/>
    </row>
    <row r="73" spans="1:7" x14ac:dyDescent="0.35">
      <c r="A73" s="1236" t="s">
        <v>968</v>
      </c>
      <c r="B73" s="1236"/>
      <c r="C73" s="1236"/>
      <c r="D73" s="1236"/>
      <c r="E73" s="1236"/>
      <c r="F73" s="1236"/>
      <c r="G73" s="1236"/>
    </row>
    <row r="74" spans="1:7" x14ac:dyDescent="0.35">
      <c r="A74" s="1237" t="s">
        <v>969</v>
      </c>
      <c r="B74" s="1237"/>
      <c r="C74" s="1237"/>
      <c r="D74" s="1237"/>
      <c r="E74" s="1237"/>
      <c r="F74" s="1237"/>
      <c r="G74" s="1237"/>
    </row>
    <row r="76" spans="1:7" x14ac:dyDescent="0.35">
      <c r="A76" s="1238" t="s">
        <v>970</v>
      </c>
      <c r="B76" s="1238"/>
      <c r="C76" s="1238"/>
      <c r="D76" s="1238"/>
      <c r="E76" s="1238"/>
      <c r="F76" s="1238"/>
      <c r="G76" s="1238"/>
    </row>
    <row r="78" spans="1:7" x14ac:dyDescent="0.35">
      <c r="A78" s="36" t="s">
        <v>290</v>
      </c>
    </row>
    <row r="80" spans="1:7" x14ac:dyDescent="0.35">
      <c r="A80" s="36" t="s">
        <v>291</v>
      </c>
    </row>
    <row r="82" spans="1:1" x14ac:dyDescent="0.35">
      <c r="A82" s="87"/>
    </row>
    <row r="88" spans="1:1" x14ac:dyDescent="0.35">
      <c r="A88" s="84"/>
    </row>
    <row r="89" spans="1:1" x14ac:dyDescent="0.35">
      <c r="A89" s="84"/>
    </row>
    <row r="90" spans="1:1" x14ac:dyDescent="0.35">
      <c r="A90" s="84"/>
    </row>
  </sheetData>
  <mergeCells count="15">
    <mergeCell ref="A72:G72"/>
    <mergeCell ref="A73:G73"/>
    <mergeCell ref="A74:G74"/>
    <mergeCell ref="A76:G76"/>
    <mergeCell ref="A66:G66"/>
    <mergeCell ref="A67:G67"/>
    <mergeCell ref="A68:G68"/>
    <mergeCell ref="A69:G69"/>
    <mergeCell ref="A70:G70"/>
    <mergeCell ref="A71:G71"/>
    <mergeCell ref="A2:O2"/>
    <mergeCell ref="A3:O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2022-10-28T13:57:57Z</dcterms:modified>
  <cp:category/>
  <cp:contentStatus/>
</cp:coreProperties>
</file>