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5F6B5FC1-582A-4A6D-A634-5F60DE781B47}" xr6:coauthVersionLast="45" xr6:coauthVersionMax="45" xr10:uidLastSave="{00000000-0000-0000-0000-000000000000}"/>
  <bookViews>
    <workbookView xWindow="-110" yWindow="-110" windowWidth="19420" windowHeight="10420" firstSheet="6" activeTab="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new taxes" sheetId="5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35" l="1"/>
  <c r="C21" i="35"/>
  <c r="D45" i="32"/>
  <c r="D47" i="32"/>
  <c r="E42" i="32"/>
  <c r="D44" i="32"/>
  <c r="F47" i="32" l="1"/>
  <c r="Q9" i="26"/>
  <c r="S18" i="26" l="1"/>
  <c r="R18" i="26"/>
  <c r="Q18" i="26"/>
  <c r="P18" i="26"/>
  <c r="P20" i="26"/>
  <c r="Q20" i="26" s="1"/>
  <c r="R20" i="26" s="1"/>
  <c r="S20" i="26" s="1"/>
  <c r="T20" i="26" s="1"/>
  <c r="U20" i="26" s="1"/>
  <c r="V20" i="26" s="1"/>
  <c r="W20" i="26" s="1"/>
  <c r="X20" i="26" s="1"/>
  <c r="Y20" i="26" s="1"/>
  <c r="Z20" i="26" s="1"/>
  <c r="AA20" i="26" s="1"/>
  <c r="AB20" i="26" s="1"/>
  <c r="AC20" i="26" s="1"/>
  <c r="D22" i="26"/>
  <c r="L32" i="58"/>
  <c r="L31" i="58"/>
  <c r="L30" i="58"/>
  <c r="K32" i="58"/>
  <c r="K31" i="58"/>
  <c r="K30" i="58"/>
  <c r="K29" i="58"/>
  <c r="J32" i="58"/>
  <c r="J31" i="58"/>
  <c r="J30" i="58"/>
  <c r="J29" i="58"/>
  <c r="I32" i="58"/>
  <c r="P13" i="58"/>
  <c r="I31" i="58"/>
  <c r="I30" i="58"/>
  <c r="I29" i="58"/>
  <c r="L29" i="58"/>
  <c r="E37" i="58"/>
  <c r="E79" i="58" s="1"/>
  <c r="F37" i="58"/>
  <c r="F79" i="58" s="1"/>
  <c r="G37" i="58"/>
  <c r="H37" i="58"/>
  <c r="H79" i="58" s="1"/>
  <c r="I37" i="58"/>
  <c r="J37" i="58"/>
  <c r="J79" i="58" s="1"/>
  <c r="K37" i="58"/>
  <c r="L37" i="58"/>
  <c r="L79" i="58" s="1"/>
  <c r="E54" i="58"/>
  <c r="F54" i="58"/>
  <c r="G54" i="58"/>
  <c r="E55" i="58"/>
  <c r="F55" i="58"/>
  <c r="G55" i="58"/>
  <c r="E56" i="58"/>
  <c r="F56" i="58"/>
  <c r="G56" i="58"/>
  <c r="E57" i="58"/>
  <c r="F57" i="58"/>
  <c r="G57" i="58"/>
  <c r="P59" i="58"/>
  <c r="Q59" i="58"/>
  <c r="R59" i="58"/>
  <c r="E61" i="58"/>
  <c r="E85" i="58" s="1"/>
  <c r="F61" i="58"/>
  <c r="F85" i="58" s="1"/>
  <c r="G61" i="58"/>
  <c r="E62" i="58"/>
  <c r="F62" i="58"/>
  <c r="G62" i="58"/>
  <c r="G63" i="58"/>
  <c r="E64" i="58"/>
  <c r="F64" i="58"/>
  <c r="G64" i="58"/>
  <c r="E77" i="58"/>
  <c r="F77" i="58"/>
  <c r="G77" i="58"/>
  <c r="H77" i="58"/>
  <c r="I77" i="58"/>
  <c r="J77" i="58"/>
  <c r="K77" i="58"/>
  <c r="L77" i="58"/>
  <c r="E78" i="58"/>
  <c r="F78" i="58"/>
  <c r="G78" i="58"/>
  <c r="H78" i="58"/>
  <c r="I78" i="58"/>
  <c r="J78" i="58"/>
  <c r="K78" i="58"/>
  <c r="L78" i="58"/>
  <c r="G79" i="58"/>
  <c r="I79" i="58"/>
  <c r="K79" i="58"/>
  <c r="E80" i="58"/>
  <c r="F80" i="58"/>
  <c r="G80" i="58"/>
  <c r="G88" i="58" s="1"/>
  <c r="H80" i="58"/>
  <c r="I80" i="58"/>
  <c r="J80" i="58"/>
  <c r="K80" i="58"/>
  <c r="L80" i="58"/>
  <c r="E86" i="58"/>
  <c r="G86" i="58"/>
  <c r="F93" i="58"/>
  <c r="G93" i="58"/>
  <c r="H93" i="58"/>
  <c r="I93" i="58"/>
  <c r="J93" i="58"/>
  <c r="K93" i="58"/>
  <c r="L93" i="58"/>
  <c r="M93" i="58"/>
  <c r="N93" i="58"/>
  <c r="O93" i="58"/>
  <c r="P93" i="58"/>
  <c r="Q93" i="58"/>
  <c r="R93" i="58"/>
  <c r="S93" i="58"/>
  <c r="T93" i="58"/>
  <c r="U93" i="58"/>
  <c r="V93" i="58"/>
  <c r="W93" i="58"/>
  <c r="X93" i="58"/>
  <c r="Y93" i="58"/>
  <c r="Z93" i="58"/>
  <c r="AA93" i="58"/>
  <c r="AB93" i="58"/>
  <c r="AC93" i="58"/>
  <c r="F110" i="58"/>
  <c r="G110" i="58"/>
  <c r="H110" i="58"/>
  <c r="I110" i="58"/>
  <c r="J110" i="58"/>
  <c r="K110" i="58"/>
  <c r="L110" i="58"/>
  <c r="M110" i="58"/>
  <c r="N110" i="58"/>
  <c r="O110" i="58"/>
  <c r="F111" i="58"/>
  <c r="G111" i="58"/>
  <c r="H111" i="58"/>
  <c r="I111" i="58"/>
  <c r="J111" i="58"/>
  <c r="K111" i="58"/>
  <c r="L111" i="58"/>
  <c r="M111" i="58"/>
  <c r="N111" i="58"/>
  <c r="O111" i="58"/>
  <c r="F112" i="58"/>
  <c r="G112" i="58"/>
  <c r="H112" i="58"/>
  <c r="I112" i="58"/>
  <c r="J112" i="58"/>
  <c r="K112" i="58"/>
  <c r="L112" i="58"/>
  <c r="M112" i="58"/>
  <c r="N112" i="58"/>
  <c r="O112" i="58"/>
  <c r="F113" i="58"/>
  <c r="G113" i="58"/>
  <c r="H113" i="58"/>
  <c r="I113" i="58"/>
  <c r="J113" i="58"/>
  <c r="K113" i="58"/>
  <c r="L113" i="58"/>
  <c r="M113" i="58"/>
  <c r="N113" i="58"/>
  <c r="O113" i="58"/>
  <c r="F114" i="58"/>
  <c r="G114" i="58"/>
  <c r="H114" i="58"/>
  <c r="I114" i="58"/>
  <c r="J114" i="58"/>
  <c r="K114" i="58"/>
  <c r="L114" i="58"/>
  <c r="M114" i="58"/>
  <c r="N114" i="58"/>
  <c r="O114" i="58"/>
  <c r="F115" i="58"/>
  <c r="G115" i="58"/>
  <c r="H115" i="58"/>
  <c r="I115" i="58"/>
  <c r="J115" i="58"/>
  <c r="K115" i="58"/>
  <c r="L115" i="58"/>
  <c r="M115" i="58"/>
  <c r="N115" i="58"/>
  <c r="O115" i="58"/>
  <c r="F116" i="58"/>
  <c r="G116" i="58"/>
  <c r="H116" i="58"/>
  <c r="I116" i="58"/>
  <c r="J116" i="58"/>
  <c r="K116" i="58"/>
  <c r="L116" i="58"/>
  <c r="M116" i="58"/>
  <c r="N116" i="58"/>
  <c r="O116" i="58" s="1"/>
  <c r="N20" i="58"/>
  <c r="M20" i="58"/>
  <c r="M121" i="58" s="1"/>
  <c r="L20" i="58"/>
  <c r="K20" i="58"/>
  <c r="J20" i="58"/>
  <c r="I20" i="58"/>
  <c r="H20" i="58"/>
  <c r="G20" i="58"/>
  <c r="G121" i="58" s="1"/>
  <c r="F20" i="58"/>
  <c r="O19" i="58"/>
  <c r="O120" i="58" s="1"/>
  <c r="P120" i="58" s="1"/>
  <c r="Q120" i="58" s="1"/>
  <c r="R120" i="58" s="1"/>
  <c r="S120" i="58" s="1"/>
  <c r="T120" i="58" s="1"/>
  <c r="U120" i="58" s="1"/>
  <c r="V120" i="58" s="1"/>
  <c r="W120" i="58" s="1"/>
  <c r="X120" i="58" s="1"/>
  <c r="Y120" i="58" s="1"/>
  <c r="Z120" i="58" s="1"/>
  <c r="AA120" i="58" s="1"/>
  <c r="AB120" i="58" s="1"/>
  <c r="AC120" i="58" s="1"/>
  <c r="N19" i="58"/>
  <c r="M19" i="58"/>
  <c r="L19" i="58"/>
  <c r="K19" i="58"/>
  <c r="J19" i="58"/>
  <c r="I19" i="58"/>
  <c r="I120" i="58" s="1"/>
  <c r="H19" i="58"/>
  <c r="G19" i="58"/>
  <c r="G120" i="58" s="1"/>
  <c r="F19" i="58"/>
  <c r="O18" i="58"/>
  <c r="N18" i="58"/>
  <c r="M18" i="58"/>
  <c r="L18" i="58"/>
  <c r="K18" i="58"/>
  <c r="K119" i="58" s="1"/>
  <c r="J18" i="58"/>
  <c r="I18" i="58"/>
  <c r="I119" i="58" s="1"/>
  <c r="H18" i="58"/>
  <c r="G18" i="58"/>
  <c r="F18" i="58"/>
  <c r="O17" i="58"/>
  <c r="N17" i="58"/>
  <c r="M17" i="58"/>
  <c r="L17" i="58"/>
  <c r="K17" i="58"/>
  <c r="J17" i="58"/>
  <c r="I17" i="58"/>
  <c r="H17" i="58"/>
  <c r="G17" i="58"/>
  <c r="F17" i="58"/>
  <c r="N13" i="58"/>
  <c r="M13" i="58"/>
  <c r="L13" i="58"/>
  <c r="K13" i="58"/>
  <c r="J13" i="58"/>
  <c r="I13" i="58"/>
  <c r="H13" i="58"/>
  <c r="G13" i="58"/>
  <c r="F13" i="58"/>
  <c r="O12" i="58"/>
  <c r="O106" i="58" s="1"/>
  <c r="N12" i="58"/>
  <c r="M12" i="58"/>
  <c r="L12" i="58"/>
  <c r="K12" i="58"/>
  <c r="J12" i="58"/>
  <c r="I12" i="58"/>
  <c r="I106" i="58" s="1"/>
  <c r="H12" i="58"/>
  <c r="G12" i="58"/>
  <c r="F12" i="58"/>
  <c r="O11" i="58"/>
  <c r="N11" i="58"/>
  <c r="M11" i="58"/>
  <c r="L11" i="58"/>
  <c r="K11" i="58"/>
  <c r="K105" i="58" s="1"/>
  <c r="J11" i="58"/>
  <c r="I11" i="58"/>
  <c r="I105" i="58" s="1"/>
  <c r="H11" i="58"/>
  <c r="G11" i="58"/>
  <c r="F11" i="58"/>
  <c r="O10" i="58"/>
  <c r="N10" i="58"/>
  <c r="M10" i="58"/>
  <c r="L10" i="58"/>
  <c r="K10" i="58"/>
  <c r="J10" i="58"/>
  <c r="I10" i="58"/>
  <c r="H10" i="58"/>
  <c r="G10" i="58"/>
  <c r="F10" i="58"/>
  <c r="G46" i="32"/>
  <c r="G44" i="32" s="1"/>
  <c r="F46" i="32"/>
  <c r="F44" i="32" s="1"/>
  <c r="E46" i="32"/>
  <c r="E44" i="32" s="1"/>
  <c r="D46" i="32"/>
  <c r="G22" i="33"/>
  <c r="F22" i="33"/>
  <c r="E22" i="33"/>
  <c r="G19" i="49"/>
  <c r="G17" i="49"/>
  <c r="F19" i="49"/>
  <c r="E19" i="49"/>
  <c r="I17" i="49"/>
  <c r="I16" i="49"/>
  <c r="R11" i="49"/>
  <c r="Q11" i="49"/>
  <c r="P11" i="49"/>
  <c r="E63" i="58" l="1"/>
  <c r="G85" i="58"/>
  <c r="M107" i="58"/>
  <c r="H88" i="58" s="1"/>
  <c r="E88" i="58"/>
  <c r="Q13" i="58"/>
  <c r="D21" i="35"/>
  <c r="G119" i="58"/>
  <c r="O119" i="58"/>
  <c r="P119" i="58" s="1"/>
  <c r="Q119" i="58" s="1"/>
  <c r="R119" i="58" s="1"/>
  <c r="S119" i="58" s="1"/>
  <c r="T119" i="58" s="1"/>
  <c r="U119" i="58" s="1"/>
  <c r="V119" i="58" s="1"/>
  <c r="W119" i="58" s="1"/>
  <c r="X119" i="58" s="1"/>
  <c r="Y119" i="58" s="1"/>
  <c r="Z119" i="58" s="1"/>
  <c r="AA119" i="58" s="1"/>
  <c r="AB119" i="58" s="1"/>
  <c r="AC119" i="58" s="1"/>
  <c r="M120" i="58"/>
  <c r="K121" i="58"/>
  <c r="E87" i="58"/>
  <c r="G87" i="58"/>
  <c r="O105" i="58"/>
  <c r="M106" i="58"/>
  <c r="K107" i="58"/>
  <c r="H119" i="58"/>
  <c r="F120" i="58"/>
  <c r="N120" i="58"/>
  <c r="L121" i="58"/>
  <c r="M109" i="58"/>
  <c r="M104" i="58" s="1"/>
  <c r="F86" i="58"/>
  <c r="J119" i="58"/>
  <c r="H120" i="58"/>
  <c r="F121" i="58"/>
  <c r="N121" i="58"/>
  <c r="M16" i="58"/>
  <c r="F88" i="58"/>
  <c r="H48" i="58"/>
  <c r="H61" i="58" s="1"/>
  <c r="J105" i="58"/>
  <c r="H106" i="58"/>
  <c r="N107" i="58"/>
  <c r="I88" i="58" s="1"/>
  <c r="J88" i="58" s="1"/>
  <c r="K88" i="58" s="1"/>
  <c r="L88" i="58" s="1"/>
  <c r="H121" i="58"/>
  <c r="L119" i="58"/>
  <c r="J106" i="58"/>
  <c r="H107" i="58"/>
  <c r="K120" i="58"/>
  <c r="F119" i="58"/>
  <c r="N119" i="58"/>
  <c r="L120" i="58"/>
  <c r="J121" i="58"/>
  <c r="L107" i="58"/>
  <c r="J109" i="58"/>
  <c r="J104" i="58" s="1"/>
  <c r="H109" i="58"/>
  <c r="H118" i="58" s="1"/>
  <c r="J120" i="58"/>
  <c r="N105" i="58"/>
  <c r="H86" i="58" s="1"/>
  <c r="I86" i="58" s="1"/>
  <c r="J86" i="58" s="1"/>
  <c r="K86" i="58" s="1"/>
  <c r="L86" i="58" s="1"/>
  <c r="M27" i="58"/>
  <c r="M31" i="58" s="1"/>
  <c r="J107" i="58"/>
  <c r="J16" i="58"/>
  <c r="O121" i="58"/>
  <c r="P121" i="58" s="1"/>
  <c r="Q121" i="58" s="1"/>
  <c r="O107" i="58"/>
  <c r="J9" i="58"/>
  <c r="H105" i="58"/>
  <c r="N106" i="58"/>
  <c r="H87" i="58" s="1"/>
  <c r="H51" i="58"/>
  <c r="H57" i="58" s="1"/>
  <c r="O109" i="58"/>
  <c r="O104" i="58" s="1"/>
  <c r="G109" i="58"/>
  <c r="G118" i="58" s="1"/>
  <c r="P12" i="58"/>
  <c r="Q12" i="58" s="1"/>
  <c r="R12" i="58" s="1"/>
  <c r="S12" i="58" s="1"/>
  <c r="T12" i="58" s="1"/>
  <c r="U12" i="58" s="1"/>
  <c r="V12" i="58" s="1"/>
  <c r="W12" i="58" s="1"/>
  <c r="X12" i="58" s="1"/>
  <c r="Y12" i="58" s="1"/>
  <c r="Z12" i="58" s="1"/>
  <c r="AA12" i="58" s="1"/>
  <c r="AB12" i="58" s="1"/>
  <c r="AC12" i="58" s="1"/>
  <c r="L109" i="58"/>
  <c r="L104" i="58" s="1"/>
  <c r="N109" i="58"/>
  <c r="N118" i="58" s="1"/>
  <c r="F109" i="58"/>
  <c r="F118" i="58" s="1"/>
  <c r="M28" i="58"/>
  <c r="M32" i="58" s="1"/>
  <c r="F9" i="58"/>
  <c r="N9" i="58"/>
  <c r="H49" i="58"/>
  <c r="H62" i="58" s="1"/>
  <c r="M119" i="58"/>
  <c r="I121" i="58"/>
  <c r="K109" i="58"/>
  <c r="K118" i="58" s="1"/>
  <c r="L106" i="58"/>
  <c r="M105" i="58"/>
  <c r="K106" i="58"/>
  <c r="I107" i="58"/>
  <c r="L105" i="58"/>
  <c r="M26" i="58"/>
  <c r="M30" i="58" s="1"/>
  <c r="P11" i="58"/>
  <c r="Q11" i="58" s="1"/>
  <c r="R11" i="58" s="1"/>
  <c r="S11" i="58" s="1"/>
  <c r="T11" i="58" s="1"/>
  <c r="U11" i="58" s="1"/>
  <c r="V11" i="58" s="1"/>
  <c r="W11" i="58" s="1"/>
  <c r="X11" i="58" s="1"/>
  <c r="Y11" i="58" s="1"/>
  <c r="Z11" i="58" s="1"/>
  <c r="AA11" i="58" s="1"/>
  <c r="AB11" i="58" s="1"/>
  <c r="AC11" i="58" s="1"/>
  <c r="H104" i="58"/>
  <c r="H50" i="58"/>
  <c r="H63" i="58" s="1"/>
  <c r="I109" i="58"/>
  <c r="I104" i="58" s="1"/>
  <c r="P10" i="58"/>
  <c r="Q10" i="58" s="1"/>
  <c r="R10" i="58" s="1"/>
  <c r="S10" i="58" s="1"/>
  <c r="T10" i="58" s="1"/>
  <c r="U10" i="58" s="1"/>
  <c r="V10" i="58" s="1"/>
  <c r="W10" i="58" s="1"/>
  <c r="X10" i="58" s="1"/>
  <c r="Y10" i="58" s="1"/>
  <c r="Z10" i="58" s="1"/>
  <c r="AA10" i="58" s="1"/>
  <c r="AB10" i="58" s="1"/>
  <c r="AC10" i="58" s="1"/>
  <c r="H54" i="58"/>
  <c r="F63" i="58"/>
  <c r="F87" i="58" s="1"/>
  <c r="I16" i="58"/>
  <c r="K16" i="58"/>
  <c r="G16" i="58"/>
  <c r="O16" i="58"/>
  <c r="C20" i="35" s="1"/>
  <c r="G26" i="58"/>
  <c r="H30" i="58" s="1"/>
  <c r="G25" i="58"/>
  <c r="H29" i="58" s="1"/>
  <c r="G9" i="58"/>
  <c r="O9" i="58"/>
  <c r="C19" i="35" s="1"/>
  <c r="M9" i="58"/>
  <c r="L9" i="58"/>
  <c r="H9" i="58"/>
  <c r="F16" i="58"/>
  <c r="N16" i="58"/>
  <c r="L16" i="58"/>
  <c r="G27" i="58"/>
  <c r="H31" i="58" s="1"/>
  <c r="G28" i="58"/>
  <c r="H32" i="58" s="1"/>
  <c r="H16" i="58"/>
  <c r="I9" i="58"/>
  <c r="P19" i="58"/>
  <c r="M25" i="58"/>
  <c r="M29" i="58" s="1"/>
  <c r="K9" i="58"/>
  <c r="P18" i="58" l="1"/>
  <c r="N104" i="58"/>
  <c r="H85" i="58" s="1"/>
  <c r="I85" i="58" s="1"/>
  <c r="J85" i="58" s="1"/>
  <c r="K85" i="58" s="1"/>
  <c r="L85" i="58" s="1"/>
  <c r="M118" i="58"/>
  <c r="P20" i="58"/>
  <c r="D22" i="35" s="1"/>
  <c r="R121" i="58"/>
  <c r="S121" i="58" s="1"/>
  <c r="T121" i="58" s="1"/>
  <c r="U121" i="58" s="1"/>
  <c r="V121" i="58" s="1"/>
  <c r="W121" i="58" s="1"/>
  <c r="X121" i="58" s="1"/>
  <c r="Y121" i="58" s="1"/>
  <c r="Z121" i="58" s="1"/>
  <c r="AA121" i="58" s="1"/>
  <c r="AB121" i="58" s="1"/>
  <c r="AC121" i="58" s="1"/>
  <c r="Q20" i="58"/>
  <c r="E22" i="35" s="1"/>
  <c r="H55" i="58"/>
  <c r="J118" i="58"/>
  <c r="L118" i="58"/>
  <c r="R13" i="58"/>
  <c r="E21" i="35"/>
  <c r="K104" i="58"/>
  <c r="H64" i="58"/>
  <c r="I118" i="58"/>
  <c r="H56" i="58"/>
  <c r="O118" i="58"/>
  <c r="P118" i="58" s="1"/>
  <c r="I48" i="58"/>
  <c r="J87" i="58"/>
  <c r="K87" i="58" s="1"/>
  <c r="L87" i="58" s="1"/>
  <c r="I87" i="58"/>
  <c r="P9" i="58"/>
  <c r="D19" i="35" s="1"/>
  <c r="Q18" i="58"/>
  <c r="R20" i="58"/>
  <c r="F22" i="35" s="1"/>
  <c r="Q19" i="58"/>
  <c r="S13" i="58" l="1"/>
  <c r="I51" i="58" s="1"/>
  <c r="F21" i="35"/>
  <c r="Q118" i="58"/>
  <c r="P17" i="58"/>
  <c r="P16" i="58" s="1"/>
  <c r="D20" i="35" s="1"/>
  <c r="N27" i="58"/>
  <c r="N31" i="58" s="1"/>
  <c r="I49" i="58"/>
  <c r="I62" i="58" s="1"/>
  <c r="Q9" i="58"/>
  <c r="E19" i="35" s="1"/>
  <c r="N26" i="58"/>
  <c r="N30" i="58" s="1"/>
  <c r="I61" i="58"/>
  <c r="I54" i="58"/>
  <c r="I50" i="58"/>
  <c r="R9" i="58"/>
  <c r="F19" i="35" s="1"/>
  <c r="R18" i="58"/>
  <c r="S9" i="58"/>
  <c r="G19" i="35" s="1"/>
  <c r="N25" i="58"/>
  <c r="N29" i="58" s="1"/>
  <c r="R19" i="58"/>
  <c r="S20" i="58"/>
  <c r="G22" i="35" s="1"/>
  <c r="N28" i="58" l="1"/>
  <c r="N32" i="58" s="1"/>
  <c r="G21" i="35"/>
  <c r="T13" i="58"/>
  <c r="R118" i="58"/>
  <c r="Q17" i="58"/>
  <c r="Q16" i="58" s="1"/>
  <c r="E20" i="35" s="1"/>
  <c r="I55" i="58"/>
  <c r="O26" i="58"/>
  <c r="O30" i="58" s="1"/>
  <c r="I63" i="58"/>
  <c r="I56" i="58"/>
  <c r="J49" i="58"/>
  <c r="I64" i="58"/>
  <c r="I57" i="58"/>
  <c r="S19" i="58"/>
  <c r="S18" i="58"/>
  <c r="T20" i="58"/>
  <c r="H22" i="35" s="1"/>
  <c r="T9" i="58"/>
  <c r="H19" i="35" s="1"/>
  <c r="U13" i="58" l="1"/>
  <c r="H21" i="35"/>
  <c r="S118" i="58"/>
  <c r="R17" i="58"/>
  <c r="R16" i="58" s="1"/>
  <c r="F20" i="35" s="1"/>
  <c r="J62" i="58"/>
  <c r="J55" i="58"/>
  <c r="U20" i="58"/>
  <c r="I22" i="35" s="1"/>
  <c r="T19" i="58"/>
  <c r="U9" i="58"/>
  <c r="I19" i="35" s="1"/>
  <c r="T18" i="58"/>
  <c r="V13" i="58" l="1"/>
  <c r="I21" i="35"/>
  <c r="T118" i="58"/>
  <c r="S17" i="58"/>
  <c r="S16" i="58" s="1"/>
  <c r="G20" i="35" s="1"/>
  <c r="O27" i="58"/>
  <c r="O31" i="58" s="1"/>
  <c r="J50" i="58"/>
  <c r="U19" i="58"/>
  <c r="V20" i="58"/>
  <c r="J22" i="35" s="1"/>
  <c r="U18" i="58"/>
  <c r="O25" i="58"/>
  <c r="O29" i="58" s="1"/>
  <c r="V9" i="58"/>
  <c r="J19" i="35" s="1"/>
  <c r="O13" i="30"/>
  <c r="P13" i="30"/>
  <c r="P11" i="30" s="1"/>
  <c r="O11" i="30"/>
  <c r="O44" i="30" s="1"/>
  <c r="F44" i="30"/>
  <c r="E60" i="32"/>
  <c r="F60" i="32"/>
  <c r="G60" i="32"/>
  <c r="H60" i="32"/>
  <c r="I60" i="32"/>
  <c r="J60" i="32"/>
  <c r="K60" i="32"/>
  <c r="L60" i="32"/>
  <c r="M60" i="32"/>
  <c r="N60" i="32"/>
  <c r="O60" i="32"/>
  <c r="D60" i="32"/>
  <c r="W13" i="58" l="1"/>
  <c r="J21" i="35"/>
  <c r="U118" i="58"/>
  <c r="T17" i="58"/>
  <c r="T16" i="58" s="1"/>
  <c r="H20" i="35" s="1"/>
  <c r="J63" i="58"/>
  <c r="J56" i="58"/>
  <c r="Q26" i="58"/>
  <c r="K49" i="58"/>
  <c r="P26" i="58"/>
  <c r="P30" i="58" s="1"/>
  <c r="J48" i="58"/>
  <c r="J54" i="58" s="1"/>
  <c r="V19" i="58"/>
  <c r="W9" i="58"/>
  <c r="K19" i="35" s="1"/>
  <c r="V18" i="58"/>
  <c r="W20" i="58"/>
  <c r="K22" i="35" s="1"/>
  <c r="G22" i="21"/>
  <c r="X13" i="58" l="1"/>
  <c r="K21" i="35"/>
  <c r="J51" i="58"/>
  <c r="O28" i="58"/>
  <c r="O32" i="58" s="1"/>
  <c r="V118" i="58"/>
  <c r="U17" i="58"/>
  <c r="U16" i="58" s="1"/>
  <c r="I20" i="35" s="1"/>
  <c r="K62" i="58"/>
  <c r="K55" i="58"/>
  <c r="J61" i="58"/>
  <c r="X20" i="58"/>
  <c r="L22" i="35" s="1"/>
  <c r="X9" i="58"/>
  <c r="L19" i="35" s="1"/>
  <c r="W18" i="58"/>
  <c r="W19" i="58"/>
  <c r="D27" i="32"/>
  <c r="E27" i="32"/>
  <c r="F27" i="32"/>
  <c r="G27" i="32"/>
  <c r="H27" i="32"/>
  <c r="I27" i="32"/>
  <c r="J27" i="32"/>
  <c r="K27" i="32"/>
  <c r="L27" i="32"/>
  <c r="S27" i="32"/>
  <c r="T27" i="32"/>
  <c r="U27" i="32"/>
  <c r="V27" i="32"/>
  <c r="W27" i="32"/>
  <c r="X27" i="32"/>
  <c r="Y27" i="32"/>
  <c r="Z27" i="32"/>
  <c r="AA27" i="32"/>
  <c r="AB27" i="32"/>
  <c r="AC27" i="32"/>
  <c r="M27" i="32"/>
  <c r="E6" i="5"/>
  <c r="E7" i="5"/>
  <c r="E8" i="5"/>
  <c r="E9" i="5"/>
  <c r="E10" i="5"/>
  <c r="E11" i="5"/>
  <c r="E12" i="5"/>
  <c r="E13" i="5"/>
  <c r="E14" i="5"/>
  <c r="E15" i="5"/>
  <c r="E5" i="5"/>
  <c r="R19" i="32"/>
  <c r="Q19" i="32"/>
  <c r="P19" i="32"/>
  <c r="J64" i="58" l="1"/>
  <c r="J57" i="58"/>
  <c r="Y13" i="58"/>
  <c r="L21" i="35"/>
  <c r="W118" i="58"/>
  <c r="V17" i="58"/>
  <c r="V16" i="58" s="1"/>
  <c r="J20" i="35" s="1"/>
  <c r="K50" i="58"/>
  <c r="K63" i="58" s="1"/>
  <c r="P27" i="58"/>
  <c r="P31" i="58" s="1"/>
  <c r="Q27" i="58"/>
  <c r="Y9" i="58"/>
  <c r="M19" i="35" s="1"/>
  <c r="X19" i="58"/>
  <c r="Y20" i="58"/>
  <c r="M22" i="35" s="1"/>
  <c r="X18" i="58"/>
  <c r="O22" i="30"/>
  <c r="N22" i="30"/>
  <c r="O23" i="30"/>
  <c r="N23" i="30"/>
  <c r="D4" i="50"/>
  <c r="E4" i="50"/>
  <c r="D5" i="50"/>
  <c r="E5" i="50"/>
  <c r="C5" i="50"/>
  <c r="C4" i="50"/>
  <c r="F13" i="27"/>
  <c r="Z13" i="58" l="1"/>
  <c r="M21" i="35"/>
  <c r="X118" i="58"/>
  <c r="W17" i="58"/>
  <c r="W16" i="58" s="1"/>
  <c r="K20" i="35" s="1"/>
  <c r="K56" i="58"/>
  <c r="Y18" i="58"/>
  <c r="Z20" i="58"/>
  <c r="N22" i="35" s="1"/>
  <c r="Y19" i="58"/>
  <c r="Z9" i="58"/>
  <c r="N19" i="35" s="1"/>
  <c r="O25" i="30"/>
  <c r="D10" i="26"/>
  <c r="E10" i="26"/>
  <c r="F10" i="26"/>
  <c r="G10" i="26"/>
  <c r="D9" i="26"/>
  <c r="E9" i="26"/>
  <c r="F9" i="26"/>
  <c r="G9" i="26"/>
  <c r="L47" i="38"/>
  <c r="D90" i="55"/>
  <c r="AA13" i="58" l="1"/>
  <c r="N21" i="35"/>
  <c r="K51" i="58"/>
  <c r="P28" i="58"/>
  <c r="P32" i="58" s="1"/>
  <c r="Y118" i="58"/>
  <c r="X17" i="58"/>
  <c r="X16" i="58" s="1"/>
  <c r="L20" i="35" s="1"/>
  <c r="K48" i="58"/>
  <c r="K61" i="58" s="1"/>
  <c r="P25" i="58"/>
  <c r="P29" i="58" s="1"/>
  <c r="Z19" i="58"/>
  <c r="AA20" i="58"/>
  <c r="O22" i="35" s="1"/>
  <c r="AA9" i="58"/>
  <c r="O19" i="35" s="1"/>
  <c r="Q25" i="58"/>
  <c r="Z18" i="58"/>
  <c r="F11" i="26"/>
  <c r="F20" i="26" s="1"/>
  <c r="E11" i="26"/>
  <c r="E20" i="26" s="1"/>
  <c r="D11" i="26"/>
  <c r="D20" i="26" s="1"/>
  <c r="G11" i="26"/>
  <c r="G20" i="26" s="1"/>
  <c r="U14" i="26"/>
  <c r="O22" i="25"/>
  <c r="K57" i="58" l="1"/>
  <c r="K64" i="58"/>
  <c r="AB13" i="58"/>
  <c r="O21" i="35"/>
  <c r="Q28" i="58"/>
  <c r="Z118" i="58"/>
  <c r="Y17" i="58"/>
  <c r="Y16" i="58" s="1"/>
  <c r="M20" i="35" s="1"/>
  <c r="K54" i="58"/>
  <c r="AC20" i="58"/>
  <c r="Q22" i="35" s="1"/>
  <c r="AB20" i="58"/>
  <c r="P22" i="35" s="1"/>
  <c r="AA19" i="58"/>
  <c r="AA18" i="58"/>
  <c r="AC9" i="58"/>
  <c r="Q19" i="35" s="1"/>
  <c r="AB9" i="58"/>
  <c r="P19" i="35" s="1"/>
  <c r="O70" i="32"/>
  <c r="O30" i="32"/>
  <c r="O12" i="32"/>
  <c r="O9" i="29"/>
  <c r="O10" i="29" s="1"/>
  <c r="O11" i="33"/>
  <c r="O12" i="33" s="1"/>
  <c r="O9" i="49"/>
  <c r="K25" i="49" s="1"/>
  <c r="O10" i="49"/>
  <c r="O14" i="30"/>
  <c r="O16" i="30"/>
  <c r="O17" i="30"/>
  <c r="O18" i="30"/>
  <c r="O19" i="30"/>
  <c r="O20" i="30"/>
  <c r="O21" i="30"/>
  <c r="O28" i="20"/>
  <c r="O9" i="20"/>
  <c r="O14" i="20" s="1"/>
  <c r="O98" i="26"/>
  <c r="O19" i="26"/>
  <c r="O14" i="26"/>
  <c r="O13" i="26"/>
  <c r="O86"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C13" i="58" l="1"/>
  <c r="Q21" i="35" s="1"/>
  <c r="P21" i="35"/>
  <c r="AA118" i="58"/>
  <c r="Z17" i="58"/>
  <c r="Z16" i="58" s="1"/>
  <c r="N20" i="35" s="1"/>
  <c r="AB18" i="58"/>
  <c r="AC18" i="58"/>
  <c r="AB19" i="58"/>
  <c r="AC19" i="58"/>
  <c r="O11" i="49"/>
  <c r="O12" i="49" s="1"/>
  <c r="K26" i="49" s="1"/>
  <c r="O55" i="38"/>
  <c r="O56" i="38" s="1"/>
  <c r="P53" i="38" s="1"/>
  <c r="P54" i="38" s="1"/>
  <c r="O11" i="26"/>
  <c r="O14" i="40"/>
  <c r="O30"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AB118" i="58" l="1"/>
  <c r="AA17" i="58"/>
  <c r="AA16" i="58" s="1"/>
  <c r="O20" i="35" s="1"/>
  <c r="O65" i="38"/>
  <c r="P64" i="38"/>
  <c r="AC118" i="58" l="1"/>
  <c r="AC17" i="58" s="1"/>
  <c r="AC16" i="58" s="1"/>
  <c r="Q20" i="35" s="1"/>
  <c r="AB17" i="58"/>
  <c r="AB16" i="58" s="1"/>
  <c r="P20" i="35" s="1"/>
  <c r="P65" i="38"/>
  <c r="O15" i="4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O17" i="40" l="1"/>
  <c r="O16" i="40"/>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7" i="20"/>
  <c r="AW57" i="20"/>
  <c r="AX57" i="20"/>
  <c r="AY57" i="20"/>
  <c r="AZ57" i="20"/>
  <c r="BA57" i="20"/>
  <c r="BB57" i="20"/>
  <c r="AU57" i="20"/>
  <c r="AP57" i="20"/>
  <c r="AQ57" i="20"/>
  <c r="AR57" i="20"/>
  <c r="AS57" i="20"/>
  <c r="AT57" i="20"/>
  <c r="AO57" i="20"/>
  <c r="D27" i="25" l="1"/>
  <c r="K19" i="26"/>
  <c r="L19" i="26"/>
  <c r="M19" i="26"/>
  <c r="N19" i="26"/>
  <c r="J12" i="26"/>
  <c r="C13" i="35" l="1"/>
  <c r="C14" i="35"/>
  <c r="Z15" i="32" l="1"/>
  <c r="AA15" i="32"/>
  <c r="AB15" i="32"/>
  <c r="AC15" i="32"/>
  <c r="Z16" i="32"/>
  <c r="AA16" i="32"/>
  <c r="AB16" i="32"/>
  <c r="AC16" i="32"/>
  <c r="AC83" i="26"/>
  <c r="Z82" i="26"/>
  <c r="AA82" i="26"/>
  <c r="AB82" i="26"/>
  <c r="AC82" i="26"/>
  <c r="Z33" i="26"/>
  <c r="AA33" i="26"/>
  <c r="AB33" i="26"/>
  <c r="AC33" i="26"/>
  <c r="Z19" i="26"/>
  <c r="AA19" i="26"/>
  <c r="AB19" i="26"/>
  <c r="AC19" i="26"/>
  <c r="Z16" i="26"/>
  <c r="Z83" i="26" s="1"/>
  <c r="AA16" i="26"/>
  <c r="AA83" i="26" s="1"/>
  <c r="AB16" i="26"/>
  <c r="AB83" i="26" s="1"/>
  <c r="AC16" i="26"/>
  <c r="Z15" i="26"/>
  <c r="AA15" i="26"/>
  <c r="AB15" i="26"/>
  <c r="AC15" i="26"/>
  <c r="Z14" i="26"/>
  <c r="Z81" i="26" s="1"/>
  <c r="AA14" i="26"/>
  <c r="AA81" i="26" s="1"/>
  <c r="AB14" i="26"/>
  <c r="AB81" i="26" s="1"/>
  <c r="AC14" i="26"/>
  <c r="AC81"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8" i="26"/>
  <c r="N14" i="26" l="1"/>
  <c r="N13" i="26"/>
  <c r="N86" i="26" s="1"/>
  <c r="N10" i="26"/>
  <c r="N9" i="26"/>
  <c r="N30" i="32"/>
  <c r="N12" i="32"/>
  <c r="N70" i="32"/>
  <c r="N13" i="40"/>
  <c r="L13" i="40"/>
  <c r="M13" i="40"/>
  <c r="K13" i="40"/>
  <c r="N12" i="40"/>
  <c r="N11" i="40"/>
  <c r="N11" i="33"/>
  <c r="N9" i="29"/>
  <c r="N10" i="29" s="1"/>
  <c r="N10" i="49"/>
  <c r="N9" i="49"/>
  <c r="J25" i="49" s="1"/>
  <c r="N31" i="32" s="1"/>
  <c r="N18" i="25"/>
  <c r="N17" i="25"/>
  <c r="N16" i="25"/>
  <c r="N15" i="25"/>
  <c r="N14" i="25"/>
  <c r="N12" i="25"/>
  <c r="N11" i="25"/>
  <c r="N21" i="30"/>
  <c r="N20" i="30"/>
  <c r="N19" i="30"/>
  <c r="N18" i="30"/>
  <c r="N17" i="30"/>
  <c r="N16" i="30"/>
  <c r="N14" i="30"/>
  <c r="N11" i="30"/>
  <c r="N54" i="38"/>
  <c r="N53" i="38"/>
  <c r="N28" i="20"/>
  <c r="N30" i="20" s="1"/>
  <c r="N9" i="20"/>
  <c r="N14" i="20" s="1"/>
  <c r="F28" i="46"/>
  <c r="G28" i="46" s="1"/>
  <c r="F29" i="46"/>
  <c r="G29" i="46" s="1"/>
  <c r="F30" i="46"/>
  <c r="G30" i="46" s="1"/>
  <c r="F31" i="46"/>
  <c r="G31" i="46" s="1"/>
  <c r="N10" i="33" l="1"/>
  <c r="N12" i="33"/>
  <c r="N15" i="30"/>
  <c r="N13" i="30"/>
  <c r="N12" i="30" s="1"/>
  <c r="N11" i="49"/>
  <c r="N11" i="26"/>
  <c r="N14" i="40"/>
  <c r="B21" i="53"/>
  <c r="B20" i="53"/>
  <c r="B19" i="53"/>
  <c r="B18" i="53"/>
  <c r="B17" i="53"/>
  <c r="B16" i="53"/>
  <c r="B15" i="53"/>
  <c r="B14" i="53"/>
  <c r="B13" i="53"/>
  <c r="B12" i="53"/>
  <c r="B11" i="53"/>
  <c r="B10" i="53"/>
  <c r="P12" i="33" l="1"/>
  <c r="O10" i="33"/>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Y14" i="20"/>
  <c r="Z9" i="20"/>
  <c r="X14" i="20"/>
  <c r="W14" i="20"/>
  <c r="V14" i="20"/>
  <c r="U14" i="20"/>
  <c r="P14" i="20"/>
  <c r="C4" i="35"/>
  <c r="T14" i="20"/>
  <c r="S14" i="20"/>
  <c r="R14" i="20"/>
  <c r="Q14" i="20"/>
  <c r="I10" i="26"/>
  <c r="J10" i="26"/>
  <c r="K10" i="26"/>
  <c r="L10" i="26"/>
  <c r="M10" i="26"/>
  <c r="H10" i="26"/>
  <c r="R12" i="33" l="1"/>
  <c r="Q11" i="33"/>
  <c r="AA9" i="20"/>
  <c r="Z14" i="20"/>
  <c r="B21" i="51"/>
  <c r="B20" i="51"/>
  <c r="B19" i="51"/>
  <c r="B18" i="51"/>
  <c r="B17" i="51"/>
  <c r="R11" i="33" l="1"/>
  <c r="S12" i="33"/>
  <c r="N4" i="35"/>
  <c r="O6" i="55" s="1"/>
  <c r="AB9" i="20"/>
  <c r="AA14" i="20"/>
  <c r="B16" i="51"/>
  <c r="B15" i="51"/>
  <c r="B14" i="51"/>
  <c r="B13" i="51"/>
  <c r="B12" i="51"/>
  <c r="B11" i="51"/>
  <c r="B10" i="51"/>
  <c r="O81" i="55" l="1"/>
  <c r="O56" i="55"/>
  <c r="T12" i="33"/>
  <c r="S11" i="33"/>
  <c r="O4" i="35"/>
  <c r="P6" i="55" s="1"/>
  <c r="AC9" i="20"/>
  <c r="AC14" i="20" s="1"/>
  <c r="Q4" i="35" s="1"/>
  <c r="R6" i="55" s="1"/>
  <c r="AB14" i="20"/>
  <c r="P4" i="35" s="1"/>
  <c r="Q6" i="55" s="1"/>
  <c r="I98" i="26"/>
  <c r="J98" i="26"/>
  <c r="K98" i="26"/>
  <c r="L98" i="26"/>
  <c r="M98" i="26"/>
  <c r="H9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V98" i="26"/>
  <c r="W98" i="26"/>
  <c r="P98" i="26"/>
  <c r="X98" i="26"/>
  <c r="Y98" i="26"/>
  <c r="Q98" i="26"/>
  <c r="R98" i="26"/>
  <c r="Z98" i="26"/>
  <c r="Z49" i="20" s="1"/>
  <c r="AA98" i="26"/>
  <c r="AB98" i="26"/>
  <c r="S98" i="26"/>
  <c r="T98" i="26"/>
  <c r="U98" i="26"/>
  <c r="AC98" i="26"/>
  <c r="C3" i="35"/>
  <c r="R13" i="33"/>
  <c r="Q10" i="33"/>
  <c r="Y15" i="33"/>
  <c r="AA15" i="33"/>
  <c r="AB15" i="33"/>
  <c r="AC15" i="33"/>
  <c r="Z15" i="33"/>
  <c r="O15" i="33"/>
  <c r="N15" i="33"/>
  <c r="X15" i="33"/>
  <c r="P15" i="33"/>
  <c r="V15" i="33"/>
  <c r="U15" i="33"/>
  <c r="W15" i="33"/>
  <c r="Q15" i="33"/>
  <c r="S15" i="33"/>
  <c r="V12" i="33" l="1"/>
  <c r="U11" i="33"/>
  <c r="S13" i="33"/>
  <c r="R10" i="33"/>
  <c r="N3" i="35"/>
  <c r="O5" i="55" s="1"/>
  <c r="O3" i="35"/>
  <c r="P5" i="55" s="1"/>
  <c r="AA49" i="20"/>
  <c r="Q3" i="35"/>
  <c r="R5" i="55" s="1"/>
  <c r="AC49" i="20"/>
  <c r="P3" i="35"/>
  <c r="Q5" i="55" s="1"/>
  <c r="AB49" i="20"/>
  <c r="P80" i="55" l="1"/>
  <c r="P55" i="55"/>
  <c r="O80" i="55"/>
  <c r="O55" i="55"/>
  <c r="W12" i="33"/>
  <c r="V11" i="33"/>
  <c r="Q55" i="55"/>
  <c r="Q80" i="55"/>
  <c r="R80" i="55"/>
  <c r="R55" i="55"/>
  <c r="T13" i="33"/>
  <c r="S10" i="33"/>
  <c r="Y16" i="26"/>
  <c r="X12" i="33" l="1"/>
  <c r="W11" i="33"/>
  <c r="U13" i="33"/>
  <c r="T10" i="33"/>
  <c r="T19" i="30"/>
  <c r="M12" i="40"/>
  <c r="K11" i="40"/>
  <c r="L11" i="40"/>
  <c r="M11" i="40"/>
  <c r="J11" i="40"/>
  <c r="J13" i="40"/>
  <c r="K12" i="40"/>
  <c r="L12" i="40"/>
  <c r="J12" i="40"/>
  <c r="Y16" i="32"/>
  <c r="X16" i="32"/>
  <c r="W16" i="32"/>
  <c r="V16" i="32"/>
  <c r="U16" i="32"/>
  <c r="T16" i="32"/>
  <c r="S16" i="32"/>
  <c r="R16" i="32"/>
  <c r="Q16" i="32"/>
  <c r="P16" i="32"/>
  <c r="F70" i="32"/>
  <c r="G70" i="32"/>
  <c r="H70" i="32"/>
  <c r="I70" i="32"/>
  <c r="J70" i="32"/>
  <c r="K70" i="32"/>
  <c r="L70" i="32"/>
  <c r="M70" i="32"/>
  <c r="E70" i="32"/>
  <c r="D7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71" i="32" l="1"/>
  <c r="O71" i="32"/>
  <c r="O69" i="32"/>
  <c r="O16" i="32" s="1"/>
  <c r="Y12" i="33"/>
  <c r="X11" i="33"/>
  <c r="V13" i="33"/>
  <c r="U10" i="33"/>
  <c r="N69" i="32"/>
  <c r="N16" i="32" s="1"/>
  <c r="K71" i="32"/>
  <c r="M71" i="32"/>
  <c r="L71" i="32"/>
  <c r="M69" i="32"/>
  <c r="M16" i="32" s="1"/>
  <c r="J69" i="32"/>
  <c r="J16" i="32" s="1"/>
  <c r="I69" i="32"/>
  <c r="I16" i="32" s="1"/>
  <c r="K69" i="32"/>
  <c r="K16" i="32" s="1"/>
  <c r="L69" i="32"/>
  <c r="L16" i="32" s="1"/>
  <c r="J71" i="32"/>
  <c r="Y11" i="33" l="1"/>
  <c r="Z12" i="33"/>
  <c r="W13" i="33"/>
  <c r="V10" i="33"/>
  <c r="E9" i="49"/>
  <c r="F9" i="49"/>
  <c r="G9" i="49"/>
  <c r="H9" i="49"/>
  <c r="D25" i="49" s="1"/>
  <c r="H31" i="32" s="1"/>
  <c r="I9" i="49"/>
  <c r="E25" i="49" s="1"/>
  <c r="I31" i="32" s="1"/>
  <c r="J9" i="49"/>
  <c r="F25" i="49" s="1"/>
  <c r="J31" i="32" s="1"/>
  <c r="K9" i="49"/>
  <c r="G25" i="49" s="1"/>
  <c r="K31" i="32" s="1"/>
  <c r="L9" i="49"/>
  <c r="H25" i="49" s="1"/>
  <c r="L31" i="32" s="1"/>
  <c r="M9" i="49"/>
  <c r="I25" i="49" s="1"/>
  <c r="M31" i="32" s="1"/>
  <c r="D9" i="49"/>
  <c r="F42" i="49"/>
  <c r="G42" i="49"/>
  <c r="H42" i="49"/>
  <c r="I42" i="49"/>
  <c r="J42" i="49"/>
  <c r="K42" i="49"/>
  <c r="L42" i="49"/>
  <c r="M42" i="49"/>
  <c r="N42" i="49"/>
  <c r="O42" i="49"/>
  <c r="P42" i="49"/>
  <c r="F43" i="49"/>
  <c r="G43" i="49"/>
  <c r="H43" i="49"/>
  <c r="I43" i="49"/>
  <c r="J43" i="49"/>
  <c r="K43" i="49"/>
  <c r="L43" i="49"/>
  <c r="M43" i="49"/>
  <c r="N43" i="49"/>
  <c r="O43" i="49"/>
  <c r="P43" i="49"/>
  <c r="Z11" i="33" l="1"/>
  <c r="AA12" i="33"/>
  <c r="X13" i="33"/>
  <c r="W10" i="33"/>
  <c r="K45" i="49"/>
  <c r="F44" i="49"/>
  <c r="N12" i="49" s="1"/>
  <c r="L11" i="49"/>
  <c r="I45" i="49"/>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AB12" i="33" l="1"/>
  <c r="AA11" i="33"/>
  <c r="D24" i="55"/>
  <c r="D99" i="55" s="1"/>
  <c r="Y13" i="33"/>
  <c r="X10" i="33"/>
  <c r="D12" i="49"/>
  <c r="T11" i="49"/>
  <c r="U11" i="49" s="1"/>
  <c r="V11" i="49" s="1"/>
  <c r="W11" i="49" s="1"/>
  <c r="X11" i="49" s="1"/>
  <c r="Y11" i="49" s="1"/>
  <c r="Z11" i="49" s="1"/>
  <c r="AA11" i="49" s="1"/>
  <c r="AB11" i="49" s="1"/>
  <c r="AC11" i="49" s="1"/>
  <c r="S11" i="49"/>
  <c r="L12" i="49"/>
  <c r="F27" i="49"/>
  <c r="D27" i="49"/>
  <c r="I27" i="49"/>
  <c r="E27" i="49"/>
  <c r="G27" i="49"/>
  <c r="C17" i="49"/>
  <c r="C18" i="49" s="1"/>
  <c r="AB11" i="33" l="1"/>
  <c r="AC12" i="33"/>
  <c r="AC11" i="33" s="1"/>
  <c r="E24" i="55"/>
  <c r="D74" i="55"/>
  <c r="Z13" i="33"/>
  <c r="Y10" i="33"/>
  <c r="H26" i="49"/>
  <c r="H27" i="49" s="1"/>
  <c r="E17" i="49"/>
  <c r="E18" i="49" s="1"/>
  <c r="D17" i="49"/>
  <c r="D18" i="49" s="1"/>
  <c r="D19" i="49" s="1"/>
  <c r="F17" i="49"/>
  <c r="O31" i="32" l="1"/>
  <c r="O32" i="32" s="1"/>
  <c r="C11" i="35"/>
  <c r="F24" i="55"/>
  <c r="E99" i="55"/>
  <c r="E74" i="55"/>
  <c r="AA13" i="33"/>
  <c r="Z10" i="33"/>
  <c r="L25" i="49"/>
  <c r="D23" i="55"/>
  <c r="D98" i="55" s="1"/>
  <c r="F18" i="49"/>
  <c r="G18" i="49"/>
  <c r="F99" i="55" l="1"/>
  <c r="F74" i="55"/>
  <c r="G24" i="55"/>
  <c r="AB13" i="33"/>
  <c r="AA10" i="33"/>
  <c r="D73" i="55"/>
  <c r="E23" i="55"/>
  <c r="E98" i="55" s="1"/>
  <c r="H24" i="55" l="1"/>
  <c r="G99" i="55"/>
  <c r="G74" i="55"/>
  <c r="AC13" i="33"/>
  <c r="AC10" i="33" s="1"/>
  <c r="AB10" i="33"/>
  <c r="E73" i="55"/>
  <c r="F23" i="55"/>
  <c r="F98" i="55" s="1"/>
  <c r="I24" i="55" l="1"/>
  <c r="H99" i="55"/>
  <c r="H74" i="55"/>
  <c r="F73" i="55"/>
  <c r="G23" i="55"/>
  <c r="G98" i="55" s="1"/>
  <c r="I99" i="55" l="1"/>
  <c r="I74" i="55"/>
  <c r="J24" i="55"/>
  <c r="G73" i="55"/>
  <c r="H23" i="55"/>
  <c r="H98" i="55" s="1"/>
  <c r="K24" i="55" l="1"/>
  <c r="J99" i="55"/>
  <c r="J74" i="55"/>
  <c r="H73" i="55"/>
  <c r="I23" i="55"/>
  <c r="I98" i="55" s="1"/>
  <c r="K99" i="55" l="1"/>
  <c r="K74" i="55"/>
  <c r="L24" i="55"/>
  <c r="I73" i="55"/>
  <c r="J23" i="55"/>
  <c r="J98" i="55" s="1"/>
  <c r="L99" i="55" l="1"/>
  <c r="L74" i="55"/>
  <c r="M24" i="55"/>
  <c r="J73" i="55"/>
  <c r="K23" i="55"/>
  <c r="K98" i="55" s="1"/>
  <c r="N24" i="55" l="1"/>
  <c r="M99" i="55"/>
  <c r="M74" i="55"/>
  <c r="K73" i="55"/>
  <c r="L23" i="55"/>
  <c r="L98" i="55" s="1"/>
  <c r="N99" i="55" l="1"/>
  <c r="N74" i="55"/>
  <c r="O24" i="55"/>
  <c r="O23" i="55"/>
  <c r="L73" i="55"/>
  <c r="N23" i="55"/>
  <c r="N98" i="55" s="1"/>
  <c r="M23" i="55"/>
  <c r="M98" i="55" s="1"/>
  <c r="O99" i="55" l="1"/>
  <c r="O74" i="55"/>
  <c r="P24" i="55"/>
  <c r="O73" i="55"/>
  <c r="O98" i="55"/>
  <c r="P23" i="55"/>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R24" i="55"/>
  <c r="Q24" i="55"/>
  <c r="P73" i="55"/>
  <c r="P98" i="55"/>
  <c r="R23" i="55"/>
  <c r="Q23" i="55"/>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82" i="26"/>
  <c r="AD31" i="26"/>
  <c r="AD32" i="26"/>
  <c r="P19" i="26"/>
  <c r="R19" i="26"/>
  <c r="S19" i="26"/>
  <c r="T19" i="26"/>
  <c r="U19" i="26"/>
  <c r="V19" i="26"/>
  <c r="W19" i="26"/>
  <c r="X19" i="26"/>
  <c r="Y19" i="26"/>
  <c r="Y15" i="26"/>
  <c r="T14" i="26"/>
  <c r="T81" i="26" s="1"/>
  <c r="U81" i="26"/>
  <c r="V14" i="26"/>
  <c r="V81" i="26" s="1"/>
  <c r="W14" i="26"/>
  <c r="W81" i="26" s="1"/>
  <c r="X14" i="26"/>
  <c r="X81" i="26" s="1"/>
  <c r="Y14" i="26"/>
  <c r="Y81"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41" i="26" l="1"/>
  <c r="N13" i="21"/>
  <c r="N14" i="21" s="1"/>
  <c r="N15" i="21" s="1"/>
  <c r="F13" i="21"/>
  <c r="F14" i="21" s="1"/>
  <c r="F15" i="21" s="1"/>
  <c r="S9" i="21"/>
  <c r="V13" i="21"/>
  <c r="V14" i="21" s="1"/>
  <c r="V15" i="21" s="1"/>
  <c r="Q13" i="21"/>
  <c r="Q14" i="21" s="1"/>
  <c r="T13" i="21"/>
  <c r="T14" i="21" s="1"/>
  <c r="T15" i="21" s="1"/>
  <c r="S13" i="21"/>
  <c r="S14" i="21" s="1"/>
  <c r="P13" i="21"/>
  <c r="P14" i="21" s="1"/>
  <c r="L13" i="21"/>
  <c r="L14" i="21" s="1"/>
  <c r="V42" i="26" s="1"/>
  <c r="I13" i="21"/>
  <c r="I14" i="21" s="1"/>
  <c r="I15" i="21" s="1"/>
  <c r="U13" i="21"/>
  <c r="U14" i="21" s="1"/>
  <c r="U15" i="21" s="1"/>
  <c r="K13" i="21"/>
  <c r="K14" i="21" s="1"/>
  <c r="U42" i="26" s="1"/>
  <c r="H13" i="21"/>
  <c r="H14" i="21" s="1"/>
  <c r="H15" i="21" s="1"/>
  <c r="R13" i="21"/>
  <c r="R14" i="21" s="1"/>
  <c r="AB42" i="26" s="1"/>
  <c r="G13" i="21"/>
  <c r="G14" i="21" s="1"/>
  <c r="G15" i="21" s="1"/>
  <c r="E1" i="21"/>
  <c r="D9" i="21"/>
  <c r="D10" i="21"/>
  <c r="N43" i="26" s="1"/>
  <c r="N17" i="26" s="1"/>
  <c r="X42"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43" i="26" s="1"/>
  <c r="AC17" i="26" s="1"/>
  <c r="K10" i="21"/>
  <c r="O10" i="21"/>
  <c r="R10" i="21"/>
  <c r="AB43" i="26" s="1"/>
  <c r="AB17" i="26" s="1"/>
  <c r="J10" i="21"/>
  <c r="U9" i="21"/>
  <c r="M9" i="21"/>
  <c r="Q10" i="21"/>
  <c r="AA43" i="26" s="1"/>
  <c r="AA17" i="26" s="1"/>
  <c r="I10" i="21"/>
  <c r="T9" i="21"/>
  <c r="L9" i="21"/>
  <c r="P10" i="21"/>
  <c r="Z43" i="26" s="1"/>
  <c r="Z17" i="26" s="1"/>
  <c r="H10" i="21"/>
  <c r="R43" i="26" s="1"/>
  <c r="R17" i="26" s="1"/>
  <c r="E9" i="21"/>
  <c r="E10" i="21"/>
  <c r="D42" i="32"/>
  <c r="F42" i="32"/>
  <c r="G42" i="32"/>
  <c r="C42"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42" i="26"/>
  <c r="P15" i="21"/>
  <c r="Z42" i="26"/>
  <c r="S15" i="21"/>
  <c r="AC42" i="26"/>
  <c r="V43" i="21"/>
  <c r="H31" i="21"/>
  <c r="P31" i="21"/>
  <c r="I31" i="21"/>
  <c r="Q31" i="21"/>
  <c r="J31" i="21"/>
  <c r="R31" i="21"/>
  <c r="F31" i="21"/>
  <c r="K31" i="21"/>
  <c r="S31" i="21"/>
  <c r="L31" i="21"/>
  <c r="T31" i="21"/>
  <c r="O31" i="21"/>
  <c r="M31" i="21"/>
  <c r="U31" i="21"/>
  <c r="N31" i="21"/>
  <c r="V31" i="21"/>
  <c r="G31" i="21"/>
  <c r="AB13" i="26"/>
  <c r="AB3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4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41" i="26"/>
  <c r="N35" i="21"/>
  <c r="V35" i="21"/>
  <c r="O35" i="21"/>
  <c r="J35" i="21"/>
  <c r="P35" i="21"/>
  <c r="Q35" i="21"/>
  <c r="R35" i="21"/>
  <c r="U35" i="21"/>
  <c r="K35" i="21"/>
  <c r="S35" i="21"/>
  <c r="M35" i="21"/>
  <c r="L35" i="21"/>
  <c r="T35" i="21"/>
  <c r="T43" i="21"/>
  <c r="S44" i="21"/>
  <c r="V44" i="21"/>
  <c r="T44" i="21"/>
  <c r="U44" i="21"/>
  <c r="AC41" i="26"/>
  <c r="S43" i="21"/>
  <c r="P42" i="26"/>
  <c r="Y43" i="26"/>
  <c r="U43" i="26"/>
  <c r="U17" i="26" s="1"/>
  <c r="W43" i="26"/>
  <c r="W17" i="26" s="1"/>
  <c r="S43" i="26"/>
  <c r="S17" i="26" s="1"/>
  <c r="Q43" i="26"/>
  <c r="Q17" i="26" s="1"/>
  <c r="O43" i="26"/>
  <c r="O17" i="26" s="1"/>
  <c r="V43" i="26"/>
  <c r="V17" i="26" s="1"/>
  <c r="Q42" i="26"/>
  <c r="L15" i="21"/>
  <c r="F84" i="21"/>
  <c r="N3" i="21"/>
  <c r="J3" i="21"/>
  <c r="S42" i="26"/>
  <c r="K15" i="21"/>
  <c r="D84" i="21"/>
  <c r="K3" i="21"/>
  <c r="H3" i="21"/>
  <c r="M3" i="21"/>
  <c r="T3" i="21"/>
  <c r="O3" i="21"/>
  <c r="U3" i="21"/>
  <c r="L12" i="21"/>
  <c r="F3" i="21"/>
  <c r="R42" i="26"/>
  <c r="D83" i="21"/>
  <c r="S3" i="21"/>
  <c r="G83" i="21"/>
  <c r="Q3" i="21"/>
  <c r="M12" i="21"/>
  <c r="J12" i="21"/>
  <c r="G12" i="21"/>
  <c r="F12" i="21"/>
  <c r="U41" i="26"/>
  <c r="U13" i="26" s="1"/>
  <c r="N41" i="26"/>
  <c r="F83" i="21"/>
  <c r="C84" i="21"/>
  <c r="T12" i="21"/>
  <c r="E3" i="21"/>
  <c r="D85" i="21"/>
  <c r="M15" i="21"/>
  <c r="W42" i="26"/>
  <c r="G84" i="21"/>
  <c r="R15" i="21"/>
  <c r="R12" i="21"/>
  <c r="R3" i="21"/>
  <c r="U12" i="21"/>
  <c r="H12" i="21"/>
  <c r="D15" i="21"/>
  <c r="N42" i="26"/>
  <c r="L3" i="21"/>
  <c r="C83" i="21"/>
  <c r="E83" i="21"/>
  <c r="P3" i="21"/>
  <c r="I3" i="21"/>
  <c r="C3" i="21"/>
  <c r="V11" i="21"/>
  <c r="V12" i="21"/>
  <c r="W13" i="21"/>
  <c r="O15" i="21"/>
  <c r="F85" i="21" s="1"/>
  <c r="Y42" i="26"/>
  <c r="D3" i="21"/>
  <c r="N12" i="21"/>
  <c r="Q12" i="21"/>
  <c r="O12" i="21"/>
  <c r="J14" i="21"/>
  <c r="E15" i="21"/>
  <c r="O42" i="26"/>
  <c r="G3" i="21"/>
  <c r="C12" i="21"/>
  <c r="Y41" i="26"/>
  <c r="Y13" i="26" s="1"/>
  <c r="P41" i="26"/>
  <c r="P13" i="26" s="1"/>
  <c r="V41" i="26"/>
  <c r="V13" i="26" s="1"/>
  <c r="R41" i="26"/>
  <c r="R13" i="26" s="1"/>
  <c r="X41" i="26"/>
  <c r="X13" i="26" s="1"/>
  <c r="T41" i="26"/>
  <c r="T13" i="26" s="1"/>
  <c r="E12" i="21"/>
  <c r="O41" i="26"/>
  <c r="W41" i="26"/>
  <c r="W13" i="26" s="1"/>
  <c r="Q41" i="26"/>
  <c r="Q13" i="26" s="1"/>
  <c r="S4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43" i="26"/>
  <c r="X17" i="26" s="1"/>
  <c r="F80" i="21"/>
  <c r="P43" i="26"/>
  <c r="P17" i="26" s="1"/>
  <c r="D80" i="21"/>
  <c r="E79" i="21"/>
  <c r="F79" i="21"/>
  <c r="T43" i="26"/>
  <c r="T17" i="26" s="1"/>
  <c r="E80" i="21"/>
  <c r="C79" i="21"/>
  <c r="F10" i="5"/>
  <c r="F16" i="5" s="1"/>
  <c r="C7" i="21"/>
  <c r="C8" i="21"/>
  <c r="C5" i="21"/>
  <c r="V6" i="21"/>
  <c r="W10" i="21"/>
  <c r="W9" i="21"/>
  <c r="F4" i="21"/>
  <c r="G4" i="21"/>
  <c r="H4" i="21"/>
  <c r="I4" i="21"/>
  <c r="U5" i="21"/>
  <c r="S5" i="21"/>
  <c r="AC26" i="32" s="1"/>
  <c r="Q15" i="35" s="1"/>
  <c r="R17" i="55" s="1"/>
  <c r="R5" i="21"/>
  <c r="AB26" i="32" s="1"/>
  <c r="T5" i="21"/>
  <c r="N7" i="21"/>
  <c r="O7" i="21"/>
  <c r="P7" i="21"/>
  <c r="Q7" i="21"/>
  <c r="N5" i="21"/>
  <c r="O5" i="21"/>
  <c r="Y26" i="32" s="1"/>
  <c r="P5" i="21"/>
  <c r="Z26" i="32" s="1"/>
  <c r="Q5" i="21"/>
  <c r="AA26" i="32" s="1"/>
  <c r="O15" i="35" s="1"/>
  <c r="P17" i="55" s="1"/>
  <c r="N4" i="21"/>
  <c r="O4" i="21"/>
  <c r="P4" i="21"/>
  <c r="N16" i="35" s="1"/>
  <c r="O18" i="55" s="1"/>
  <c r="Q4" i="21"/>
  <c r="M5" i="21"/>
  <c r="W26" i="32" s="1"/>
  <c r="K5" i="21"/>
  <c r="U26" i="32" s="1"/>
  <c r="J5" i="21"/>
  <c r="L5" i="21"/>
  <c r="V26" i="32" s="1"/>
  <c r="F5" i="21"/>
  <c r="G5" i="21"/>
  <c r="Q26" i="32" s="1"/>
  <c r="H5" i="21"/>
  <c r="R26" i="32" s="1"/>
  <c r="I5" i="21"/>
  <c r="S26" i="32" s="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P16" i="35" s="1"/>
  <c r="Q18" i="55" s="1"/>
  <c r="T4" i="21"/>
  <c r="S4" i="21"/>
  <c r="U4" i="21"/>
  <c r="R7" i="21"/>
  <c r="S7" i="21"/>
  <c r="T7" i="21"/>
  <c r="U7" i="21"/>
  <c r="F6" i="21"/>
  <c r="F21" i="21" s="1"/>
  <c r="G6" i="21"/>
  <c r="G21" i="21" s="1"/>
  <c r="H6" i="21"/>
  <c r="H21" i="21" s="1"/>
  <c r="I6" i="21"/>
  <c r="I21" i="21" s="1"/>
  <c r="D5" i="21"/>
  <c r="N26" i="32" s="1"/>
  <c r="G4" i="50" s="1"/>
  <c r="E5" i="21"/>
  <c r="O26" i="32" s="1"/>
  <c r="H16" i="5"/>
  <c r="B16" i="5"/>
  <c r="C16" i="5"/>
  <c r="D21" i="21" l="1"/>
  <c r="N37" i="30" s="1"/>
  <c r="E21" i="21"/>
  <c r="O37" i="30" s="1"/>
  <c r="O43" i="30"/>
  <c r="C15" i="35"/>
  <c r="H4" i="50"/>
  <c r="M22" i="21"/>
  <c r="W38" i="30" s="1"/>
  <c r="W23" i="30" s="1"/>
  <c r="W37" i="30"/>
  <c r="P67" i="55"/>
  <c r="P92" i="55"/>
  <c r="L22" i="21"/>
  <c r="V38" i="30" s="1"/>
  <c r="V23" i="30" s="1"/>
  <c r="V37" i="30"/>
  <c r="R67" i="55"/>
  <c r="R92" i="55"/>
  <c r="K22" i="21"/>
  <c r="U38" i="30" s="1"/>
  <c r="U23" i="30" s="1"/>
  <c r="U37" i="30"/>
  <c r="H22" i="21"/>
  <c r="R38" i="30" s="1"/>
  <c r="R37" i="30"/>
  <c r="O68" i="55"/>
  <c r="O93" i="55"/>
  <c r="I22" i="21"/>
  <c r="S38" i="30" s="1"/>
  <c r="S37" i="30"/>
  <c r="Q38" i="30"/>
  <c r="Q37" i="30"/>
  <c r="Q93" i="55"/>
  <c r="Q68" i="55"/>
  <c r="P37" i="30"/>
  <c r="F22" i="21"/>
  <c r="P38" i="30" s="1"/>
  <c r="J22" i="21"/>
  <c r="T38" i="30" s="1"/>
  <c r="T23"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8" i="26" s="1"/>
  <c r="M48" i="21"/>
  <c r="U48" i="21"/>
  <c r="F48" i="21"/>
  <c r="F47" i="21" s="1"/>
  <c r="P88" i="26" s="1"/>
  <c r="N48" i="21"/>
  <c r="V48" i="21"/>
  <c r="G48" i="21"/>
  <c r="G47" i="21" s="1"/>
  <c r="Q88" i="26" s="1"/>
  <c r="O48" i="21"/>
  <c r="D48" i="21"/>
  <c r="D47" i="21" s="1"/>
  <c r="N88" i="26" s="1"/>
  <c r="H48" i="21"/>
  <c r="P48" i="21"/>
  <c r="I48" i="21"/>
  <c r="Q48" i="21"/>
  <c r="J48" i="21"/>
  <c r="R48" i="21"/>
  <c r="AC25" i="32"/>
  <c r="AC20" i="32" s="1"/>
  <c r="Q16" i="35"/>
  <c r="R18" i="55" s="1"/>
  <c r="AA25" i="32"/>
  <c r="AA20" i="32" s="1"/>
  <c r="O16" i="35"/>
  <c r="P18" i="55" s="1"/>
  <c r="AA13" i="26"/>
  <c r="AA39" i="26"/>
  <c r="Z13" i="26"/>
  <c r="Z39" i="26"/>
  <c r="AC13" i="26"/>
  <c r="AC39" i="26"/>
  <c r="Z25" i="32"/>
  <c r="Z20" i="32" s="1"/>
  <c r="N15" i="35"/>
  <c r="O17" i="55" s="1"/>
  <c r="AB25" i="32"/>
  <c r="AB20" i="32" s="1"/>
  <c r="P15" i="35"/>
  <c r="Q17" i="55" s="1"/>
  <c r="Y83" i="26"/>
  <c r="Y17" i="26"/>
  <c r="AD17" i="26" s="1"/>
  <c r="H28" i="21"/>
  <c r="R86" i="26" s="1"/>
  <c r="F28" i="21"/>
  <c r="P86" i="26" s="1"/>
  <c r="G28" i="21"/>
  <c r="Q86" i="26" s="1"/>
  <c r="F87" i="21"/>
  <c r="D87" i="21"/>
  <c r="E4" i="21"/>
  <c r="D4" i="21"/>
  <c r="E82" i="21"/>
  <c r="G82" i="21"/>
  <c r="C85" i="21"/>
  <c r="C87" i="21" s="1"/>
  <c r="W3" i="21"/>
  <c r="D82" i="21"/>
  <c r="J15" i="21"/>
  <c r="E85" i="21" s="1"/>
  <c r="T42" i="26"/>
  <c r="AD42" i="26" s="1"/>
  <c r="E84" i="21"/>
  <c r="C4" i="21"/>
  <c r="W14" i="21"/>
  <c r="X43" i="30"/>
  <c r="W43" i="30"/>
  <c r="F82" i="21"/>
  <c r="C81" i="21"/>
  <c r="AD41" i="26"/>
  <c r="C82" i="21"/>
  <c r="W12" i="21"/>
  <c r="AD43" i="26"/>
  <c r="D81" i="21"/>
  <c r="V5" i="21"/>
  <c r="G81" i="21"/>
  <c r="H8" i="21"/>
  <c r="E81" i="21"/>
  <c r="F81" i="21"/>
  <c r="W11" i="21"/>
  <c r="G76" i="21"/>
  <c r="F76" i="21"/>
  <c r="G75" i="21"/>
  <c r="F74" i="21"/>
  <c r="F77" i="21"/>
  <c r="D74" i="21"/>
  <c r="M26" i="32"/>
  <c r="F4" i="50" s="1"/>
  <c r="C75" i="21"/>
  <c r="G77" i="21"/>
  <c r="E77" i="21"/>
  <c r="T26" i="32"/>
  <c r="E75" i="21"/>
  <c r="C78" i="21"/>
  <c r="D77" i="21"/>
  <c r="X26" i="32"/>
  <c r="F75" i="21"/>
  <c r="D76" i="21"/>
  <c r="G74" i="21"/>
  <c r="E74" i="21"/>
  <c r="C76" i="21"/>
  <c r="C77" i="21"/>
  <c r="E76" i="21"/>
  <c r="P26" i="32"/>
  <c r="D75" i="21"/>
  <c r="W5" i="21"/>
  <c r="W7" i="21"/>
  <c r="W6" i="21"/>
  <c r="O24" i="30" l="1"/>
  <c r="C7" i="35"/>
  <c r="D9" i="55" s="1"/>
  <c r="D84" i="55" s="1"/>
  <c r="Z24" i="30"/>
  <c r="Z15" i="30" s="1"/>
  <c r="Q24" i="30"/>
  <c r="R24" i="30"/>
  <c r="R93" i="55"/>
  <c r="R68" i="55"/>
  <c r="Q25" i="21"/>
  <c r="AA41" i="30" s="1"/>
  <c r="AA39" i="30"/>
  <c r="AA24" i="30" s="1"/>
  <c r="AA15" i="30" s="1"/>
  <c r="V24" i="30"/>
  <c r="V13" i="30" s="1"/>
  <c r="Q92" i="55"/>
  <c r="Q67" i="55"/>
  <c r="T24" i="30"/>
  <c r="T13" i="30" s="1"/>
  <c r="X24" i="30"/>
  <c r="U24" i="30"/>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8" i="26" s="1"/>
  <c r="H52" i="21"/>
  <c r="H47" i="21" s="1"/>
  <c r="R88" i="26" s="1"/>
  <c r="P52" i="21"/>
  <c r="I52" i="21"/>
  <c r="I47" i="21" s="1"/>
  <c r="S88" i="26" s="1"/>
  <c r="Q52" i="21"/>
  <c r="Q47" i="21" s="1"/>
  <c r="AA88" i="26" s="1"/>
  <c r="J52" i="21"/>
  <c r="J47" i="21" s="1"/>
  <c r="T88" i="26" s="1"/>
  <c r="R52" i="21"/>
  <c r="R47" i="21" s="1"/>
  <c r="AB88" i="26" s="1"/>
  <c r="K52" i="21"/>
  <c r="K47" i="21" s="1"/>
  <c r="S52" i="21"/>
  <c r="S47" i="21" s="1"/>
  <c r="AC88" i="26" s="1"/>
  <c r="L52" i="21"/>
  <c r="L47" i="21" s="1"/>
  <c r="V88" i="26" s="1"/>
  <c r="T52" i="21"/>
  <c r="T47" i="21" s="1"/>
  <c r="M52" i="21"/>
  <c r="M47" i="21" s="1"/>
  <c r="W88" i="26" s="1"/>
  <c r="U52" i="21"/>
  <c r="U47" i="21" s="1"/>
  <c r="N52" i="21"/>
  <c r="N47" i="21" s="1"/>
  <c r="X88" i="26" s="1"/>
  <c r="V52" i="21"/>
  <c r="V47" i="21" s="1"/>
  <c r="AB15" i="30"/>
  <c r="N44" i="30"/>
  <c r="L7" i="35"/>
  <c r="M9" i="55" s="1"/>
  <c r="M84" i="55" s="1"/>
  <c r="E59" i="55"/>
  <c r="D59" i="55"/>
  <c r="F59" i="55"/>
  <c r="I59" i="55"/>
  <c r="N59" i="55"/>
  <c r="P47" i="21"/>
  <c r="Z88" i="26" s="1"/>
  <c r="O28" i="21"/>
  <c r="Y86" i="26" s="1"/>
  <c r="V28" i="21"/>
  <c r="N28" i="21"/>
  <c r="X86" i="26" s="1"/>
  <c r="U28" i="21"/>
  <c r="M28" i="21"/>
  <c r="W86" i="26" s="1"/>
  <c r="T28" i="21"/>
  <c r="L28" i="21"/>
  <c r="V86" i="26" s="1"/>
  <c r="S28" i="21"/>
  <c r="AC86" i="26" s="1"/>
  <c r="K28" i="21"/>
  <c r="U86" i="26" s="1"/>
  <c r="P28" i="21"/>
  <c r="Z86" i="26" s="1"/>
  <c r="R28" i="21"/>
  <c r="AB86" i="26" s="1"/>
  <c r="J28" i="21"/>
  <c r="T86" i="26" s="1"/>
  <c r="Q28" i="21"/>
  <c r="AA86" i="26" s="1"/>
  <c r="I28" i="21"/>
  <c r="S86" i="26" s="1"/>
  <c r="C74" i="21"/>
  <c r="E87" i="21"/>
  <c r="K7" i="35"/>
  <c r="L9" i="55" s="1"/>
  <c r="L84" i="55" s="1"/>
  <c r="W8" i="21"/>
  <c r="W4" i="21"/>
  <c r="F5" i="50"/>
  <c r="W15" i="21"/>
  <c r="U13" i="30"/>
  <c r="U15" i="30"/>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T15" i="30" l="1"/>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8" i="26"/>
  <c r="W47" i="21"/>
  <c r="M59" i="55"/>
  <c r="X15" i="30"/>
  <c r="X13" i="30"/>
  <c r="L59" i="55"/>
  <c r="N18" i="32"/>
  <c r="N27" i="32" s="1"/>
  <c r="G5" i="50"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P27" i="32" s="1"/>
  <c r="Q15" i="40"/>
  <c r="O18" i="32"/>
  <c r="O27" i="32" s="1"/>
  <c r="N8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C16" i="35" l="1"/>
  <c r="H5" i="50"/>
  <c r="O25" i="32"/>
  <c r="O20" i="32" s="1"/>
  <c r="Q28" i="38"/>
  <c r="R15" i="40"/>
  <c r="Q11" i="40"/>
  <c r="Q18" i="32" s="1"/>
  <c r="Q27" i="32" s="1"/>
  <c r="P17" i="40"/>
  <c r="O81"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7" i="32" s="1"/>
  <c r="S15" i="40"/>
  <c r="S11" i="40" s="1"/>
  <c r="T42" i="38"/>
  <c r="P41" i="38"/>
  <c r="R41" i="38" s="1"/>
  <c r="S16" i="38"/>
  <c r="L16" i="38" s="1"/>
  <c r="N16" i="38" s="1"/>
  <c r="S33" i="38"/>
  <c r="O33" i="38" s="1"/>
  <c r="Q33" i="38" s="1"/>
  <c r="P81" i="26" l="1"/>
  <c r="R16" i="40"/>
  <c r="Q12" i="40"/>
  <c r="Q14" i="26" s="1"/>
  <c r="Q81" i="26" s="1"/>
  <c r="R17" i="40"/>
  <c r="Q19" i="30"/>
  <c r="T43" i="38"/>
  <c r="P42" i="38"/>
  <c r="S17" i="38"/>
  <c r="L17" i="38" s="1"/>
  <c r="N17" i="38" s="1"/>
  <c r="S34" i="38"/>
  <c r="O34" i="38" s="1"/>
  <c r="Q13" i="30" l="1"/>
  <c r="Q15" i="30"/>
  <c r="S17" i="40"/>
  <c r="S13" i="40" s="1"/>
  <c r="S19" i="30" s="1"/>
  <c r="R13" i="40"/>
  <c r="R19" i="30" s="1"/>
  <c r="R12" i="40"/>
  <c r="R14" i="26" s="1"/>
  <c r="S16" i="40"/>
  <c r="S12" i="40" s="1"/>
  <c r="S14" i="26" s="1"/>
  <c r="S81" i="26" s="1"/>
  <c r="Q34" i="38"/>
  <c r="R42" i="38"/>
  <c r="T44" i="38"/>
  <c r="P43" i="38"/>
  <c r="R43" i="38" s="1"/>
  <c r="S18" i="38"/>
  <c r="S35" i="38"/>
  <c r="O35" i="38" s="1"/>
  <c r="Q35" i="38" s="1"/>
  <c r="R81"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5" i="32"/>
  <c r="P20" i="32" s="1"/>
  <c r="U25" i="32"/>
  <c r="U20" i="32" s="1"/>
  <c r="I16" i="35"/>
  <c r="J18" i="55" s="1"/>
  <c r="J93" i="55" s="1"/>
  <c r="V25" i="32"/>
  <c r="V20" i="32" s="1"/>
  <c r="N25" i="32"/>
  <c r="N20" i="32" s="1"/>
  <c r="J15" i="35"/>
  <c r="K17" i="55" s="1"/>
  <c r="K92" i="55" s="1"/>
  <c r="D15" i="35"/>
  <c r="E17" i="55" s="1"/>
  <c r="E92" i="55" s="1"/>
  <c r="X25" i="32"/>
  <c r="X20" i="32" s="1"/>
  <c r="M25" i="32"/>
  <c r="R25" i="32"/>
  <c r="R20" i="32" s="1"/>
  <c r="W25" i="32"/>
  <c r="W20" i="32" s="1"/>
  <c r="T25" i="32"/>
  <c r="T20" i="32" s="1"/>
  <c r="S25" i="32"/>
  <c r="S20" i="32" s="1"/>
  <c r="Y25" i="32"/>
  <c r="Y20" i="32" s="1"/>
  <c r="Q25" i="32"/>
  <c r="Q20" i="32" s="1"/>
  <c r="E67" i="55" l="1"/>
  <c r="K67" i="55"/>
  <c r="J68" i="55"/>
  <c r="P14" i="30"/>
  <c r="P55" i="38"/>
  <c r="D12" i="32"/>
  <c r="E12" i="32"/>
  <c r="F12" i="32"/>
  <c r="G12" i="32"/>
  <c r="D30" i="32"/>
  <c r="E30" i="32"/>
  <c r="F30" i="32"/>
  <c r="G30" i="32"/>
  <c r="G57" i="32" l="1"/>
  <c r="F57" i="32"/>
  <c r="E57" i="32"/>
  <c r="D57" i="32"/>
  <c r="I15" i="32"/>
  <c r="H15" i="32"/>
  <c r="I12" i="32"/>
  <c r="J12" i="32"/>
  <c r="K12" i="32"/>
  <c r="L12" i="32"/>
  <c r="M12" i="32"/>
  <c r="H12" i="32"/>
  <c r="I30" i="32"/>
  <c r="J30" i="32"/>
  <c r="K30" i="32"/>
  <c r="L30" i="32"/>
  <c r="M30" i="32"/>
  <c r="H30" i="32"/>
  <c r="J57" i="32" l="1"/>
  <c r="M57" i="32"/>
  <c r="L57" i="32"/>
  <c r="K57" i="32"/>
  <c r="I57" i="32"/>
  <c r="H57"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6" i="32" l="1"/>
  <c r="D59" i="32"/>
  <c r="G56" i="32"/>
  <c r="G58" i="32" s="1"/>
  <c r="G59" i="32"/>
  <c r="F56" i="32"/>
  <c r="F58" i="32" s="1"/>
  <c r="F59" i="32"/>
  <c r="E56" i="32"/>
  <c r="E58" i="32" s="1"/>
  <c r="E59" i="32"/>
  <c r="D22" i="33"/>
  <c r="C22" i="33"/>
  <c r="D58" i="32"/>
  <c r="E61" i="32" l="1"/>
  <c r="E21" i="32" s="1"/>
  <c r="E22" i="32" s="1"/>
  <c r="E24" i="32" s="1"/>
  <c r="D61" i="32"/>
  <c r="D21" i="32" s="1"/>
  <c r="D22" i="32" s="1"/>
  <c r="D24" i="32" s="1"/>
  <c r="G61" i="32"/>
  <c r="G21" i="32" s="1"/>
  <c r="G22" i="32" s="1"/>
  <c r="G24" i="32" s="1"/>
  <c r="F61" i="32"/>
  <c r="F21" i="32" s="1"/>
  <c r="F22" i="32" s="1"/>
  <c r="F24"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2" i="32"/>
  <c r="E32" i="32"/>
  <c r="F32" i="32"/>
  <c r="G32" i="32"/>
  <c r="I32" i="32"/>
  <c r="Y14" i="32" l="1"/>
  <c r="M64" i="55"/>
  <c r="F33" i="32"/>
  <c r="G33" i="32"/>
  <c r="E33" i="32"/>
  <c r="H32" i="32"/>
  <c r="H33" i="32" s="1"/>
  <c r="M12" i="35" l="1"/>
  <c r="N14" i="55" s="1"/>
  <c r="N89" i="55" s="1"/>
  <c r="I33"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9" i="26"/>
  <c r="C58" i="26"/>
  <c r="K29" i="26"/>
  <c r="M29" i="26"/>
  <c r="N29" i="26"/>
  <c r="O29" i="26"/>
  <c r="P29" i="26"/>
  <c r="Y33" i="26"/>
  <c r="C50" i="26"/>
  <c r="J30" i="26" s="1"/>
  <c r="AD30" i="26" s="1"/>
  <c r="F6" i="27"/>
  <c r="C65" i="26" s="1"/>
  <c r="P36" i="26" s="1"/>
  <c r="F9" i="27"/>
  <c r="C66" i="26" s="1"/>
  <c r="N37" i="26" s="1"/>
  <c r="F8" i="27"/>
  <c r="C67" i="26" s="1"/>
  <c r="R38" i="26" s="1"/>
  <c r="F17" i="27"/>
  <c r="F16" i="27"/>
  <c r="F11" i="27"/>
  <c r="F12" i="27"/>
  <c r="F14" i="27"/>
  <c r="F15" i="27"/>
  <c r="I9" i="26"/>
  <c r="J9" i="26"/>
  <c r="K9" i="26"/>
  <c r="L9" i="26"/>
  <c r="M9" i="26"/>
  <c r="H9" i="26"/>
  <c r="F7" i="27"/>
  <c r="F5" i="27"/>
  <c r="C64" i="26" s="1"/>
  <c r="R89" i="55" l="1"/>
  <c r="R64" i="55"/>
  <c r="Q64" i="55"/>
  <c r="Q89" i="55"/>
  <c r="O83" i="55"/>
  <c r="O58" i="55"/>
  <c r="P44" i="30"/>
  <c r="D6" i="35" s="1"/>
  <c r="E8" i="55" s="1"/>
  <c r="R83" i="55"/>
  <c r="R58" i="55"/>
  <c r="Q58" i="55"/>
  <c r="Q83" i="55"/>
  <c r="P83" i="55"/>
  <c r="P58" i="55"/>
  <c r="M35" i="26"/>
  <c r="N35"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J29" i="26"/>
  <c r="AD29" i="26" s="1"/>
  <c r="AE12" i="26"/>
  <c r="X39" i="26"/>
  <c r="U38" i="26"/>
  <c r="T38" i="26"/>
  <c r="M37" i="26"/>
  <c r="X37" i="26"/>
  <c r="V36" i="26"/>
  <c r="W37" i="26"/>
  <c r="T39" i="26"/>
  <c r="U36" i="26"/>
  <c r="P37" i="26"/>
  <c r="S39" i="26"/>
  <c r="T36" i="26"/>
  <c r="O37" i="26"/>
  <c r="V38" i="26"/>
  <c r="Y39" i="26"/>
  <c r="S36" i="26"/>
  <c r="S38" i="26"/>
  <c r="U37" i="26"/>
  <c r="R39" i="26"/>
  <c r="R36" i="26"/>
  <c r="Q38" i="26"/>
  <c r="T37" i="26"/>
  <c r="W39" i="26"/>
  <c r="O39" i="26"/>
  <c r="M36" i="26"/>
  <c r="M38" i="26"/>
  <c r="P38" i="26"/>
  <c r="S37" i="26"/>
  <c r="V39" i="26"/>
  <c r="N36" i="26"/>
  <c r="X38" i="26"/>
  <c r="O38" i="26"/>
  <c r="R37" i="26"/>
  <c r="R16" i="26" s="1"/>
  <c r="U39" i="26"/>
  <c r="W36" i="26"/>
  <c r="W38" i="26"/>
  <c r="N38" i="26"/>
  <c r="N16" i="26" s="1"/>
  <c r="Q37" i="26"/>
  <c r="P39" i="26"/>
  <c r="O36" i="26"/>
  <c r="Q36" i="26"/>
  <c r="X36" i="26"/>
  <c r="V37" i="26"/>
  <c r="C63" i="26"/>
  <c r="C53" i="26" s="1"/>
  <c r="M34" i="26" s="1"/>
  <c r="I11" i="26"/>
  <c r="I20" i="26" s="1"/>
  <c r="I84" i="26" s="1"/>
  <c r="J11" i="26"/>
  <c r="L11" i="26"/>
  <c r="K11" i="26"/>
  <c r="M11" i="26"/>
  <c r="H11" i="26"/>
  <c r="N27" i="30" l="1"/>
  <c r="E83" i="55"/>
  <c r="E58" i="55"/>
  <c r="AD35" i="26"/>
  <c r="I83" i="55"/>
  <c r="I58" i="55"/>
  <c r="H83" i="55"/>
  <c r="H58" i="55"/>
  <c r="J83" i="55"/>
  <c r="J58" i="55"/>
  <c r="G83" i="55"/>
  <c r="G58" i="55"/>
  <c r="F83" i="55"/>
  <c r="F58" i="55"/>
  <c r="M16" i="26"/>
  <c r="O16" i="26"/>
  <c r="O83" i="26" s="1"/>
  <c r="X16" i="26"/>
  <c r="X83" i="26" s="1"/>
  <c r="S16" i="26"/>
  <c r="S83" i="26" s="1"/>
  <c r="P16" i="26"/>
  <c r="P83" i="26" s="1"/>
  <c r="Q16" i="26"/>
  <c r="Q83" i="26" s="1"/>
  <c r="V16" i="26"/>
  <c r="V83" i="26" s="1"/>
  <c r="W16" i="26"/>
  <c r="W83" i="26" s="1"/>
  <c r="AE13" i="26"/>
  <c r="T16" i="26"/>
  <c r="T83" i="26" s="1"/>
  <c r="U16" i="26"/>
  <c r="U83" i="26" s="1"/>
  <c r="O27" i="30"/>
  <c r="M82" i="26"/>
  <c r="AD37" i="26"/>
  <c r="AD38" i="26"/>
  <c r="AD36" i="26"/>
  <c r="AE14" i="26" s="1"/>
  <c r="N83" i="26"/>
  <c r="M15" i="26"/>
  <c r="R83" i="26"/>
  <c r="H20" i="26"/>
  <c r="H84" i="26" s="1"/>
  <c r="M33" i="26"/>
  <c r="N34" i="26"/>
  <c r="N82" i="26" s="1"/>
  <c r="C62" i="26"/>
  <c r="AD16" i="26" l="1"/>
  <c r="D22" i="55"/>
  <c r="D97" i="55" s="1"/>
  <c r="E22" i="55"/>
  <c r="E97" i="55" s="1"/>
  <c r="O15" i="30"/>
  <c r="AE16" i="26"/>
  <c r="M83" i="26"/>
  <c r="N15" i="26"/>
  <c r="N20" i="26" s="1"/>
  <c r="O34" i="26"/>
  <c r="O82" i="26" s="1"/>
  <c r="N33" i="26"/>
  <c r="D72" i="55" l="1"/>
  <c r="E72" i="55"/>
  <c r="F22" i="55"/>
  <c r="F97" i="55" s="1"/>
  <c r="O15" i="26"/>
  <c r="O20" i="26" s="1"/>
  <c r="O84" i="26" s="1"/>
  <c r="P34" i="26"/>
  <c r="P82" i="26" s="1"/>
  <c r="O33" i="26"/>
  <c r="F72" i="55" l="1"/>
  <c r="G22" i="55"/>
  <c r="G97" i="55" s="1"/>
  <c r="P15" i="26"/>
  <c r="Q34" i="26"/>
  <c r="Q82" i="26" s="1"/>
  <c r="P33" i="26"/>
  <c r="G72" i="55" l="1"/>
  <c r="H22" i="55"/>
  <c r="H97" i="55" s="1"/>
  <c r="Q15" i="26"/>
  <c r="R34" i="26"/>
  <c r="R82" i="26" s="1"/>
  <c r="Q33" i="26"/>
  <c r="H72" i="55" l="1"/>
  <c r="I22" i="55"/>
  <c r="I97" i="55" s="1"/>
  <c r="R15" i="26"/>
  <c r="S34" i="26"/>
  <c r="S82" i="26" s="1"/>
  <c r="R33" i="26"/>
  <c r="I72" i="55" l="1"/>
  <c r="J22" i="55"/>
  <c r="J97" i="55" s="1"/>
  <c r="S15" i="26"/>
  <c r="T34" i="26"/>
  <c r="T82" i="26" s="1"/>
  <c r="S33" i="26"/>
  <c r="J72" i="55" l="1"/>
  <c r="K22" i="55"/>
  <c r="K97" i="55" s="1"/>
  <c r="T15" i="26"/>
  <c r="U34" i="26"/>
  <c r="U82" i="26" s="1"/>
  <c r="T33" i="26"/>
  <c r="K72" i="55" l="1"/>
  <c r="L22" i="55"/>
  <c r="L97" i="55" s="1"/>
  <c r="U15" i="26"/>
  <c r="V34" i="26"/>
  <c r="V82" i="26" s="1"/>
  <c r="U33" i="26"/>
  <c r="N22" i="55" l="1"/>
  <c r="N97" i="55" s="1"/>
  <c r="L72" i="55"/>
  <c r="M22" i="55"/>
  <c r="M97" i="55" s="1"/>
  <c r="V15" i="26"/>
  <c r="W34" i="26"/>
  <c r="W82" i="26" s="1"/>
  <c r="V33" i="26"/>
  <c r="O22" i="55" l="1"/>
  <c r="M72" i="55"/>
  <c r="N72" i="55"/>
  <c r="W15" i="26"/>
  <c r="X34" i="26"/>
  <c r="W33" i="26"/>
  <c r="O97" i="55" l="1"/>
  <c r="O72" i="55"/>
  <c r="P22" i="55"/>
  <c r="X82" i="26"/>
  <c r="AD34" i="26"/>
  <c r="AE15" i="26" s="1"/>
  <c r="X15" i="26"/>
  <c r="AD15" i="26" s="1"/>
  <c r="X33" i="26"/>
  <c r="AD33" i="26" s="1"/>
  <c r="P97" i="55" l="1"/>
  <c r="P72" i="55"/>
  <c r="Q22" i="55"/>
  <c r="R22" i="55"/>
  <c r="D53" i="26"/>
  <c r="R72" i="55" l="1"/>
  <c r="R97" i="55"/>
  <c r="Q97" i="55"/>
  <c r="Q72" i="55"/>
  <c r="E53" i="26"/>
  <c r="B3" i="27" l="1"/>
  <c r="N13" i="25" l="1"/>
  <c r="N20" i="25" s="1"/>
  <c r="J14" i="26"/>
  <c r="K14" i="26"/>
  <c r="K81" i="26" s="1"/>
  <c r="L14" i="26"/>
  <c r="L81" i="26" s="1"/>
  <c r="M14" i="26"/>
  <c r="M81" i="26" s="1"/>
  <c r="J13" i="26"/>
  <c r="J86" i="26" s="1"/>
  <c r="K13" i="26"/>
  <c r="K86" i="26" s="1"/>
  <c r="L13" i="26"/>
  <c r="L86" i="26" s="1"/>
  <c r="M13" i="26"/>
  <c r="M86" i="26" s="1"/>
  <c r="AD14" i="26" l="1"/>
  <c r="AD12" i="26"/>
  <c r="J81" i="26"/>
  <c r="AD13" i="26"/>
  <c r="L20" i="26"/>
  <c r="L84" i="26" s="1"/>
  <c r="K20" i="26"/>
  <c r="K84" i="26" s="1"/>
  <c r="M20" i="26"/>
  <c r="M84" i="26" s="1"/>
  <c r="J20" i="26"/>
  <c r="J84" i="26" s="1"/>
  <c r="D51" i="26"/>
  <c r="D50" i="26"/>
  <c r="D52" i="26"/>
  <c r="M79" i="26" l="1"/>
  <c r="J79" i="26"/>
  <c r="I79" i="26"/>
  <c r="I50" i="20" s="1"/>
  <c r="H79" i="26"/>
  <c r="H50" i="20" s="1"/>
  <c r="K79" i="26"/>
  <c r="L79" i="26"/>
  <c r="E50" i="26"/>
  <c r="D49" i="26"/>
  <c r="I28" i="20"/>
  <c r="J28" i="20"/>
  <c r="K28" i="20"/>
  <c r="L28" i="20"/>
  <c r="M28" i="20"/>
  <c r="H28" i="20"/>
  <c r="I49" i="20"/>
  <c r="J49" i="20"/>
  <c r="K49" i="20"/>
  <c r="L49" i="20"/>
  <c r="H49" i="20"/>
  <c r="J50" i="20" l="1"/>
  <c r="J51" i="20" s="1"/>
  <c r="AQ65" i="20" s="1"/>
  <c r="C2" i="50"/>
  <c r="L50" i="20"/>
  <c r="L51" i="20" s="1"/>
  <c r="AS65" i="20" s="1"/>
  <c r="E2" i="50"/>
  <c r="M50" i="20"/>
  <c r="F2" i="50"/>
  <c r="K50" i="20"/>
  <c r="K51" i="20" s="1"/>
  <c r="AR65" i="20" s="1"/>
  <c r="D2" i="50"/>
  <c r="O49" i="20"/>
  <c r="H51" i="20"/>
  <c r="AO65" i="20" s="1"/>
  <c r="I51" i="20"/>
  <c r="AP65" i="20" s="1"/>
  <c r="H30" i="20"/>
  <c r="M30" i="20"/>
  <c r="L30" i="20"/>
  <c r="K30" i="20"/>
  <c r="J30" i="20"/>
  <c r="I30" i="20"/>
  <c r="M49" i="20"/>
  <c r="N49" i="20"/>
  <c r="C5" i="35"/>
  <c r="M51" i="20" l="1"/>
  <c r="AO64" i="20"/>
  <c r="AS64" i="20"/>
  <c r="AQ64" i="20"/>
  <c r="AP64" i="20"/>
  <c r="AR64" i="20"/>
  <c r="P30" i="20"/>
  <c r="D7" i="55"/>
  <c r="D82" i="55" s="1"/>
  <c r="D5" i="55"/>
  <c r="D80" i="55" s="1"/>
  <c r="K31" i="20"/>
  <c r="L31" i="20"/>
  <c r="L32" i="20" s="1"/>
  <c r="I31" i="20"/>
  <c r="AR63" i="20"/>
  <c r="AP63" i="20"/>
  <c r="AS63" i="20"/>
  <c r="J31" i="20"/>
  <c r="H31" i="20"/>
  <c r="H32" i="20" s="1"/>
  <c r="AO63" i="20"/>
  <c r="AQ63" i="20"/>
  <c r="I14" i="20"/>
  <c r="I15" i="20" s="1"/>
  <c r="J14" i="20"/>
  <c r="J15" i="20" s="1"/>
  <c r="K14" i="20"/>
  <c r="K15" i="20" s="1"/>
  <c r="L14" i="20"/>
  <c r="L15" i="20" s="1"/>
  <c r="H14" i="20"/>
  <c r="H15" i="20" s="1"/>
  <c r="J32" i="20" l="1"/>
  <c r="C19" i="6" s="1"/>
  <c r="I32" i="20"/>
  <c r="K32" i="20"/>
  <c r="D57" i="55"/>
  <c r="D55" i="55"/>
  <c r="M31" i="20"/>
  <c r="M32" i="20" s="1"/>
  <c r="AT65" i="20"/>
  <c r="AT63" i="20"/>
  <c r="AT64" i="20"/>
  <c r="M14" i="20"/>
  <c r="M15" i="20" s="1"/>
  <c r="Q30" i="20"/>
  <c r="D5" i="35"/>
  <c r="E7" i="55" s="1"/>
  <c r="E82" i="55" s="1"/>
  <c r="D3" i="35"/>
  <c r="E5" i="55" s="1"/>
  <c r="E80" i="55" s="1"/>
  <c r="P49" i="20"/>
  <c r="I20" i="25"/>
  <c r="H13" i="32"/>
  <c r="M13" i="25"/>
  <c r="M20" i="25" s="1"/>
  <c r="L13" i="25"/>
  <c r="L20" i="25" s="1"/>
  <c r="K13" i="25"/>
  <c r="K20" i="25" s="1"/>
  <c r="J13" i="25"/>
  <c r="J20" i="25" s="1"/>
  <c r="I13" i="25"/>
  <c r="H13" i="25"/>
  <c r="O13" i="25"/>
  <c r="O20" i="25" s="1"/>
  <c r="O19" i="25" s="1"/>
  <c r="H56" i="32" l="1"/>
  <c r="H59" i="32"/>
  <c r="C9" i="35"/>
  <c r="B19" i="6"/>
  <c r="E57" i="55"/>
  <c r="E55" i="55"/>
  <c r="H58" i="32"/>
  <c r="R30" i="20"/>
  <c r="E5" i="35"/>
  <c r="F7" i="55" s="1"/>
  <c r="F82" i="55" s="1"/>
  <c r="E3" i="35"/>
  <c r="F5" i="55" s="1"/>
  <c r="F80" i="55" s="1"/>
  <c r="Q49" i="20"/>
  <c r="J19" i="25"/>
  <c r="J13" i="32" s="1"/>
  <c r="J56" i="32" s="1"/>
  <c r="K19" i="25"/>
  <c r="K13" i="32" s="1"/>
  <c r="K56" i="32" s="1"/>
  <c r="L19" i="25"/>
  <c r="L13" i="32" s="1"/>
  <c r="L56" i="32" s="1"/>
  <c r="I19" i="25"/>
  <c r="I13" i="32" s="1"/>
  <c r="P14" i="25"/>
  <c r="P13" i="25" s="1"/>
  <c r="M19" i="25"/>
  <c r="M13" i="32" s="1"/>
  <c r="M56" i="32" s="1"/>
  <c r="I56" i="32" l="1"/>
  <c r="I58" i="32" s="1"/>
  <c r="I59" i="32"/>
  <c r="L58" i="32"/>
  <c r="J58" i="32"/>
  <c r="K58" i="32"/>
  <c r="M58" i="32"/>
  <c r="F57" i="55"/>
  <c r="F55" i="55"/>
  <c r="H61" i="32"/>
  <c r="H21" i="32" s="1"/>
  <c r="H22" i="32" s="1"/>
  <c r="H24" i="32" s="1"/>
  <c r="S30" i="20"/>
  <c r="F5" i="35"/>
  <c r="G7" i="55" s="1"/>
  <c r="G82" i="55" s="1"/>
  <c r="F3" i="35"/>
  <c r="G5" i="55" s="1"/>
  <c r="G80" i="55" s="1"/>
  <c r="R49" i="20"/>
  <c r="D6" i="55"/>
  <c r="D81" i="55" s="1"/>
  <c r="D11" i="55"/>
  <c r="D86" i="55" s="1"/>
  <c r="Q12" i="25"/>
  <c r="Q14" i="25" s="1"/>
  <c r="Q13" i="25" s="1"/>
  <c r="J59" i="32" l="1"/>
  <c r="K59" i="32" s="1"/>
  <c r="D61" i="55"/>
  <c r="D56" i="55"/>
  <c r="G57" i="55"/>
  <c r="G55" i="55"/>
  <c r="N19" i="25"/>
  <c r="I61" i="32"/>
  <c r="I21" i="32" s="1"/>
  <c r="I22" i="32" s="1"/>
  <c r="I24" i="32" s="1"/>
  <c r="T30" i="20"/>
  <c r="G5" i="35"/>
  <c r="H7" i="55" s="1"/>
  <c r="H82" i="55" s="1"/>
  <c r="G3" i="35"/>
  <c r="H5" i="55" s="1"/>
  <c r="H80" i="55" s="1"/>
  <c r="S49" i="20"/>
  <c r="D4" i="35"/>
  <c r="E6" i="55" s="1"/>
  <c r="E81" i="55" s="1"/>
  <c r="P20" i="25"/>
  <c r="Q20" i="25" s="1"/>
  <c r="R12" i="25"/>
  <c r="R14" i="25" s="1"/>
  <c r="R13" i="25" s="1"/>
  <c r="J61" i="32" l="1"/>
  <c r="J21" i="32" s="1"/>
  <c r="J22" i="32" s="1"/>
  <c r="L59" i="32"/>
  <c r="K61" i="32"/>
  <c r="D9" i="35"/>
  <c r="E11" i="55" s="1"/>
  <c r="E86" i="55" s="1"/>
  <c r="P11" i="25"/>
  <c r="P19" i="25" s="1"/>
  <c r="C8" i="35"/>
  <c r="D10" i="55" s="1"/>
  <c r="D85" i="55" s="1"/>
  <c r="N13" i="32"/>
  <c r="N56" i="32" s="1"/>
  <c r="E56" i="55"/>
  <c r="H57" i="55"/>
  <c r="H55" i="55"/>
  <c r="U30" i="20"/>
  <c r="H5" i="35"/>
  <c r="I7" i="55" s="1"/>
  <c r="I82" i="55" s="1"/>
  <c r="H3" i="35"/>
  <c r="I5" i="55" s="1"/>
  <c r="I80" i="55" s="1"/>
  <c r="T49" i="20"/>
  <c r="E4" i="35"/>
  <c r="F6" i="55" s="1"/>
  <c r="F81" i="55" s="1"/>
  <c r="E9" i="35"/>
  <c r="F11" i="55" s="1"/>
  <c r="F86" i="55" s="1"/>
  <c r="S12" i="25"/>
  <c r="S14" i="25" s="1"/>
  <c r="S13" i="25" s="1"/>
  <c r="K21" i="32" l="1"/>
  <c r="K22" i="32" s="1"/>
  <c r="J24" i="32"/>
  <c r="C3" i="50" s="1"/>
  <c r="M59" i="32"/>
  <c r="L61" i="32"/>
  <c r="L21" i="32" s="1"/>
  <c r="L22" i="32" s="1"/>
  <c r="E61" i="55"/>
  <c r="O13" i="32"/>
  <c r="F61" i="55"/>
  <c r="D60" i="55"/>
  <c r="F56" i="55"/>
  <c r="I57" i="55"/>
  <c r="I55" i="55"/>
  <c r="I5" i="35"/>
  <c r="J7" i="55" s="1"/>
  <c r="J82" i="55" s="1"/>
  <c r="V30" i="20"/>
  <c r="I3" i="35"/>
  <c r="J5" i="55" s="1"/>
  <c r="J80" i="55" s="1"/>
  <c r="U49" i="20"/>
  <c r="F4" i="35"/>
  <c r="G6" i="55" s="1"/>
  <c r="G81" i="55" s="1"/>
  <c r="P13" i="32"/>
  <c r="P56" i="32" s="1"/>
  <c r="D8" i="35"/>
  <c r="E10" i="55" s="1"/>
  <c r="E85" i="55" s="1"/>
  <c r="R20" i="25"/>
  <c r="F9" i="35" s="1"/>
  <c r="G11" i="55" s="1"/>
  <c r="G86" i="55" s="1"/>
  <c r="Q11" i="25"/>
  <c r="Q19" i="25" s="1"/>
  <c r="T12" i="25"/>
  <c r="T14" i="25" s="1"/>
  <c r="T13" i="25" s="1"/>
  <c r="M61" i="32" l="1"/>
  <c r="M21" i="32" s="1"/>
  <c r="M22" i="32" s="1"/>
  <c r="K24" i="32"/>
  <c r="D3" i="50" s="1"/>
  <c r="L24" i="32"/>
  <c r="E3" i="50" s="1"/>
  <c r="N59" i="32"/>
  <c r="O59" i="32" s="1"/>
  <c r="E60" i="55"/>
  <c r="G61" i="55"/>
  <c r="G56" i="55"/>
  <c r="J57" i="55"/>
  <c r="J55" i="55"/>
  <c r="W30" i="20"/>
  <c r="J5" i="35"/>
  <c r="K7" i="55" s="1"/>
  <c r="K82" i="55" s="1"/>
  <c r="J3" i="35"/>
  <c r="K5" i="55" s="1"/>
  <c r="K80" i="55" s="1"/>
  <c r="V49" i="20"/>
  <c r="Q13" i="32"/>
  <c r="Q56" i="32" s="1"/>
  <c r="E8" i="35"/>
  <c r="F10" i="55" s="1"/>
  <c r="F85" i="55" s="1"/>
  <c r="G4" i="35"/>
  <c r="H6" i="55" s="1"/>
  <c r="H81" i="55" s="1"/>
  <c r="S20" i="25"/>
  <c r="G9" i="35" s="1"/>
  <c r="H11" i="55" s="1"/>
  <c r="H86" i="55" s="1"/>
  <c r="R11" i="25"/>
  <c r="R19" i="25" s="1"/>
  <c r="U12" i="25"/>
  <c r="M24" i="32" l="1"/>
  <c r="F3" i="50" s="1"/>
  <c r="H61" i="55"/>
  <c r="F60" i="55"/>
  <c r="K57" i="55"/>
  <c r="H56" i="55"/>
  <c r="K55" i="55"/>
  <c r="K5" i="35"/>
  <c r="L7" i="55" s="1"/>
  <c r="L82" i="55" s="1"/>
  <c r="X30" i="20"/>
  <c r="K3" i="35"/>
  <c r="L5" i="55" s="1"/>
  <c r="L80" i="55" s="1"/>
  <c r="W49" i="20"/>
  <c r="U14" i="25"/>
  <c r="U13" i="25" s="1"/>
  <c r="V12" i="25"/>
  <c r="R13" i="32"/>
  <c r="R56" i="32" s="1"/>
  <c r="F8" i="35"/>
  <c r="G10" i="55" s="1"/>
  <c r="G85" i="55" s="1"/>
  <c r="H4" i="35"/>
  <c r="I6" i="55" s="1"/>
  <c r="I81" i="55" s="1"/>
  <c r="T20" i="25"/>
  <c r="H9" i="35" s="1"/>
  <c r="I11" i="55" s="1"/>
  <c r="I86" i="55" s="1"/>
  <c r="S11" i="25"/>
  <c r="S19" i="25" s="1"/>
  <c r="I61" i="55" l="1"/>
  <c r="G60" i="55"/>
  <c r="I56" i="55"/>
  <c r="L57" i="55"/>
  <c r="L55" i="55"/>
  <c r="L5" i="35"/>
  <c r="M7" i="55" s="1"/>
  <c r="M82" i="55" s="1"/>
  <c r="Y30" i="20"/>
  <c r="L3" i="35"/>
  <c r="M5" i="55" s="1"/>
  <c r="M80" i="55" s="1"/>
  <c r="X49" i="20"/>
  <c r="W12" i="25"/>
  <c r="V14" i="25"/>
  <c r="V13" i="25" s="1"/>
  <c r="S13" i="32"/>
  <c r="S56" i="32" s="1"/>
  <c r="G8" i="35"/>
  <c r="H10" i="55" s="1"/>
  <c r="H85" i="55" s="1"/>
  <c r="I4" i="35"/>
  <c r="J6" i="55" s="1"/>
  <c r="J81" i="55" s="1"/>
  <c r="U20" i="25"/>
  <c r="T11" i="25"/>
  <c r="T19" i="25" s="1"/>
  <c r="M5" i="35" l="1"/>
  <c r="N7" i="55" s="1"/>
  <c r="N82" i="55" s="1"/>
  <c r="Z30" i="20"/>
  <c r="H60" i="55"/>
  <c r="M57" i="55"/>
  <c r="J56" i="55"/>
  <c r="M55" i="55"/>
  <c r="M3" i="35"/>
  <c r="N5" i="55" s="1"/>
  <c r="N80" i="55" s="1"/>
  <c r="Y49" i="20"/>
  <c r="I9" i="35"/>
  <c r="J11" i="55" s="1"/>
  <c r="J86" i="55" s="1"/>
  <c r="V20" i="25"/>
  <c r="X12" i="25"/>
  <c r="W14" i="25"/>
  <c r="W13" i="25" s="1"/>
  <c r="T13" i="32"/>
  <c r="T56" i="32"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73" i="26" s="1"/>
  <c r="AM16" i="5"/>
  <c r="AL16" i="5"/>
  <c r="C70" i="26" s="1"/>
  <c r="C51"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30" i="20"/>
  <c r="N5" i="35"/>
  <c r="O7" i="55" s="1"/>
  <c r="I60" i="55"/>
  <c r="J61" i="55"/>
  <c r="K56" i="55"/>
  <c r="N55" i="55"/>
  <c r="M16" i="5"/>
  <c r="C72" i="26"/>
  <c r="C55" i="26" s="1"/>
  <c r="Y12" i="25"/>
  <c r="X14" i="25"/>
  <c r="X13" i="25" s="1"/>
  <c r="J9" i="35"/>
  <c r="K11" i="55" s="1"/>
  <c r="K86" i="55" s="1"/>
  <c r="W20" i="25"/>
  <c r="W11" i="25" s="1"/>
  <c r="W19" i="25" s="1"/>
  <c r="V11" i="25"/>
  <c r="V19" i="25" s="1"/>
  <c r="C71" i="26"/>
  <c r="C52" i="26" s="1"/>
  <c r="E52" i="26" s="1"/>
  <c r="N16" i="5"/>
  <c r="U13" i="32"/>
  <c r="U56" i="32" s="1"/>
  <c r="I8" i="35"/>
  <c r="J10" i="55" s="1"/>
  <c r="J85" i="55" s="1"/>
  <c r="K4" i="35"/>
  <c r="L6" i="55" s="1"/>
  <c r="L81" i="55" s="1"/>
  <c r="C69" i="26"/>
  <c r="N40" i="26" s="1"/>
  <c r="E51" i="26"/>
  <c r="O57" i="55" l="1"/>
  <c r="O82" i="55"/>
  <c r="AB30" i="20"/>
  <c r="O5" i="35"/>
  <c r="P7" i="55" s="1"/>
  <c r="Z12" i="25"/>
  <c r="Y14" i="25"/>
  <c r="K61" i="55"/>
  <c r="J60" i="55"/>
  <c r="L56" i="55"/>
  <c r="K8" i="35"/>
  <c r="L10" i="55" s="1"/>
  <c r="L85" i="55" s="1"/>
  <c r="V13" i="32"/>
  <c r="V56" i="32" s="1"/>
  <c r="X20" i="25"/>
  <c r="K9" i="35"/>
  <c r="L11" i="55" s="1"/>
  <c r="L86" i="55" s="1"/>
  <c r="W13" i="32"/>
  <c r="W56" i="32" s="1"/>
  <c r="Y13" i="25"/>
  <c r="L4" i="35"/>
  <c r="M6" i="55" s="1"/>
  <c r="M81" i="55" s="1"/>
  <c r="C54" i="26"/>
  <c r="C68" i="26"/>
  <c r="C57" i="26" s="1"/>
  <c r="Q40" i="26"/>
  <c r="P82" i="55" l="1"/>
  <c r="P57" i="55"/>
  <c r="P5" i="35"/>
  <c r="Q7" i="55" s="1"/>
  <c r="AC30" i="20"/>
  <c r="Z14" i="25"/>
  <c r="Z13" i="25" s="1"/>
  <c r="AA12" i="25"/>
  <c r="L60" i="55"/>
  <c r="L61" i="55"/>
  <c r="M56" i="55"/>
  <c r="M4" i="35"/>
  <c r="N6" i="55" s="1"/>
  <c r="N81" i="55" s="1"/>
  <c r="J8" i="35"/>
  <c r="K10" i="55" s="1"/>
  <c r="K85" i="55" s="1"/>
  <c r="AD40" i="26"/>
  <c r="AE19" i="26" s="1"/>
  <c r="Q19" i="26" s="1"/>
  <c r="Y20" i="25"/>
  <c r="Z20" i="25" s="1"/>
  <c r="L9" i="35"/>
  <c r="M11" i="55" s="1"/>
  <c r="M86" i="55" s="1"/>
  <c r="X11" i="25"/>
  <c r="X19" i="25" s="1"/>
  <c r="E54" i="26"/>
  <c r="E49" i="26" s="1"/>
  <c r="C49" i="26"/>
  <c r="Q39" i="26"/>
  <c r="N39" i="26"/>
  <c r="Q57" i="55" l="1"/>
  <c r="Q82" i="55"/>
  <c r="Q5" i="35"/>
  <c r="R7" i="55" s="1"/>
  <c r="Z11" i="25"/>
  <c r="Z19" i="25" s="1"/>
  <c r="N8" i="35" s="1"/>
  <c r="O10" i="55" s="1"/>
  <c r="AB12" i="25"/>
  <c r="AA14" i="25"/>
  <c r="AA13" i="25" s="1"/>
  <c r="AA20" i="25"/>
  <c r="O9" i="35" s="1"/>
  <c r="P11" i="55" s="1"/>
  <c r="N9" i="35"/>
  <c r="O11" i="55" s="1"/>
  <c r="K60" i="55"/>
  <c r="M61" i="55"/>
  <c r="N56" i="55"/>
  <c r="L8" i="35"/>
  <c r="M10" i="55" s="1"/>
  <c r="M85" i="55" s="1"/>
  <c r="AD39" i="26"/>
  <c r="M9" i="35"/>
  <c r="N11" i="55" s="1"/>
  <c r="N86" i="55" s="1"/>
  <c r="Y11" i="25"/>
  <c r="Y19" i="25" s="1"/>
  <c r="Z13" i="32" l="1"/>
  <c r="Z56" i="32" s="1"/>
  <c r="O60" i="55"/>
  <c r="O85" i="55"/>
  <c r="P86" i="55"/>
  <c r="P61" i="55"/>
  <c r="R82" i="55"/>
  <c r="R57" i="55"/>
  <c r="O61" i="55"/>
  <c r="O86" i="55"/>
  <c r="AB20" i="25"/>
  <c r="P9" i="35" s="1"/>
  <c r="Q11" i="55" s="1"/>
  <c r="AA11" i="25"/>
  <c r="AA19" i="25" s="1"/>
  <c r="AB14" i="25"/>
  <c r="AB13" i="25" s="1"/>
  <c r="AC12" i="25"/>
  <c r="N61" i="55"/>
  <c r="M60" i="55"/>
  <c r="N84" i="26"/>
  <c r="N79" i="26" s="1"/>
  <c r="M8" i="35"/>
  <c r="N10" i="55" s="1"/>
  <c r="N85" i="55" s="1"/>
  <c r="X13" i="32"/>
  <c r="X56" i="32" s="1"/>
  <c r="Y13" i="32"/>
  <c r="Y56" i="32" s="1"/>
  <c r="AB11" i="25" l="1"/>
  <c r="AB19" i="25" s="1"/>
  <c r="P8" i="35" s="1"/>
  <c r="Q10" i="55" s="1"/>
  <c r="Q60" i="55" s="1"/>
  <c r="Q61" i="55"/>
  <c r="Q86" i="55"/>
  <c r="G2" i="50"/>
  <c r="AA13" i="32"/>
  <c r="AA56" i="32" s="1"/>
  <c r="O8" i="35"/>
  <c r="P10" i="55" s="1"/>
  <c r="AC14" i="25"/>
  <c r="AC13" i="25" s="1"/>
  <c r="AC20" i="25"/>
  <c r="Q9" i="35" s="1"/>
  <c r="R11" i="55" s="1"/>
  <c r="N60" i="55"/>
  <c r="N50" i="20"/>
  <c r="N51" i="20" s="1"/>
  <c r="O79" i="26"/>
  <c r="H2" i="50" s="1"/>
  <c r="AB13" i="32" l="1"/>
  <c r="AB56" i="32" s="1"/>
  <c r="Q85" i="55"/>
  <c r="R86" i="55"/>
  <c r="R61" i="55"/>
  <c r="P85" i="55"/>
  <c r="P60" i="55"/>
  <c r="AC11" i="25"/>
  <c r="AC19" i="25" s="1"/>
  <c r="Q8" i="35" s="1"/>
  <c r="R10" i="55" s="1"/>
  <c r="P84" i="26"/>
  <c r="P79" i="26" s="1"/>
  <c r="C2" i="35"/>
  <c r="D4" i="55" s="1"/>
  <c r="D79" i="55" s="1"/>
  <c r="O50" i="20"/>
  <c r="O51" i="20" s="1"/>
  <c r="O31" i="20" s="1"/>
  <c r="N31" i="20"/>
  <c r="N32" i="20" s="1"/>
  <c r="AU64" i="20"/>
  <c r="AU63" i="20"/>
  <c r="AU65" i="20"/>
  <c r="N15" i="20"/>
  <c r="R85" i="55" l="1"/>
  <c r="R60" i="55"/>
  <c r="AC13" i="32"/>
  <c r="AC56" i="32" s="1"/>
  <c r="AV63" i="20"/>
  <c r="O32" i="20"/>
  <c r="AV65" i="20"/>
  <c r="AV64" i="20"/>
  <c r="O15" i="20"/>
  <c r="D54" i="55"/>
  <c r="Q84" i="26"/>
  <c r="Q79" i="26" s="1"/>
  <c r="D2" i="35"/>
  <c r="E4" i="55" s="1"/>
  <c r="E79" i="55" s="1"/>
  <c r="P50" i="20"/>
  <c r="P51" i="20" s="1"/>
  <c r="H12" i="30"/>
  <c r="J26" i="49" l="1"/>
  <c r="R84" i="26"/>
  <c r="R79" i="26" s="1"/>
  <c r="R11" i="26"/>
  <c r="AW65" i="20"/>
  <c r="P31" i="20"/>
  <c r="P32" i="20" s="1"/>
  <c r="AW64" i="20"/>
  <c r="AW63" i="20"/>
  <c r="P15" i="20"/>
  <c r="E54" i="55"/>
  <c r="Q50" i="20"/>
  <c r="Q51" i="20" s="1"/>
  <c r="E2" i="35"/>
  <c r="F4" i="55" s="1"/>
  <c r="F79" i="55" s="1"/>
  <c r="P12" i="49" l="1"/>
  <c r="S84" i="26"/>
  <c r="S79" i="26" s="1"/>
  <c r="S11" i="26"/>
  <c r="F54" i="55"/>
  <c r="Q31" i="20"/>
  <c r="Q32" i="20" s="1"/>
  <c r="AX65" i="20"/>
  <c r="AX64" i="20"/>
  <c r="AX63" i="20"/>
  <c r="Q15" i="20"/>
  <c r="F2" i="35"/>
  <c r="G4" i="55" s="1"/>
  <c r="G79" i="55" s="1"/>
  <c r="R50" i="20"/>
  <c r="R51" i="20" s="1"/>
  <c r="J32" i="32"/>
  <c r="J33" i="32" s="1"/>
  <c r="P31" i="32" l="1"/>
  <c r="D11" i="35"/>
  <c r="E13" i="55" s="1"/>
  <c r="E88" i="55" s="1"/>
  <c r="L26" i="49"/>
  <c r="AY65" i="20"/>
  <c r="AY63" i="20"/>
  <c r="AY64" i="20"/>
  <c r="R31" i="20"/>
  <c r="R32" i="20" s="1"/>
  <c r="R15" i="20"/>
  <c r="T84" i="26"/>
  <c r="T79" i="26" s="1"/>
  <c r="T11" i="26"/>
  <c r="G54" i="55"/>
  <c r="S50" i="20"/>
  <c r="S51" i="20" s="1"/>
  <c r="G2" i="35"/>
  <c r="H4" i="55" s="1"/>
  <c r="H79" i="55" s="1"/>
  <c r="L32" i="32"/>
  <c r="K32" i="32"/>
  <c r="K33" i="32" s="1"/>
  <c r="M25" i="49"/>
  <c r="L27" i="49" l="1"/>
  <c r="P10" i="26"/>
  <c r="D10" i="35"/>
  <c r="E12" i="55" s="1"/>
  <c r="E87" i="55" s="1"/>
  <c r="Q31" i="32"/>
  <c r="E11" i="35"/>
  <c r="N25" i="49"/>
  <c r="O25" i="49" s="1"/>
  <c r="E63" i="55"/>
  <c r="U84" i="26"/>
  <c r="U79" i="26" s="1"/>
  <c r="U11" i="26"/>
  <c r="AZ63" i="20"/>
  <c r="AZ65" i="20"/>
  <c r="AZ64" i="20"/>
  <c r="S31" i="20"/>
  <c r="S32" i="20" s="1"/>
  <c r="S15" i="20"/>
  <c r="H2" i="35"/>
  <c r="I4" i="55" s="1"/>
  <c r="I79" i="55" s="1"/>
  <c r="T50" i="20"/>
  <c r="T51" i="20" s="1"/>
  <c r="H54" i="55"/>
  <c r="L33" i="32"/>
  <c r="M32" i="32"/>
  <c r="M33" i="32" s="1"/>
  <c r="J27" i="49"/>
  <c r="C10" i="35"/>
  <c r="D13" i="55"/>
  <c r="D88" i="55" s="1"/>
  <c r="N32" i="32"/>
  <c r="E62" i="55" l="1"/>
  <c r="G44" i="49"/>
  <c r="S12" i="49" s="1"/>
  <c r="O26" i="49" s="1"/>
  <c r="S31" i="32"/>
  <c r="G11" i="35"/>
  <c r="R31" i="32"/>
  <c r="F11" i="35"/>
  <c r="D63" i="55"/>
  <c r="V84" i="26"/>
  <c r="V79" i="26" s="1"/>
  <c r="V11" i="26"/>
  <c r="BA63" i="20"/>
  <c r="T31" i="20"/>
  <c r="T32" i="20" s="1"/>
  <c r="BA64" i="20"/>
  <c r="BA65" i="20"/>
  <c r="T15" i="20"/>
  <c r="I54" i="55"/>
  <c r="U50" i="20"/>
  <c r="U51" i="20" s="1"/>
  <c r="I2" i="35"/>
  <c r="J4" i="55" s="1"/>
  <c r="J79" i="55" s="1"/>
  <c r="D12" i="55"/>
  <c r="D87" i="55" s="1"/>
  <c r="K27" i="49"/>
  <c r="P25" i="49"/>
  <c r="C18" i="35"/>
  <c r="N33" i="32"/>
  <c r="Q12" i="49" l="1"/>
  <c r="M26" i="49" s="1"/>
  <c r="T31" i="32"/>
  <c r="H11" i="35"/>
  <c r="D62" i="55"/>
  <c r="J54" i="55"/>
  <c r="W84" i="26"/>
  <c r="W79" i="26" s="1"/>
  <c r="W11" i="26"/>
  <c r="U31" i="20"/>
  <c r="U32" i="20" s="1"/>
  <c r="BB64" i="20"/>
  <c r="BB63" i="20"/>
  <c r="BB65" i="20"/>
  <c r="U15" i="20"/>
  <c r="J2" i="35"/>
  <c r="K4" i="55" s="1"/>
  <c r="K79" i="55" s="1"/>
  <c r="V50" i="20"/>
  <c r="V51" i="20" s="1"/>
  <c r="H13" i="55"/>
  <c r="H88" i="55" s="1"/>
  <c r="D20" i="55"/>
  <c r="D95" i="55" s="1"/>
  <c r="P32" i="32"/>
  <c r="O33" i="32"/>
  <c r="Q25" i="49"/>
  <c r="R12" i="49" l="1"/>
  <c r="N26" i="49" s="1"/>
  <c r="J16" i="49" s="1"/>
  <c r="J17" i="49" s="1"/>
  <c r="U31" i="32"/>
  <c r="I11" i="35"/>
  <c r="H63" i="55"/>
  <c r="D70" i="55"/>
  <c r="K54" i="55"/>
  <c r="X84" i="26"/>
  <c r="X79" i="26" s="1"/>
  <c r="X11" i="26"/>
  <c r="V31" i="20"/>
  <c r="V32" i="20" s="1"/>
  <c r="V15" i="20"/>
  <c r="K2" i="35"/>
  <c r="L4" i="55" s="1"/>
  <c r="L79" i="55" s="1"/>
  <c r="W50" i="20"/>
  <c r="W51" i="20" s="1"/>
  <c r="R25" i="49"/>
  <c r="Q32" i="32"/>
  <c r="D18" i="35"/>
  <c r="E20" i="55" s="1"/>
  <c r="E95" i="55" s="1"/>
  <c r="P33" i="32"/>
  <c r="F13" i="55"/>
  <c r="F88" i="55" s="1"/>
  <c r="P30" i="32"/>
  <c r="G10" i="35"/>
  <c r="H12" i="55" s="1"/>
  <c r="H87" i="55" s="1"/>
  <c r="S10" i="26"/>
  <c r="S9" i="26" s="1"/>
  <c r="O27" i="49"/>
  <c r="G13" i="55"/>
  <c r="G88" i="55" s="1"/>
  <c r="V31" i="32" l="1"/>
  <c r="J11" i="35"/>
  <c r="Z84" i="26"/>
  <c r="Z79" i="26" s="1"/>
  <c r="Z11" i="26"/>
  <c r="H62" i="55"/>
  <c r="G63" i="55"/>
  <c r="F63" i="55"/>
  <c r="E70" i="55"/>
  <c r="L54" i="55"/>
  <c r="Y11" i="26"/>
  <c r="Y84" i="26"/>
  <c r="Y79" i="26" s="1"/>
  <c r="X50" i="20"/>
  <c r="X51" i="20" s="1"/>
  <c r="L2" i="35"/>
  <c r="M4" i="55" s="1"/>
  <c r="M79" i="55" s="1"/>
  <c r="W31" i="20"/>
  <c r="W32" i="20" s="1"/>
  <c r="W15" i="20"/>
  <c r="S25" i="49"/>
  <c r="E10" i="35"/>
  <c r="F12" i="55" s="1"/>
  <c r="F87" i="55" s="1"/>
  <c r="Q10" i="26"/>
  <c r="M27" i="49"/>
  <c r="Q30" i="32"/>
  <c r="Q33" i="32"/>
  <c r="E18" i="35"/>
  <c r="F20" i="55" s="1"/>
  <c r="F95" i="55" s="1"/>
  <c r="R32" i="32"/>
  <c r="R10" i="26"/>
  <c r="R9" i="26" s="1"/>
  <c r="F10" i="35"/>
  <c r="G12" i="55" s="1"/>
  <c r="G87" i="55" s="1"/>
  <c r="N27" i="49"/>
  <c r="W31" i="32" l="1"/>
  <c r="K11" i="35"/>
  <c r="N2" i="35"/>
  <c r="O4" i="55" s="1"/>
  <c r="Z50" i="20"/>
  <c r="Z51" i="20" s="1"/>
  <c r="AA84" i="26"/>
  <c r="AA79" i="26" s="1"/>
  <c r="AA11" i="26"/>
  <c r="F70" i="55"/>
  <c r="G62" i="55"/>
  <c r="F62" i="55"/>
  <c r="M54" i="55"/>
  <c r="X31" i="20"/>
  <c r="X32" i="20" s="1"/>
  <c r="X15" i="20"/>
  <c r="Y50" i="20"/>
  <c r="Y51" i="20" s="1"/>
  <c r="M2" i="35"/>
  <c r="N4" i="55" s="1"/>
  <c r="N79" i="55" s="1"/>
  <c r="F18" i="35"/>
  <c r="G20" i="55" s="1"/>
  <c r="G95" i="55" s="1"/>
  <c r="R33" i="32"/>
  <c r="S32" i="32"/>
  <c r="T25" i="49"/>
  <c r="H44" i="49"/>
  <c r="R30" i="32"/>
  <c r="O54" i="55" l="1"/>
  <c r="O79" i="55"/>
  <c r="X31" i="32"/>
  <c r="L11" i="35"/>
  <c r="T12" i="49"/>
  <c r="P26" i="49" s="1"/>
  <c r="O2" i="35"/>
  <c r="P4" i="55" s="1"/>
  <c r="AA50" i="20"/>
  <c r="AA51" i="20" s="1"/>
  <c r="AB84" i="26"/>
  <c r="AB79" i="26" s="1"/>
  <c r="AB11" i="26"/>
  <c r="Z15" i="20"/>
  <c r="Z31" i="20"/>
  <c r="G70" i="55"/>
  <c r="N54" i="55"/>
  <c r="Y31" i="20"/>
  <c r="Y32" i="20" s="1"/>
  <c r="Y15" i="20"/>
  <c r="S30" i="32"/>
  <c r="G18" i="35"/>
  <c r="H20" i="55" s="1"/>
  <c r="H95" i="55" s="1"/>
  <c r="S33" i="32"/>
  <c r="T32" i="32"/>
  <c r="U25" i="49"/>
  <c r="I44" i="49"/>
  <c r="P54" i="55" l="1"/>
  <c r="P79" i="55"/>
  <c r="Z32" i="20"/>
  <c r="Y31" i="32"/>
  <c r="M11" i="35"/>
  <c r="U12" i="49"/>
  <c r="Q26" i="49" s="1"/>
  <c r="V25" i="49"/>
  <c r="P2" i="35"/>
  <c r="Q4" i="55" s="1"/>
  <c r="AB50" i="20"/>
  <c r="AB51" i="20" s="1"/>
  <c r="AC84" i="26"/>
  <c r="AC79" i="26" s="1"/>
  <c r="AC11" i="26"/>
  <c r="AA15" i="20"/>
  <c r="AA31" i="20"/>
  <c r="H70" i="55"/>
  <c r="T30" i="32"/>
  <c r="U32" i="32"/>
  <c r="T33" i="32"/>
  <c r="H18" i="35"/>
  <c r="I20" i="55" s="1"/>
  <c r="I95" i="55" s="1"/>
  <c r="I13" i="55"/>
  <c r="I88" i="55" s="1"/>
  <c r="V12" i="49" l="1"/>
  <c r="R26" i="49" s="1"/>
  <c r="Q54" i="55"/>
  <c r="Q79" i="55"/>
  <c r="Z31" i="32"/>
  <c r="N11" i="35"/>
  <c r="W25" i="49"/>
  <c r="X25" i="49" s="1"/>
  <c r="Q2" i="35"/>
  <c r="R4" i="55" s="1"/>
  <c r="AC50" i="20"/>
  <c r="AC51" i="20" s="1"/>
  <c r="AB15" i="20"/>
  <c r="AB31" i="20"/>
  <c r="I70" i="55"/>
  <c r="I63" i="55"/>
  <c r="H10" i="35"/>
  <c r="I12" i="55" s="1"/>
  <c r="I87" i="55" s="1"/>
  <c r="T10" i="26"/>
  <c r="T9" i="26" s="1"/>
  <c r="P27" i="49"/>
  <c r="U33" i="32"/>
  <c r="I18" i="35"/>
  <c r="J20" i="55" s="1"/>
  <c r="J95" i="55" s="1"/>
  <c r="V32" i="32"/>
  <c r="U30" i="32"/>
  <c r="J13" i="55"/>
  <c r="J88" i="55" s="1"/>
  <c r="W12" i="49" l="1"/>
  <c r="S26" i="49" s="1"/>
  <c r="K16" i="49" s="1"/>
  <c r="K17" i="49" s="1"/>
  <c r="AB31" i="32"/>
  <c r="P11" i="35"/>
  <c r="Q13" i="55" s="1"/>
  <c r="R79" i="55"/>
  <c r="R54" i="55"/>
  <c r="AA31" i="32"/>
  <c r="O11" i="35"/>
  <c r="P13" i="55" s="1"/>
  <c r="AC15" i="20"/>
  <c r="AC31" i="20"/>
  <c r="Y25" i="49"/>
  <c r="I62" i="55"/>
  <c r="J63" i="55"/>
  <c r="J70" i="55"/>
  <c r="J18" i="35"/>
  <c r="K20" i="55" s="1"/>
  <c r="K95" i="55" s="1"/>
  <c r="V33" i="32"/>
  <c r="V30" i="32"/>
  <c r="W32" i="32"/>
  <c r="I10" i="35"/>
  <c r="J12" i="55" s="1"/>
  <c r="J87" i="55" s="1"/>
  <c r="U10" i="26"/>
  <c r="U9" i="26" s="1"/>
  <c r="Q27" i="49"/>
  <c r="K13" i="55"/>
  <c r="K88" i="55" s="1"/>
  <c r="X12" i="49" l="1"/>
  <c r="T26" i="49" s="1"/>
  <c r="Q63" i="55"/>
  <c r="Q88" i="55"/>
  <c r="P88" i="55"/>
  <c r="P63" i="55"/>
  <c r="AC31" i="32"/>
  <c r="Q11" i="35"/>
  <c r="R13" i="55" s="1"/>
  <c r="K70" i="55"/>
  <c r="J62" i="55"/>
  <c r="K63" i="55"/>
  <c r="Y12" i="49"/>
  <c r="U26" i="49" s="1"/>
  <c r="L13" i="55"/>
  <c r="L88" i="55" s="1"/>
  <c r="J10" i="35"/>
  <c r="K12" i="55" s="1"/>
  <c r="K87" i="55" s="1"/>
  <c r="V10" i="26"/>
  <c r="V9" i="26" s="1"/>
  <c r="R27" i="49"/>
  <c r="X32" i="32"/>
  <c r="W30" i="32"/>
  <c r="K18" i="35"/>
  <c r="L20" i="55" s="1"/>
  <c r="L95" i="55" s="1"/>
  <c r="W33" i="32"/>
  <c r="R88" i="55" l="1"/>
  <c r="R63" i="55"/>
  <c r="Z12" i="49"/>
  <c r="V26" i="49" s="1"/>
  <c r="K62" i="55"/>
  <c r="L70" i="55"/>
  <c r="L63" i="55"/>
  <c r="X33" i="32"/>
  <c r="X30" i="32"/>
  <c r="Y32" i="32"/>
  <c r="Z32" i="32" s="1"/>
  <c r="L18" i="35"/>
  <c r="M20" i="55" s="1"/>
  <c r="M95" i="55" s="1"/>
  <c r="M13" i="55"/>
  <c r="M88" i="55" s="1"/>
  <c r="K10" i="35"/>
  <c r="L12" i="55" s="1"/>
  <c r="L87" i="55" s="1"/>
  <c r="W10" i="26"/>
  <c r="W9" i="26" s="1"/>
  <c r="F22" i="26" s="1"/>
  <c r="S27" i="49"/>
  <c r="N13" i="55"/>
  <c r="N88" i="55" s="1"/>
  <c r="AA12" i="49" l="1"/>
  <c r="W26" i="49" s="1"/>
  <c r="L16" i="49" s="1"/>
  <c r="L17" i="49" s="1"/>
  <c r="AA32" i="32"/>
  <c r="N18" i="35"/>
  <c r="O20" i="55" s="1"/>
  <c r="Z33" i="32"/>
  <c r="Z30" i="32"/>
  <c r="L62" i="55"/>
  <c r="M63" i="55"/>
  <c r="M70" i="55"/>
  <c r="N63" i="55"/>
  <c r="Y10" i="26"/>
  <c r="Y9" i="26" s="1"/>
  <c r="M10" i="35"/>
  <c r="N12" i="55" s="1"/>
  <c r="N87" i="55" s="1"/>
  <c r="U27" i="49"/>
  <c r="X10" i="26"/>
  <c r="X9" i="26" s="1"/>
  <c r="L10" i="35"/>
  <c r="M12" i="55" s="1"/>
  <c r="M87" i="55" s="1"/>
  <c r="T27" i="49"/>
  <c r="M18" i="35"/>
  <c r="N20" i="55" s="1"/>
  <c r="N95" i="55" s="1"/>
  <c r="Y30" i="32"/>
  <c r="Y33" i="32"/>
  <c r="O95" i="55" l="1"/>
  <c r="O70" i="55"/>
  <c r="D21" i="55"/>
  <c r="D96" i="55" s="1"/>
  <c r="AA33" i="32"/>
  <c r="O18" i="35"/>
  <c r="P20" i="55" s="1"/>
  <c r="AA30" i="32"/>
  <c r="AB32" i="32"/>
  <c r="AB12" i="49"/>
  <c r="X26" i="49" s="1"/>
  <c r="O13" i="55"/>
  <c r="N70" i="55"/>
  <c r="M62" i="55"/>
  <c r="N62" i="55"/>
  <c r="P95" i="55" l="1"/>
  <c r="P70" i="55"/>
  <c r="O63" i="55"/>
  <c r="O88" i="55"/>
  <c r="D71" i="55"/>
  <c r="Z10" i="26"/>
  <c r="Z9" i="26" s="1"/>
  <c r="N10" i="35"/>
  <c r="O12" i="55" s="1"/>
  <c r="V27" i="49"/>
  <c r="AB30" i="32"/>
  <c r="AC32" i="32"/>
  <c r="AB33" i="32"/>
  <c r="P18" i="35"/>
  <c r="Q20" i="55" s="1"/>
  <c r="AC12" i="49"/>
  <c r="Y26" i="49" s="1"/>
  <c r="E21" i="55"/>
  <c r="E96" i="55" s="1"/>
  <c r="O87" i="55" l="1"/>
  <c r="O62" i="55"/>
  <c r="Q70" i="55"/>
  <c r="Q95" i="55"/>
  <c r="O10" i="35"/>
  <c r="P12" i="55" s="1"/>
  <c r="AA10" i="26"/>
  <c r="AA9" i="26" s="1"/>
  <c r="G22" i="26" s="1"/>
  <c r="W27" i="49"/>
  <c r="Q18" i="35"/>
  <c r="R20" i="55" s="1"/>
  <c r="AC33" i="32"/>
  <c r="AC30" i="32"/>
  <c r="E71" i="55"/>
  <c r="F21" i="55"/>
  <c r="F96" i="55" s="1"/>
  <c r="P87" i="55" l="1"/>
  <c r="P62" i="55"/>
  <c r="R95" i="55"/>
  <c r="R70" i="55"/>
  <c r="P10" i="35"/>
  <c r="Q12" i="55" s="1"/>
  <c r="AB10" i="26"/>
  <c r="AB9" i="26" s="1"/>
  <c r="X27" i="49"/>
  <c r="Q10" i="35"/>
  <c r="R12" i="55" s="1"/>
  <c r="AC10" i="26"/>
  <c r="AC9" i="26" s="1"/>
  <c r="Y27" i="49"/>
  <c r="F71" i="55"/>
  <c r="G21" i="55"/>
  <c r="G96" i="55" s="1"/>
  <c r="R62" i="55" l="1"/>
  <c r="R87" i="55"/>
  <c r="Q62" i="55"/>
  <c r="Q87" i="55"/>
  <c r="G71" i="55"/>
  <c r="H21" i="55"/>
  <c r="H96" i="55" s="1"/>
  <c r="H71" i="55" l="1"/>
  <c r="I21" i="55"/>
  <c r="I96" i="55" s="1"/>
  <c r="I71" i="55" l="1"/>
  <c r="J21" i="55"/>
  <c r="J96" i="55" s="1"/>
  <c r="J71" i="55" l="1"/>
  <c r="K21" i="55"/>
  <c r="K96" i="55" s="1"/>
  <c r="K71" i="55" l="1"/>
  <c r="L21" i="55"/>
  <c r="L96" i="55" s="1"/>
  <c r="N21" i="55" l="1"/>
  <c r="N96" i="55" s="1"/>
  <c r="L71" i="55"/>
  <c r="M21" i="55"/>
  <c r="M96" i="55" s="1"/>
  <c r="N57" i="32"/>
  <c r="N58" i="32" s="1"/>
  <c r="N61" i="32" s="1"/>
  <c r="N21" i="32" s="1"/>
  <c r="N22" i="32" s="1"/>
  <c r="N24" i="32" s="1"/>
  <c r="G3" i="50" l="1"/>
  <c r="O21" i="55"/>
  <c r="M71" i="55"/>
  <c r="N71" i="55"/>
  <c r="O96" i="55" l="1"/>
  <c r="O71" i="55"/>
  <c r="P21" i="55"/>
  <c r="P71" i="55" l="1"/>
  <c r="P96" i="55"/>
  <c r="R21" i="55"/>
  <c r="Q21" i="55"/>
  <c r="Q96" i="55" l="1"/>
  <c r="Q71" i="55"/>
  <c r="R71" i="55"/>
  <c r="R96" i="55"/>
  <c r="F3" i="46"/>
  <c r="G3" i="46" s="1"/>
  <c r="O17" i="32"/>
  <c r="O56" i="32" s="1"/>
  <c r="O12" i="30"/>
  <c r="O57" i="32" l="1"/>
  <c r="O58" i="32" s="1"/>
  <c r="Q11" i="26"/>
  <c r="AD19" i="26"/>
  <c r="C6" i="35"/>
  <c r="D8" i="55" s="1"/>
  <c r="O61" i="32" l="1"/>
  <c r="O21" i="32" s="1"/>
  <c r="O22" i="32" s="1"/>
  <c r="D58" i="55"/>
  <c r="D83" i="55"/>
  <c r="O24" i="32" l="1"/>
  <c r="P22" i="32"/>
  <c r="P12" i="32" s="1"/>
  <c r="P57" i="32" l="1"/>
  <c r="E47" i="32"/>
  <c r="P24" i="32"/>
  <c r="D17" i="35" s="1"/>
  <c r="E19" i="55" s="1"/>
  <c r="C17" i="35"/>
  <c r="D19" i="55" s="1"/>
  <c r="H3" i="50"/>
  <c r="E69" i="55" l="1"/>
  <c r="E94" i="55"/>
  <c r="D69" i="55"/>
  <c r="D94" i="55"/>
  <c r="Q22" i="32" l="1"/>
  <c r="Q24" i="32" s="1"/>
  <c r="E17" i="35" s="1"/>
  <c r="F19" i="55" s="1"/>
  <c r="F94" i="55" l="1"/>
  <c r="F69" i="55"/>
  <c r="U22" i="32"/>
  <c r="R22" i="32"/>
  <c r="Q12" i="32"/>
  <c r="U12" i="32" l="1"/>
  <c r="U57" i="32" s="1"/>
  <c r="Y22" i="32"/>
  <c r="V22" i="32"/>
  <c r="U24" i="32"/>
  <c r="I17" i="35" s="1"/>
  <c r="J19" i="55" s="1"/>
  <c r="Q57" i="32"/>
  <c r="S22" i="32"/>
  <c r="R12" i="32"/>
  <c r="R57" i="32" s="1"/>
  <c r="R24" i="32"/>
  <c r="F17" i="35" s="1"/>
  <c r="G19" i="55" s="1"/>
  <c r="G47" i="32" l="1"/>
  <c r="J94" i="55"/>
  <c r="J69" i="55"/>
  <c r="V24" i="32"/>
  <c r="J17" i="35" s="1"/>
  <c r="K19" i="55" s="1"/>
  <c r="V12" i="32"/>
  <c r="V57" i="32" s="1"/>
  <c r="W22" i="32"/>
  <c r="Y12" i="32"/>
  <c r="Y57" i="32" s="1"/>
  <c r="Z22" i="32"/>
  <c r="Y24" i="32"/>
  <c r="M17" i="35" s="1"/>
  <c r="N19" i="55" s="1"/>
  <c r="G69" i="55"/>
  <c r="G94" i="55"/>
  <c r="T22" i="32"/>
  <c r="S12" i="32"/>
  <c r="S24" i="32"/>
  <c r="G17" i="35" s="1"/>
  <c r="H19" i="55" s="1"/>
  <c r="N69" i="55" l="1"/>
  <c r="N94" i="55"/>
  <c r="W24" i="32"/>
  <c r="K17" i="35" s="1"/>
  <c r="L19" i="55" s="1"/>
  <c r="W12" i="32"/>
  <c r="W57" i="32" s="1"/>
  <c r="X22" i="32"/>
  <c r="K69" i="55"/>
  <c r="K94" i="55"/>
  <c r="H69" i="55"/>
  <c r="H94" i="55"/>
  <c r="Z12" i="32"/>
  <c r="Z57" i="32" s="1"/>
  <c r="AA22" i="32"/>
  <c r="Z24" i="32"/>
  <c r="N17" i="35" s="1"/>
  <c r="O19" i="55" s="1"/>
  <c r="S57" i="32"/>
  <c r="E45" i="32"/>
  <c r="T24" i="32"/>
  <c r="H17" i="35" s="1"/>
  <c r="I19" i="55" s="1"/>
  <c r="T12" i="32"/>
  <c r="T57" i="32" l="1"/>
  <c r="F45" i="32"/>
  <c r="I94" i="55"/>
  <c r="I69" i="55"/>
  <c r="O69" i="55"/>
  <c r="O94" i="55"/>
  <c r="L69" i="55"/>
  <c r="L94" i="55"/>
  <c r="X24" i="32"/>
  <c r="L17" i="35" s="1"/>
  <c r="M19" i="55" s="1"/>
  <c r="X12" i="32"/>
  <c r="AA24" i="32"/>
  <c r="O17" i="35" s="1"/>
  <c r="P19" i="55" s="1"/>
  <c r="AA12" i="32"/>
  <c r="AA57" i="32" s="1"/>
  <c r="AB22" i="32"/>
  <c r="AB24" i="32" l="1"/>
  <c r="P17" i="35" s="1"/>
  <c r="Q19" i="55" s="1"/>
  <c r="AB12" i="32"/>
  <c r="AB57" i="32" s="1"/>
  <c r="AC22" i="32"/>
  <c r="X57" i="32"/>
  <c r="G45" i="32"/>
  <c r="P69" i="55"/>
  <c r="P94" i="55"/>
  <c r="M94" i="55"/>
  <c r="M69" i="55"/>
  <c r="AC12" i="32" l="1"/>
  <c r="AC57" i="32" s="1"/>
  <c r="AC24" i="32"/>
  <c r="Q17" i="35" s="1"/>
  <c r="R19" i="55" s="1"/>
  <c r="Q69" i="55"/>
  <c r="Q94" i="55"/>
  <c r="R69" i="55" l="1"/>
  <c r="R94" i="55"/>
  <c r="P11" i="26"/>
  <c r="P9" i="26" s="1"/>
  <c r="E22"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tc={B60E82BF-689C-4C00-A386-5065567F8405}</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B60E82BF-689C-4C00-A386-5065567F8405}">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5"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6"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9"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0"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1"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tc={BDF05363-48B5-4169-995F-603F9BD27918}</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 ref="P25" authorId="2" shapeId="0" xr:uid="{BDF05363-48B5-4169-995F-603F9BD27918}">
      <text>
        <t>[Threaded comment]
Your version of Excel allows you to read this threaded comment; however, any edits to it will get removed if the file is opened in a newer version of Excel. Learn more: https://go.microsoft.com/fwlink/?linkid=870924
Comment:
    we add in 45 here to match the CBO NIPA comparisons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tc={F2DACF82-69A4-4359-8C36-F238A653F446}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3" authorId="1" shapeId="0" xr:uid="{F2DACF82-69A4-4359-8C36-F238A653F446}">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B37" authorId="2"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9" authorId="3"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9" authorId="4"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94" authorId="5"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tc={8E4D7BCD-76B2-4165-AA1C-68276004F280}</author>
    <author>tc={FF466117-AAB7-4CFD-A3B5-A21CC479E101}</author>
    <author>tc={7A823E53-C60F-4560-AD8F-BADDE7816168}</author>
    <author>tc={0328A761-FD1D-49C5-83CB-AAF026630FEB}</author>
    <author>tc={EF604862-3725-43D7-97EF-B0824CD9E9F7}</author>
    <author>tc={45462903-3AA3-419D-B5A1-B91B01F473E3}</author>
    <author>tc={5D1FB8CF-73C1-4C7E-8FBE-3976A8784D3A}</author>
    <author>tc={201A6023-863D-42F7-8C01-619F9EBCDD49}</author>
    <author>tc={CC18A84B-EEF2-4E33-B90F-C7C9FA8034BF}</author>
    <author>tc={83C914AB-186A-4831-9B49-4F6707F4D6FB}</author>
    <author>tc={18009A65-4DB8-47CE-A5C4-EDAFF9B38DFA}</author>
    <author>tc={C91BE3D7-AFDF-471A-8969-790D0061A183}</author>
    <author>tc={C9F89F0E-56A1-45FE-9538-D76A89DF15F0}</author>
    <author>tc={F26C8511-096A-4747-A95F-04E73B713683}</author>
    <author>tc={8A467DBB-18C2-4E37-896C-25D5622B6BF2}</author>
  </authors>
  <commentList>
    <comment ref="O13" authorId="0" shapeId="0" xr:uid="{8E4D7BCD-76B2-4165-AA1C-68276004F280}">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FF466117-AAB7-4CFD-A3B5-A21CC479E101}">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5" authorId="2" shapeId="0" xr:uid="{7A823E53-C60F-4560-AD8F-BADDE7816168}">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6" authorId="3" shapeId="0" xr:uid="{0328A761-FD1D-49C5-83CB-AAF026630FEB}">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8" authorId="4" shapeId="0" xr:uid="{EF604862-3725-43D7-97EF-B0824CD9E9F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9" authorId="5" shapeId="0" xr:uid="{45462903-3AA3-419D-B5A1-B91B01F47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0" authorId="6" shapeId="0" xr:uid="{5D1FB8CF-73C1-4C7E-8FBE-3976A8784D3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2" authorId="7" shapeId="0" xr:uid="{201A6023-863D-42F7-8C01-619F9EBCDD49}">
      <text>
        <t>[Threaded comment]
Your version of Excel allows you to read this threaded comment; however, any edits to it will get removed if the file is opened in a newer version of Excel. Learn more: https://go.microsoft.com/fwlink/?linkid=870924
Comment:
    www.cbo.gov/publication/57432</t>
      </text>
    </comment>
    <comment ref="D69" authorId="8" shapeId="0" xr:uid="{CC18A84B-EEF2-4E33-B90F-C7C9FA8034BF}">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70" authorId="9" shapeId="0" xr:uid="{83C914AB-186A-4831-9B49-4F6707F4D6FB}">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71" authorId="10" shapeId="0" xr:uid="{18009A65-4DB8-47CE-A5C4-EDAFF9B38DFA}">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72" authorId="11" shapeId="0" xr:uid="{C91BE3D7-AFDF-471A-8969-790D0061A18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96" authorId="12" shapeId="0" xr:uid="{C9F89F0E-56A1-45FE-9538-D76A89DF15F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7" authorId="13" shapeId="0" xr:uid="{F26C8511-096A-4747-A95F-04E73B713683}">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8" authorId="14" shapeId="0" xr:uid="{8A467DBB-18C2-4E37-896C-25D5622B6BF2}">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<sst xmlns="http://schemas.openxmlformats.org/spreadsheetml/2006/main" count="2647" uniqueCount="1306">
  <si>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</si>
  <si>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</si>
  <si>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</si>
  <si>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</si>
  <si>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</si>
  <si>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</si>
  <si>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</si>
  <si>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</si>
  <si>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</si>
  <si>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</si>
  <si>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</si>
  <si>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</si>
  <si>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</si>
  <si>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</si>
  <si>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</si>
  <si>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</si>
  <si>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</si>
  <si>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</si>
  <si>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</si>
  <si>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</si>
  <si>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</si>
  <si>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</si>
  <si>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</si>
  <si>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</si>
  <si>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</si>
  <si>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</si>
  <si>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</si>
  <si>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</si>
  <si>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</si>
  <si>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</si>
  <si>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</si>
  <si>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</si>
  <si>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</si>
  <si>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</si>
  <si>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</si>
  <si>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</si>
  <si>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</si>
  <si>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</si>
  <si>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</si>
  <si>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</si>
  <si>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</si>
  <si>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</si>
  <si>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</si>
  <si>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</si>
  <si>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</si>
  <si>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</si>
  <si>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</si>
  <si>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</si>
  <si>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</si>
  <si>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</si>
  <si>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</si>
  <si>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</si>
  <si>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</si>
  <si>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</si>
  <si>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</si>
  <si>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</si>
  <si>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</si>
  <si>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</si>
  <si>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</si>
  <si>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</si>
  <si>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</si>
  <si>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</si>
  <si>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</si>
  <si>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</si>
  <si>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</si>
  <si>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</si>
  <si>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</si>
  <si>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</si>
  <si>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</si>
  <si>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</si>
  <si>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</si>
  <si>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</si>
  <si>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</si>
  <si>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</si>
  <si>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</si>
  <si>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</si>
  <si>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</si>
  <si>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</si>
  <si>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</si>
  <si>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</si>
  <si>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</si>
  <si>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</si>
  <si>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</si>
  <si>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</si>
  <si>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</si>
  <si>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</si>
  <si>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</si>
  <si>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</si>
  <si>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</si>
  <si>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</si>
  <si>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</si>
  <si>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</si>
  <si>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</si>
  <si>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</si>
  <si>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</si>
  <si>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</si>
  <si>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</si>
  <si>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</si>
  <si>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</si>
  <si>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</si>
  <si>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</si>
  <si>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</si>
  <si>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</si>
  <si>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</si>
  <si>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</si>
  <si>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</si>
  <si>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</si>
  <si>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</si>
  <si>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</si>
  <si>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</si>
  <si>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</si>
  <si>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</si>
  <si>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</si>
  <si>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</si>
  <si>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</si>
  <si>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</si>
  <si>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</si>
  <si>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</si>
  <si>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</si>
  <si>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</si>
  <si>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</si>
  <si>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</si>
  <si>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</si>
  <si>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</si>
  <si>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</si>
  <si>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</si>
  <si>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</si>
  <si>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</si>
  <si>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</si>
  <si>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</si>
  <si>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</si>
  <si>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</si>
  <si>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</si>
  <si>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</si>
  <si>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</si>
  <si>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</si>
  <si>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</si>
  <si>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</si>
  <si>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</si>
  <si>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</si>
  <si>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</si>
  <si>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</si>
  <si>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</si>
  <si>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</si>
  <si>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</si>
  <si>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</si>
  <si>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</si>
  <si>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</si>
  <si>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</si>
  <si>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</si>
  <si>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</si>
  <si>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</si>
  <si>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</si>
  <si>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</si>
  <si>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</si>
  <si>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</si>
  <si>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</si>
  <si>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</si>
  <si>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</si>
  <si>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</si>
  <si>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</si>
  <si>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</si>
  <si>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</si>
  <si>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</si>
  <si>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</si>
  <si>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</si>
  <si>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</si>
  <si>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</si>
  <si>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</si>
  <si>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</si>
  <si>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</si>
  <si>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</si>
  <si>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</si>
  <si>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</si>
  <si>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</si>
  <si>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</si>
  <si>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</si>
  <si>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</si>
  <si>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</si>
  <si>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</si>
  <si>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</si>
  <si>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</si>
  <si>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</si>
  <si>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</si>
  <si>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</si>
  <si>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</si>
  <si>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</si>
  <si>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</si>
  <si>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</si>
  <si>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</si>
  <si>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</si>
  <si>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</si>
  <si>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</si>
  <si>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</si>
  <si>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</si>
  <si>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</si>
  <si>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</si>
  <si>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</si>
  <si>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</si>
  <si>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</si>
  <si>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</si>
  <si>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</si>
  <si>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</si>
  <si>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</si>
  <si>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</si>
  <si>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</si>
  <si>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</si>
  <si>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</si>
  <si>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</si>
  <si>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</si>
  <si>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</si>
  <si>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</si>
  <si>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</si>
  <si>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</si>
  <si>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</si>
  <si>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</si>
  <si>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</si>
  <si>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</si>
  <si>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</si>
  <si>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</si>
  <si>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</si>
  <si>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</si>
  <si>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</si>
  <si>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</si>
  <si>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</si>
  <si>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</si>
  <si>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</si>
  <si>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</si>
  <si>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</si>
  <si>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</si>
  <si>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</si>
  <si>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</si>
  <si>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</si>
  <si>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</si>
  <si>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</si>
  <si>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</si>
  <si>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</si>
  <si>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</si>
  <si>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</si>
  <si>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</si>
  <si>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</si>
  <si>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</si>
  <si>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</si>
  <si>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</si>
  <si>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</si>
  <si>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</si>
  <si>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</si>
  <si>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</si>
  <si>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</si>
  <si>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</si>
  <si>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</si>
  <si>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</si>
  <si>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</si>
  <si>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</si>
  <si>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</si>
  <si>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</si>
  <si>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</si>
  <si>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</si>
  <si>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</si>
  <si>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</si>
  <si>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</si>
  <si>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</si>
  <si>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</si>
  <si>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</si>
  <si>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</si>
  <si>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</si>
  <si>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</si>
  <si>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</si>
  <si>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</si>
  <si>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</si>
  <si>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</si>
  <si>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</si>
  <si>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</si>
  <si>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</si>
  <si>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</si>
  <si>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</si>
  <si>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</si>
  <si>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</si>
  <si>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</si>
  <si>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</si>
  <si>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</si>
  <si>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</si>
  <si>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</si>
  <si>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</si>
  <si>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</si>
  <si>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</si>
  <si>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</si>
  <si>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</si>
  <si>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</si>
  <si>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</si>
  <si>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</si>
  <si>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</si>
  <si>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</si>
  <si>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</si>
  <si>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</si>
  <si>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</si>
  <si>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</si>
  <si>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</si>
  <si>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</si>
  <si>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</si>
  <si>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</si>
  <si>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</si>
  <si>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</si>
  <si>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</si>
  <si>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</si>
  <si>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</si>
  <si>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</si>
  <si>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</si>
  <si>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</si>
  <si>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</si>
  <si>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</si>
  <si>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</si>
  <si>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</si>
  <si>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</si>
  <si>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</si>
  <si>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</si>
  <si>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</si>
  <si>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</si>
  <si>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</si>
  <si>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</si>
  <si>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</si>
  <si>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</si>
  <si>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</si>
  <si>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</si>
  <si>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</si>
  <si>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</si>
  <si>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</si>
  <si>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</si>
  <si>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</si>
  <si>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</si>
  <si>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</si>
  <si>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</si>
  <si>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</si>
  <si>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</si>
  <si>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</si>
  <si>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</si>
  <si>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</si>
  <si>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</si>
  <si>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</si>
  <si>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</si>
  <si>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</si>
  <si>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</si>
  <si>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</si>
  <si>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</si>
  <si>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</si>
  <si>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</si>
  <si>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</si>
  <si>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</si>
  <si>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</si>
  <si>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</si>
  <si>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</si>
  <si>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</si>
  <si>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</si>
  <si>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</si>
  <si>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</si>
  <si>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</si>
  <si>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</si>
  <si>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</si>
  <si>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</si>
  <si>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</si>
  <si>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</si>
  <si>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</si>
  <si>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</si>
  <si>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</si>
  <si>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</si>
  <si>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</si>
  <si>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</si>
  <si>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</si>
  <si>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</si>
  <si>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</si>
  <si>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</si>
  <si>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</si>
  <si>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</si>
  <si>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</si>
  <si>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</si>
  <si>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</si>
  <si>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</si>
  <si>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</si>
  <si>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</si>
  <si>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</si>
  <si>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</si>
  <si>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</si>
  <si>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</si>
  <si>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</si>
  <si>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</si>
  <si>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</si>
  <si>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</si>
  <si>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</si>
  <si>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</si>
  <si>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</si>
  <si>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</si>
  <si>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</si>
  <si>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</si>
  <si>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</si>
  <si>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</si>
  <si>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</si>
  <si>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</si>
  <si>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</si>
  <si>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</si>
  <si>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</si>
  <si>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</si>
  <si>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</si>
  <si>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</si>
  <si>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</si>
  <si>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</si>
  <si>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</si>
  <si>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</si>
  <si>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</si>
  <si>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</si>
  <si>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</si>
  <si>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</si>
  <si>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</si>
  <si>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</si>
  <si>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</si>
  <si>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</si>
  <si>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</si>
  <si>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</si>
  <si>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</si>
  <si>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</si>
  <si>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</si>
  <si>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</si>
  <si>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</si>
  <si>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</si>
  <si>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</si>
  <si>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</si>
  <si>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</si>
  <si>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</si>
  <si>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</si>
  <si>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</si>
  <si>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</si>
  <si>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</si>
  <si>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</si>
  <si>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</si>
  <si>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</si>
  <si>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</si>
  <si>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</si>
  <si>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</si>
  <si>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</si>
  <si>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</si>
  <si>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</si>
  <si>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</si>
  <si>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</si>
  <si>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</si>
  <si>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</si>
  <si>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</si>
  <si>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</si>
  <si>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</si>
  <si>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</si>
  <si>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</si>
  <si>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</si>
  <si>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</si>
  <si>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</si>
  <si>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</si>
  <si>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</si>
  <si>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</si>
  <si>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</si>
  <si>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</si>
  <si>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</si>
  <si>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</si>
  <si>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</si>
  <si>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</si>
  <si>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</si>
  <si>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</si>
  <si>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</si>
  <si>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</si>
  <si>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</si>
  <si>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</si>
  <si>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</si>
  <si>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</si>
  <si>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</si>
  <si>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</si>
  <si>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</si>
  <si>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</si>
  <si>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</si>
  <si>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</si>
  <si>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</si>
  <si>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</si>
  <si>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</si>
  <si>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</si>
  <si>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</si>
  <si>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</si>
  <si>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</si>
  <si>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</si>
  <si>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</si>
  <si>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</si>
  <si>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</si>
  <si>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</si>
  <si>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</si>
  <si>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</si>
  <si>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</si>
  <si>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</si>
  <si>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</si>
  <si>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</si>
  <si>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</si>
  <si>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</si>
  <si>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</si>
  <si>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</si>
  <si>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</si>
  <si>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</si>
  <si>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</si>
  <si>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</si>
  <si>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</si>
  <si>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</si>
  <si>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</si>
  <si>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</si>
  <si>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</si>
  <si>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</si>
  <si>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</si>
  <si>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</si>
  <si>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</si>
  <si>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</si>
  <si>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</si>
  <si>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</si>
  <si>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</si>
  <si>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</si>
  <si>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</si>
  <si>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</si>
  <si>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</si>
  <si>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</si>
  <si>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</si>
  <si>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</si>
  <si>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</si>
  <si>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</si>
  <si>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</si>
  <si>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</si>
  <si>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</si>
  <si>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</si>
  <si>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</si>
  <si>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</si>
  <si>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</si>
  <si>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</si>
  <si>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</si>
  <si>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</si>
  <si>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</si>
  <si>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</si>
  <si>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</si>
  <si>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</si>
  <si>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</si>
  <si>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</si>
  <si>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</si>
  <si>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</si>
  <si>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</si>
  <si>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</si>
  <si>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</si>
  <si>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</si>
  <si>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</si>
  <si>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</si>
  <si>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</si>
  <si>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</si>
  <si>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</si>
  <si>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</si>
  <si>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</si>
  <si>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</si>
  <si>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</si>
  <si>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</si>
  <si>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</si>
  <si>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</si>
  <si>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</si>
  <si>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</si>
  <si>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</si>
  <si>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</si>
  <si>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</si>
  <si>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</si>
  <si>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</si>
  <si>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</si>
  <si>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</si>
  <si>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</si>
  <si>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</si>
  <si>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</si>
  <si>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</si>
  <si>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</si>
  <si>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</si>
  <si>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</si>
  <si>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</si>
  <si>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</si>
  <si>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</si>
  <si>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</si>
  <si>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</si>
  <si>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</si>
  <si>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</si>
  <si>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</si>
  <si>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</si>
  <si>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</si>
  <si>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</si>
  <si>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</si>
  <si>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</si>
  <si>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</si>
  <si>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</si>
  <si>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</si>
  <si>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</si>
  <si>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</si>
  <si>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</si>
  <si>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</si>
  <si>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</si>
  <si>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</si>
  <si>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</si>
  <si>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</si>
  <si>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</si>
  <si>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</si>
  <si>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</si>
  <si>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</si>
  <si>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</si>
  <si>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</si>
  <si>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</si>
  <si>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</si>
  <si>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</si>
  <si>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</si>
  <si>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</si>
  <si>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</si>
  <si>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</si>
  <si>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</si>
  <si>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</si>
  <si>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</si>
  <si>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</si>
  <si>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</si>
  <si>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</si>
  <si>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</si>
  <si>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</si>
  <si>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</si>
  <si>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</si>
  <si>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</si>
  <si>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</si>
  <si>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</si>
  <si>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</si>
  <si>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</si>
  <si>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</si>
  <si>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</si>
  <si>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</si>
  <si>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</si>
  <si>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</si>
  <si>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</si>
  <si>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</si>
  <si>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</si>
  <si>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</si>
  <si>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</si>
  <si>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</si>
  <si>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</si>
  <si>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</si>
  <si>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</si>
  <si>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</si>
  <si>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</si>
  <si>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</si>
  <si>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</si>
  <si>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</si>
  <si>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</si>
  <si>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</si>
  <si>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</si>
  <si>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</si>
  <si>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</si>
  <si>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</si>
  <si>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</si>
  <si>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</si>
  <si>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</si>
  <si>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</si>
  <si>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</si>
  <si>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</si>
  <si>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</si>
  <si>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</si>
  <si>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</si>
  <si>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</si>
  <si>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</si>
  <si>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</si>
  <si>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</si>
  <si>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</si>
  <si>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</si>
  <si>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</si>
  <si>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</si>
  <si>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</si>
  <si>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</si>
  <si>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</si>
  <si>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</si>
  <si>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</si>
  <si>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</si>
  <si>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</si>
  <si>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</si>
  <si>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</si>
  <si>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</si>
  <si>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</si>
  <si>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</si>
  <si>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</si>
  <si>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</si>
  <si>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</si>
  <si>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</si>
  <si>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</si>
  <si>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</si>
  <si>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</si>
  <si>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</si>
  <si>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</si>
  <si>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</si>
  <si>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</si>
  <si>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</si>
  <si>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</si>
  <si>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</si>
  <si>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</si>
  <si>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</si>
  <si>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</si>
  <si>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</si>
  <si>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</si>
  <si>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</si>
  <si>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</si>
  <si>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</si>
  <si>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</si>
  <si>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</si>
  <si>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</si>
  <si>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</si>
  <si>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</si>
  <si>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</si>
  <si>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</si>
  <si>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</si>
  <si>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</si>
  <si>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</si>
  <si>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</si>
  <si>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</si>
  <si>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</si>
  <si>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</si>
  <si>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</si>
  <si>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</si>
  <si>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</si>
  <si>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</si>
  <si>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</si>
  <si>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</si>
  <si>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</si>
  <si>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</si>
  <si>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</si>
  <si>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</si>
  <si>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</si>
  <si>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</si>
  <si>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</si>
  <si>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</si>
  <si>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</si>
  <si>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</si>
  <si>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</si>
  <si>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</si>
  <si>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</si>
  <si>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</si>
  <si>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</si>
  <si>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</si>
  <si>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</si>
  <si>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</si>
  <si>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</si>
  <si>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</si>
  <si>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</si>
  <si>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</si>
  <si>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</si>
  <si>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</si>
  <si>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</si>
  <si>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</si>
  <si>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</si>
  <si>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</si>
  <si>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</si>
  <si>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</si>
  <si>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</si>
  <si>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</si>
  <si>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</si>
  <si>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</si>
  <si>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</si>
  <si>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</si>
  <si>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</si>
  <si>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</si>
  <si>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</si>
  <si>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</si>
  <si>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</si>
  <si>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</si>
  <si>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</si>
  <si>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</si>
  <si>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</si>
  <si>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</si>
  <si>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</si>
  <si>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</si>
  <si>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</si>
  <si>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</si>
  <si>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</si>
  <si>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</si>
  <si>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</si>
  <si>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</si>
  <si>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</si>
  <si>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</si>
  <si>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</si>
  <si>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</si>
  <si>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</si>
  <si>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</si>
  <si>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</si>
  <si>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</si>
  <si>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</si>
  <si>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</si>
  <si>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</si>
  <si>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</si>
  <si>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</si>
  <si>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</si>
  <si>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</si>
  <si>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</si>
  <si>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</si>
  <si>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</si>
  <si>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</si>
  <si>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</si>
  <si>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</si>
  <si>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</si>
  <si>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</si>
  <si>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</si>
  <si>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</si>
  <si>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</si>
  <si>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</si>
  <si>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</si>
  <si>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</si>
  <si>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</si>
  <si>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</si>
  <si>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</si>
  <si>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</si>
  <si>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</si>
  <si>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</si>
  <si>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</si>
  <si>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</si>
  <si>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</si>
  <si>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</si>
  <si>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</si>
  <si>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</si>
  <si>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</si>
  <si>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</si>
  <si>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</si>
  <si>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</si>
  <si>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</si>
  <si>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</si>
  <si>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</si>
  <si>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</si>
  <si>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</si>
  <si>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</si>
  <si>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</si>
  <si>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</si>
  <si>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</si>
  <si>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</si>
  <si>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</si>
  <si>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</si>
  <si>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</si>
  <si>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</si>
  <si>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</si>
  <si>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</si>
  <si>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</si>
  <si>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</si>
  <si>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</si>
  <si>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</si>
  <si>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</si>
  <si>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</si>
  <si>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</si>
  <si>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</si>
  <si>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</si>
  <si>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</si>
  <si>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</si>
  <si>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</si>
  <si>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</si>
  <si>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</si>
  <si>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</si>
  <si>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</si>
  <si>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</si>
  <si>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</si>
  <si>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</si>
  <si>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</si>
  <si>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</si>
  <si>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</si>
  <si>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</si>
  <si>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</si>
  <si>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</si>
  <si>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</si>
  <si>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</si>
  <si>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</si>
  <si>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</si>
  <si>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</si>
  <si>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</si>
  <si>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</si>
  <si>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</si>
  <si>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</si>
  <si>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</si>
  <si>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</si>
  <si>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</si>
  <si>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</si>
  <si>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</si>
  <si>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</si>
  <si>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</si>
  <si>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</si>
  <si>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</si>
  <si>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</si>
  <si>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</si>
  <si>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</si>
  <si>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</si>
  <si>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</si>
  <si>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</si>
  <si>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</si>
  <si>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</si>
  <si>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</si>
  <si>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</si>
  <si>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</si>
  <si>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</si>
  <si>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</si>
  <si>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</si>
  <si>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</si>
  <si>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</si>
  <si>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</si>
  <si>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</si>
  <si>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</si>
  <si>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</si>
  <si>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</si>
  <si>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</si>
  <si>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</si>
  <si>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</si>
  <si>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</si>
  <si>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</si>
  <si>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</si>
  <si>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</si>
  <si>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</si>
  <si>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</si>
  <si>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</si>
  <si>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</si>
  <si>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</si>
  <si>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</si>
  <si>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</si>
  <si>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</si>
  <si>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</si>
  <si>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</si>
  <si>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</si>
  <si>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</si>
  <si>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</si>
  <si>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</si>
  <si>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</si>
  <si>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</si>
  <si>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</si>
  <si>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</si>
  <si>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</si>
  <si>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</si>
  <si>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</si>
  <si>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</si>
  <si>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</si>
  <si>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</si>
  <si>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</si>
  <si>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</si>
  <si>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</si>
  <si>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</si>
  <si>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</si>
  <si>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</si>
  <si>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</si>
  <si>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</si>
  <si>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</si>
  <si>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</si>
  <si>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</si>
  <si>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</si>
  <si>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</si>
  <si>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</si>
  <si>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</si>
  <si>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</si>
  <si>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</si>
  <si>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</si>
  <si>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</si>
  <si>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</si>
  <si>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</si>
  <si>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</si>
  <si>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</si>
  <si>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</si>
  <si>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</si>
  <si>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</si>
  <si>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</si>
  <si>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</si>
  <si>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</si>
  <si>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</si>
  <si>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</si>
  <si>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</si>
  <si>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</si>
  <si>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</si>
  <si>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</si>
  <si>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</si>
  <si>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</si>
  <si>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</si>
  <si>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</si>
  <si>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</si>
  <si>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</si>
  <si>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</si>
  <si>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</si>
  <si>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</si>
  <si>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</si>
  <si>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</si>
  <si>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</si>
  <si>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</si>
  <si>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</si>
  <si>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</si>
  <si>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</si>
  <si>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</si>
  <si>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</si>
  <si>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</si>
  <si>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</si>
  <si>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</si>
  <si>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</si>
  <si>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</si>
  <si>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</si>
  <si>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</si>
  <si>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</si>
  <si>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</si>
  <si>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</si>
  <si>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</si>
  <si>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</si>
  <si>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</si>
  <si>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</si>
  <si>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</si>
  <si>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</si>
  <si>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</si>
  <si>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</si>
  <si>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</si>
  <si>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</si>
  <si>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</si>
  <si>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</si>
  <si>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</si>
  <si>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</si>
  <si>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</si>
  <si>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</si>
  <si>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</si>
  <si>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</si>
  <si>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</si>
  <si>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</si>
  <si>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</si>
  <si>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</si>
  <si>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</si>
  <si>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</si>
  <si>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</si>
  <si>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</si>
  <si>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</si>
  <si>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</si>
  <si>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</si>
  <si>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</si>
  <si>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</si>
  <si>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</si>
  <si>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</si>
  <si>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</si>
  <si>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</si>
  <si>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</si>
  <si>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</si>
  <si>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</si>
  <si>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</si>
  <si>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</si>
  <si>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</si>
  <si>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</si>
  <si>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</si>
  <si>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</si>
  <si>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</si>
  <si>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</si>
  <si>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</si>
  <si>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</si>
  <si>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</si>
  <si>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</si>
  <si>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</si>
  <si>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</si>
  <si>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</si>
  <si>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</si>
  <si>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</si>
  <si>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</si>
  <si>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</si>
  <si>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</si>
  <si>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</si>
  <si>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</si>
  <si>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</si>
  <si>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</si>
  <si>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</si>
  <si>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</si>
  <si>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</si>
  <si>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</si>
  <si>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</si>
  <si>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</si>
  <si>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</si>
  <si>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</si>
  <si>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</si>
  <si>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</si>
  <si>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</si>
  <si>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</si>
  <si>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</si>
  <si>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</si>
  <si>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</si>
  <si>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</si>
  <si>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</si>
  <si>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</si>
  <si>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</si>
  <si>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</si>
  <si>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</si>
  <si>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</si>
  <si>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</si>
  <si>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</si>
  <si>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</si>
  <si>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</si>
  <si>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</si>
  <si>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</si>
  <si>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</si>
  <si>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</si>
  <si>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</si>
  <si>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</si>
  <si>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</si>
  <si>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</si>
  <si>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</si>
  <si>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</si>
  <si>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</si>
  <si>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</si>
  <si>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</si>
  <si>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</si>
  <si>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</si>
  <si>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</si>
  <si>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</si>
  <si>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</si>
  <si>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</si>
  <si>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</si>
  <si>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</si>
  <si>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</si>
  <si>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</si>
  <si>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</si>
  <si>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</si>
  <si>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</si>
  <si>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</si>
  <si>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</si>
  <si>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</si>
  <si>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</si>
  <si>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</si>
  <si>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</si>
  <si>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</si>
  <si>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</si>
  <si>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</si>
  <si>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</si>
  <si>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</si>
  <si>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</si>
  <si>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</si>
  <si>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</si>
  <si>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</si>
  <si>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</si>
  <si>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</si>
  <si>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</si>
  <si>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</si>
  <si>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</si>
  <si>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</si>
  <si>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</si>
  <si>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</si>
  <si>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</si>
  <si>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</si>
  <si>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</si>
  <si>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</si>
  <si>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</si>
  <si>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</si>
  <si>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</si>
  <si>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</si>
  <si>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</si>
  <si>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</si>
  <si>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</si>
  <si>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</si>
  <si>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</si>
  <si>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</si>
  <si>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</si>
  <si>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</si>
  <si>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</si>
  <si>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</si>
  <si>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</si>
  <si>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</si>
  <si>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</si>
  <si>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</si>
  <si>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</si>
  <si>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</si>
  <si>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</si>
  <si>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</si>
  <si>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</si>
  <si>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</si>
  <si>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</si>
  <si>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</si>
  <si>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</si>
  <si>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</si>
  <si>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</si>
  <si>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</si>
  <si>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</si>
  <si>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</si>
  <si>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</si>
  <si>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</si>
  <si>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</si>
  <si>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</si>
  <si>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</si>
  <si>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</si>
  <si>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</si>
  <si>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</si>
  <si>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</si>
  <si>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</si>
  <si>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</si>
  <si>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</si>
  <si>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</si>
  <si>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</si>
  <si>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</si>
  <si>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</si>
  <si>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</si>
  <si>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</si>
  <si>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</si>
  <si>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</si>
  <si>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</si>
  <si>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</si>
  <si>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</si>
  <si>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</si>
  <si>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</si>
  <si>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</si>
  <si>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</si>
  <si>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</si>
  <si>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</si>
  <si>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</si>
  <si>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</si>
  <si>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</si>
  <si>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</si>
  <si>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</si>
  <si>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</si>
  <si>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</si>
  <si>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</si>
  <si>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</si>
  <si>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</si>
  <si>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</si>
  <si>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</si>
  <si>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</si>
  <si>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</si>
  <si>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</si>
  <si>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</si>
  <si>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</si>
  <si>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</si>
  <si>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</si>
  <si>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</si>
  <si>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</si>
  <si>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</si>
  <si>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</si>
  <si>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</si>
  <si>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</si>
  <si>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</si>
  <si>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</si>
  <si>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</si>
  <si>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</si>
  <si>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</si>
  <si>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</si>
  <si>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</si>
  <si>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</si>
  <si>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</si>
  <si>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</si>
  <si>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</si>
  <si>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</si>
  <si>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</si>
  <si>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</si>
  <si>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</si>
  <si>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</si>
  <si>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</si>
  <si>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</si>
  <si>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</si>
  <si>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</si>
  <si>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</si>
  <si>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</si>
  <si>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</si>
  <si>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</si>
  <si>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</si>
  <si>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</si>
  <si>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</si>
  <si>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</si>
  <si>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</si>
  <si>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</si>
  <si>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</si>
  <si>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</si>
  <si>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</si>
  <si>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</si>
  <si>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CBO NIPA Translation Social Benefits</t>
  </si>
  <si>
    <t>comparing our federal to CBO</t>
  </si>
  <si>
    <t>CBO NIPA</t>
  </si>
  <si>
    <t>Ratio of us to CBO</t>
  </si>
  <si>
    <t>Table 3.2. Federal Government Current Receipts and Expenditures</t>
  </si>
  <si>
    <t>[Billions of dollars] Seasonally adjusted at annual rates</t>
  </si>
  <si>
    <t>Bureau of Economic Analysis</t>
  </si>
  <si>
    <t>Last Revised on: October 28, 2021 - Next Release Date November 24, 2021</t>
  </si>
  <si>
    <t>Line</t>
  </si>
  <si>
    <t>2019</t>
  </si>
  <si>
    <t>2020</t>
  </si>
  <si>
    <t>1</t>
  </si>
  <si>
    <t xml:space="preserve">        Current receipts</t>
  </si>
  <si>
    <t>---</t>
  </si>
  <si>
    <t>2</t>
  </si>
  <si>
    <t>Current tax receipts</t>
  </si>
  <si>
    <t>3</t>
  </si>
  <si>
    <t xml:space="preserve">    Personal current taxes1</t>
  </si>
  <si>
    <t>4</t>
  </si>
  <si>
    <t xml:space="preserve">    Taxes on production and imports2</t>
  </si>
  <si>
    <t>5</t>
  </si>
  <si>
    <t xml:space="preserve">        Excise taxes</t>
  </si>
  <si>
    <t>6</t>
  </si>
  <si>
    <t xml:space="preserve">        Customs duties</t>
  </si>
  <si>
    <t>7</t>
  </si>
  <si>
    <t xml:space="preserve">        Other</t>
  </si>
  <si>
    <t>8</t>
  </si>
  <si>
    <t xml:space="preserve">    Taxes on corporate income</t>
  </si>
  <si>
    <t>9</t>
  </si>
  <si>
    <t xml:space="preserve">    Taxes from the rest of the world</t>
  </si>
  <si>
    <t>10</t>
  </si>
  <si>
    <t>Contributions for government social insurance</t>
  </si>
  <si>
    <t>11</t>
  </si>
  <si>
    <t xml:space="preserve">    From persons</t>
  </si>
  <si>
    <t>12</t>
  </si>
  <si>
    <t xml:space="preserve">    From the rest of the world3</t>
  </si>
  <si>
    <t>FY Averages</t>
  </si>
  <si>
    <t>ours</t>
  </si>
  <si>
    <t>Add Factor on Other ARP aid to S+L to match data and CBO rather than our disbursement assumptions</t>
  </si>
  <si>
    <t>Growth rate other grants</t>
  </si>
  <si>
    <t>Add factor for the Bipartisan Infrastructure Billl</t>
  </si>
  <si>
    <t>Add factor for the Bipartisan Infrastructure Bill</t>
  </si>
  <si>
    <t>Question for Louise-- why do we have January 2020 CBO forecast here? What is this from?</t>
  </si>
  <si>
    <t>CBO NIPA Translation less our Medicare</t>
  </si>
  <si>
    <t>FIM Social Benefits less Medicare</t>
  </si>
  <si>
    <t>Growth rate to make our benefits equal to CBO's NIPA consistent benefits from the CBO NIPA comparison</t>
  </si>
  <si>
    <t>November 2021 CBO NIPA (Fiscal Years)</t>
  </si>
  <si>
    <t>Growth rates to make our FY averages match CBO NIPA's (the 1's to the right of them are the ration of our FY to CBO NIPA's)</t>
  </si>
  <si>
    <t>Comparing CBO NIPA's FYs to our FYs:</t>
  </si>
  <si>
    <t>CBO NIPA's</t>
  </si>
  <si>
    <t>Our Tax Projections in Fiscal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</si>
</sst>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7"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10"/>
      <name val="Arial"/>
    </font>
    <font>
      <b/>
      <sz val="10"/>
      <color indexed="9"/>
      <name val="Arial"/>
    </font>
    <font>
      <b/>
      <sz val="14"/>
      <name val="Arial"/>
    </font>
    <font>
      <sz val="13"/>
      <name val="Arial"/>
    </font>
    <font>
      <b/>
      <sz val="10"/>
      <name val="Arial"/>
    </font>
    <font>
      <u/>
      <sz val="11"/>
      <name val="Arial"/>
      <family val="2"/>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5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top style="thin">
        <color indexed="64"/>
      </top>
      <bottom/>
      <diagonal/>
    </border>
    <border>
      <left style="thin">
        <color indexed="64"/>
      </left>
      <right/>
      <top/>
      <bottom style="thin">
        <color auto="1"/>
      </bottom>
      <diagonal/>
    </border>
    <border>
      <left/>
      <right style="thin">
        <color indexed="64"/>
      </right>
      <top/>
      <bottom style="thin">
        <color auto="1"/>
      </bottom>
      <diagonal/>
    </border>
    <border>
      <left/>
      <right/>
      <top style="thin">
        <color indexed="64"/>
      </top>
      <bottom/>
      <diagonal/>
    </border>
    <border>
      <left/>
      <right/>
      <top/>
      <bottom style="thin">
        <color indexed="64"/>
      </bottom>
      <diagonal/>
    </border>
  </borders>
  <cellStyleXfs count="527">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xf numFmtId="0" fontId="91" fillId="0" borderId="0"/>
  </cellStyleXfs>
  <cellXfs count="1297">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3" fontId="50" fillId="0" borderId="0" xfId="0" quotePrefix="1" applyNumberFormat="1" applyFont="1" applyAlignment="1">
      <alignment horizontal="center"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15" fillId="0" borderId="1" xfId="0" applyFont="1" applyBorder="1" applyAlignment="1">
      <alignment horizontal="left" wrapText="1" indent="3"/>
    </xf>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0" borderId="0" xfId="0" applyFont="1" applyAlignment="1">
      <alignment horizontal="center"/>
    </xf>
    <xf numFmtId="0" fontId="49" fillId="0" borderId="0" xfId="0" applyFont="1" applyAlignment="1">
      <alignment horizontal="center"/>
    </xf>
    <xf numFmtId="0" fontId="49" fillId="0" borderId="0" xfId="0" applyFont="1" applyAlignment="1">
      <alignment horizontal="center" vertical="top" wrapText="1"/>
    </xf>
    <xf numFmtId="0" fontId="15" fillId="44" borderId="0" xfId="0" applyFont="1" applyFill="1" applyAlignment="1">
      <alignment horizontal="center"/>
    </xf>
    <xf numFmtId="0" fontId="49" fillId="0" borderId="21" xfId="0" applyFont="1" applyBorder="1" applyAlignment="1">
      <alignment horizontal="center"/>
    </xf>
    <xf numFmtId="0" fontId="63" fillId="51" borderId="20" xfId="0" applyFont="1" applyFill="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21" fillId="62" borderId="24" xfId="0" applyFont="1" applyFill="1" applyBorder="1" applyAlignment="1">
      <alignment horizontal="center"/>
    </xf>
    <xf numFmtId="0" fontId="21" fillId="62" borderId="25" xfId="0" applyFont="1" applyFill="1" applyBorder="1" applyAlignment="1">
      <alignment horizontal="center"/>
    </xf>
    <xf numFmtId="4" fontId="21" fillId="62" borderId="0" xfId="11" applyNumberFormat="1" applyFont="1" applyFill="1" applyAlignment="1">
      <alignment horizontal="center"/>
    </xf>
    <xf numFmtId="168" fontId="15" fillId="52" borderId="15" xfId="0" applyNumberFormat="1" applyFont="1" applyFill="1" applyBorder="1" applyAlignment="1">
      <alignment horizontal="center"/>
    </xf>
    <xf numFmtId="9" fontId="21" fillId="0" borderId="0" xfId="2" applyFont="1"/>
    <xf numFmtId="1" fontId="15" fillId="0" borderId="0" xfId="0" applyNumberFormat="1" applyFont="1" applyAlignment="1">
      <alignment wrapText="1"/>
    </xf>
    <xf numFmtId="0" fontId="91" fillId="0" borderId="0" xfId="526"/>
    <xf numFmtId="0" fontId="95" fillId="0" borderId="0" xfId="526" applyFont="1"/>
    <xf numFmtId="0" fontId="92" fillId="51" borderId="46" xfId="526" applyFon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quotePrefix="1" applyNumberFormat="1" applyFont="1" applyBorder="1" applyAlignment="1">
      <alignment horizontal="center" vertical="top" wrapText="1"/>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175" fontId="15" fillId="0" borderId="0" xfId="0" applyNumberFormat="1" applyFont="1" applyBorder="1" applyAlignment="1">
      <alignment horizontal="center" vertical="top" wrapText="1"/>
    </xf>
    <xf numFmtId="166" fontId="15" fillId="44" borderId="0" xfId="0" applyNumberFormat="1" applyFont="1" applyFill="1" applyBorder="1" applyAlignment="1">
      <alignment horizontal="center"/>
    </xf>
    <xf numFmtId="164" fontId="21" fillId="44" borderId="0" xfId="0" applyNumberFormat="1" applyFont="1" applyFill="1" applyAlignment="1">
      <alignment horizontal="center"/>
    </xf>
    <xf numFmtId="3" fontId="15" fillId="50" borderId="2" xfId="0" applyNumberFormat="1" applyFont="1" applyFill="1" applyBorder="1" applyAlignment="1">
      <alignment horizontal="center" wrapText="1"/>
    </xf>
    <xf numFmtId="0" fontId="15" fillId="0" borderId="18" xfId="0" applyFont="1" applyBorder="1" applyAlignment="1">
      <alignment horizontal="left" wrapText="1" indent="6"/>
    </xf>
    <xf numFmtId="0" fontId="15" fillId="0" borderId="0" xfId="0" applyFont="1" applyBorder="1"/>
    <xf numFmtId="3" fontId="15" fillId="0" borderId="1" xfId="0" applyNumberFormat="1" applyFont="1" applyBorder="1"/>
    <xf numFmtId="3" fontId="21" fillId="0" borderId="0" xfId="0" applyNumberFormat="1" applyFont="1" applyBorder="1"/>
    <xf numFmtId="3" fontId="21" fillId="0" borderId="4" xfId="0" applyNumberFormat="1" applyFont="1" applyBorder="1"/>
    <xf numFmtId="0" fontId="15" fillId="0" borderId="53" xfId="0" applyFont="1" applyBorder="1"/>
    <xf numFmtId="168" fontId="15" fillId="0" borderId="56" xfId="0" applyNumberFormat="1" applyFont="1" applyBorder="1"/>
    <xf numFmtId="168" fontId="15" fillId="0" borderId="54" xfId="0" applyNumberFormat="1" applyFont="1" applyBorder="1"/>
    <xf numFmtId="0" fontId="49" fillId="50" borderId="26" xfId="0" applyFont="1" applyFill="1" applyBorder="1"/>
    <xf numFmtId="0" fontId="49" fillId="50" borderId="23" xfId="0" applyFont="1" applyFill="1" applyBorder="1"/>
    <xf numFmtId="0" fontId="49" fillId="50" borderId="24" xfId="0" applyFont="1" applyFill="1" applyBorder="1"/>
    <xf numFmtId="0" fontId="49" fillId="50" borderId="25" xfId="0" applyFont="1" applyFill="1" applyBorder="1"/>
    <xf numFmtId="0" fontId="15" fillId="50" borderId="19" xfId="0" applyFont="1" applyFill="1" applyBorder="1" applyAlignment="1">
      <alignment horizontal="left"/>
    </xf>
    <xf numFmtId="3" fontId="65" fillId="50" borderId="1" xfId="0" applyNumberFormat="1" applyFont="1" applyFill="1" applyBorder="1"/>
    <xf numFmtId="3" fontId="65" fillId="50" borderId="0" xfId="0" applyNumberFormat="1" applyFont="1" applyFill="1" applyBorder="1"/>
    <xf numFmtId="3" fontId="65" fillId="50" borderId="4" xfId="0" applyNumberFormat="1" applyFont="1" applyFill="1" applyBorder="1"/>
    <xf numFmtId="0" fontId="15" fillId="50" borderId="19" xfId="0" applyFont="1" applyFill="1" applyBorder="1"/>
    <xf numFmtId="0" fontId="15" fillId="50" borderId="1" xfId="0" applyFont="1" applyFill="1" applyBorder="1"/>
    <xf numFmtId="0" fontId="15" fillId="50" borderId="0" xfId="0" applyFont="1" applyFill="1" applyBorder="1"/>
    <xf numFmtId="0" fontId="15" fillId="50" borderId="4" xfId="0" applyFont="1" applyFill="1" applyBorder="1"/>
    <xf numFmtId="3" fontId="15" fillId="50" borderId="1" xfId="0" applyNumberFormat="1" applyFont="1" applyFill="1" applyBorder="1"/>
    <xf numFmtId="3" fontId="15" fillId="50" borderId="0" xfId="0" applyNumberFormat="1" applyFont="1" applyFill="1" applyBorder="1"/>
    <xf numFmtId="3" fontId="15" fillId="50" borderId="4" xfId="0" applyNumberFormat="1" applyFont="1" applyFill="1" applyBorder="1"/>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9" fontId="50" fillId="0" borderId="0" xfId="2"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0" fontId="50" fillId="0" borderId="0" xfId="0" applyFont="1" applyFill="1"/>
    <xf numFmtId="1" fontId="15" fillId="0" borderId="0" xfId="0" applyNumberFormat="1" applyFont="1" applyBorder="1" applyAlignment="1">
      <alignment wrapText="1"/>
    </xf>
    <xf numFmtId="168" fontId="15" fillId="0" borderId="0" xfId="0" applyNumberFormat="1" applyFont="1" applyBorder="1" applyAlignment="1">
      <alignment wrapText="1"/>
    </xf>
    <xf numFmtId="0" fontId="49" fillId="0" borderId="0" xfId="0" applyFont="1" applyFill="1" applyBorder="1" applyAlignment="1">
      <alignment horizontal="center"/>
    </xf>
    <xf numFmtId="1" fontId="15" fillId="0" borderId="0" xfId="0" applyNumberFormat="1" applyFont="1" applyFill="1" applyBorder="1" applyAlignment="1">
      <alignment wrapText="1"/>
    </xf>
    <xf numFmtId="168" fontId="15" fillId="0" borderId="0" xfId="0" applyNumberFormat="1" applyFont="1" applyFill="1" applyBorder="1" applyAlignment="1">
      <alignment wrapText="1"/>
    </xf>
    <xf numFmtId="171" fontId="55" fillId="0" borderId="0" xfId="0" applyNumberFormat="1" applyFont="1" applyBorder="1" applyAlignment="1">
      <alignment horizontal="center"/>
    </xf>
    <xf numFmtId="3" fontId="21" fillId="44" borderId="0" xfId="0" applyNumberFormat="1" applyFont="1" applyFill="1" applyAlignment="1">
      <alignment horizontal="center"/>
    </xf>
    <xf numFmtId="0" fontId="15" fillId="0" borderId="53" xfId="0" applyFont="1" applyBorder="1" applyAlignment="1">
      <alignment horizontal="left" indent="1"/>
    </xf>
    <xf numFmtId="3" fontId="21" fillId="0" borderId="0" xfId="0" applyNumberFormat="1" applyFont="1" applyFill="1" applyBorder="1" applyAlignment="1">
      <alignment horizontal="center"/>
    </xf>
    <xf numFmtId="3" fontId="96" fillId="0" borderId="0" xfId="0" applyNumberFormat="1" applyFont="1" applyBorder="1"/>
    <xf numFmtId="1" fontId="15" fillId="0" borderId="4" xfId="0" applyNumberFormat="1" applyFont="1" applyBorder="1" applyAlignment="1">
      <alignment wrapText="1"/>
    </xf>
    <xf numFmtId="9" fontId="21" fillId="0" borderId="0" xfId="2" applyFont="1" applyBorder="1"/>
    <xf numFmtId="168" fontId="15" fillId="0" borderId="4" xfId="0" applyNumberFormat="1" applyFont="1" applyBorder="1" applyAlignment="1">
      <alignment wrapText="1"/>
    </xf>
    <xf numFmtId="9" fontId="21" fillId="0" borderId="56" xfId="2" applyFont="1" applyBorder="1"/>
    <xf numFmtId="168" fontId="15" fillId="0" borderId="56" xfId="0" applyNumberFormat="1" applyFont="1" applyBorder="1" applyAlignment="1">
      <alignment wrapText="1"/>
    </xf>
    <xf numFmtId="168" fontId="15" fillId="0" borderId="54" xfId="0" applyNumberFormat="1" applyFont="1" applyBorder="1" applyAlignment="1">
      <alignment wrapText="1"/>
    </xf>
    <xf numFmtId="9" fontId="21" fillId="0" borderId="55" xfId="2" applyFont="1" applyBorder="1"/>
    <xf numFmtId="168" fontId="15" fillId="0" borderId="55" xfId="0" applyNumberFormat="1" applyFont="1" applyBorder="1" applyAlignment="1">
      <alignment wrapText="1"/>
    </xf>
    <xf numFmtId="168" fontId="15" fillId="0" borderId="45" xfId="0" applyNumberFormat="1" applyFont="1" applyBorder="1" applyAlignment="1">
      <alignment wrapText="1"/>
    </xf>
    <xf numFmtId="1" fontId="15" fillId="0" borderId="1" xfId="0" applyNumberFormat="1" applyFont="1" applyBorder="1" applyAlignment="1">
      <alignment wrapText="1"/>
    </xf>
    <xf numFmtId="168" fontId="15" fillId="0" borderId="44" xfId="0" applyNumberFormat="1" applyFont="1" applyBorder="1" applyAlignment="1">
      <alignment wrapText="1"/>
    </xf>
    <xf numFmtId="168" fontId="15" fillId="0" borderId="1" xfId="0" applyNumberFormat="1" applyFont="1" applyBorder="1" applyAlignment="1">
      <alignment wrapText="1"/>
    </xf>
    <xf numFmtId="168" fontId="15" fillId="0" borderId="53" xfId="0" applyNumberFormat="1" applyFont="1" applyBorder="1" applyAlignment="1">
      <alignment wrapText="1"/>
    </xf>
    <xf numFmtId="0" fontId="49" fillId="52" borderId="53" xfId="0" applyFont="1" applyFill="1" applyBorder="1" applyAlignment="1">
      <alignment horizontal="center"/>
    </xf>
    <xf numFmtId="0" fontId="49" fillId="52" borderId="56" xfId="0" applyFont="1" applyFill="1" applyBorder="1" applyAlignment="1">
      <alignment horizontal="center"/>
    </xf>
    <xf numFmtId="0" fontId="49" fillId="52" borderId="54" xfId="0" applyFont="1" applyFill="1" applyBorder="1" applyAlignment="1">
      <alignment horizontal="center"/>
    </xf>
    <xf numFmtId="164" fontId="50" fillId="0" borderId="0" xfId="0" applyNumberFormat="1" applyFont="1" applyFill="1" applyBorder="1" applyAlignment="1">
      <alignment vertical="top" wrapText="1"/>
    </xf>
    <xf numFmtId="3" fontId="50" fillId="0" borderId="53" xfId="0" quotePrefix="1" applyNumberFormat="1" applyFont="1" applyBorder="1" applyAlignment="1">
      <alignment vertical="top" wrapText="1"/>
    </xf>
    <xf numFmtId="3" fontId="50" fillId="0" borderId="56" xfId="0" quotePrefix="1" applyNumberFormat="1" applyFont="1" applyBorder="1" applyAlignment="1">
      <alignment vertical="top" wrapText="1"/>
    </xf>
    <xf numFmtId="0" fontId="49" fillId="0" borderId="56" xfId="0" applyFont="1" applyBorder="1" applyAlignment="1">
      <alignment horizontal="center"/>
    </xf>
    <xf numFmtId="0" fontId="49" fillId="44" borderId="56" xfId="0"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62" borderId="2" xfId="0" applyFont="1" applyFill="1" applyBorder="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164" fontId="49" fillId="0" borderId="23" xfId="0" applyNumberFormat="1" applyFont="1" applyFill="1" applyBorder="1" applyAlignment="1">
      <alignment horizontal="center" vertical="top" wrapText="1"/>
    </xf>
    <xf numFmtId="164" fontId="49" fillId="0" borderId="24" xfId="0" applyNumberFormat="1" applyFont="1" applyFill="1" applyBorder="1" applyAlignment="1">
      <alignment horizontal="center" vertical="top" wrapText="1"/>
    </xf>
    <xf numFmtId="164" fontId="49" fillId="0" borderId="25" xfId="0" applyNumberFormat="1" applyFont="1" applyFill="1" applyBorder="1" applyAlignment="1">
      <alignment horizontal="center" vertical="top" wrapText="1"/>
    </xf>
    <xf numFmtId="164" fontId="49" fillId="50" borderId="23" xfId="0" applyNumberFormat="1" applyFont="1" applyFill="1" applyBorder="1" applyAlignment="1">
      <alignment horizontal="center" vertical="top" wrapText="1"/>
    </xf>
    <xf numFmtId="164" fontId="49" fillId="50" borderId="24" xfId="0" applyNumberFormat="1" applyFont="1" applyFill="1" applyBorder="1" applyAlignment="1">
      <alignment horizontal="center" vertical="top" wrapText="1"/>
    </xf>
    <xf numFmtId="164" fontId="49" fillId="50" borderId="25" xfId="0" applyNumberFormat="1" applyFont="1" applyFill="1" applyBorder="1" applyAlignment="1">
      <alignment horizontal="center" vertical="top" wrapText="1"/>
    </xf>
    <xf numFmtId="0" fontId="15" fillId="0" borderId="44" xfId="0" applyFont="1" applyBorder="1" applyAlignment="1">
      <alignment horizontal="left" vertical="center" wrapText="1"/>
    </xf>
    <xf numFmtId="0" fontId="15" fillId="0" borderId="55"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Border="1" applyAlignment="1">
      <alignment horizontal="left" vertical="center" wrapText="1"/>
    </xf>
    <xf numFmtId="0" fontId="15" fillId="0" borderId="53" xfId="0" applyFont="1" applyBorder="1" applyAlignment="1">
      <alignment horizontal="left" vertical="center" wrapText="1"/>
    </xf>
    <xf numFmtId="0" fontId="15" fillId="0" borderId="56" xfId="0" applyFont="1" applyBorder="1" applyAlignment="1">
      <alignment horizontal="left" vertical="center" wrapText="1"/>
    </xf>
    <xf numFmtId="0" fontId="49" fillId="0" borderId="27" xfId="0" applyFont="1" applyBorder="1" applyAlignment="1">
      <alignment horizontal="center"/>
    </xf>
    <xf numFmtId="0" fontId="49" fillId="0" borderId="18"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15" fillId="44" borderId="0" xfId="0" applyFont="1" applyFill="1" applyBorder="1" applyAlignment="1">
      <alignment horizontal="center"/>
    </xf>
    <xf numFmtId="0" fontId="15" fillId="44" borderId="4" xfId="0" applyFont="1" applyFill="1" applyBorder="1" applyAlignment="1">
      <alignment horizontal="center"/>
    </xf>
    <xf numFmtId="0" fontId="15" fillId="44" borderId="44" xfId="0" applyFont="1" applyFill="1" applyBorder="1" applyAlignment="1">
      <alignment horizontal="center"/>
    </xf>
    <xf numFmtId="0" fontId="15" fillId="44" borderId="52" xfId="0" applyFont="1" applyFill="1" applyBorder="1" applyAlignment="1">
      <alignment horizontal="center"/>
    </xf>
    <xf numFmtId="0" fontId="15" fillId="44" borderId="45" xfId="0" applyFont="1" applyFill="1" applyBorder="1" applyAlignment="1">
      <alignment horizontal="center"/>
    </xf>
    <xf numFmtId="0" fontId="49" fillId="0" borderId="44" xfId="0" applyFont="1" applyBorder="1" applyAlignment="1">
      <alignment horizontal="center"/>
    </xf>
    <xf numFmtId="0" fontId="49" fillId="0" borderId="45" xfId="0" applyFont="1" applyBorder="1" applyAlignment="1">
      <alignment horizontal="center"/>
    </xf>
    <xf numFmtId="0" fontId="49" fillId="0" borderId="53" xfId="0" applyFont="1" applyBorder="1" applyAlignment="1">
      <alignment horizontal="center"/>
    </xf>
    <xf numFmtId="0" fontId="49" fillId="0" borderId="54" xfId="0" applyFont="1" applyBorder="1" applyAlignment="1">
      <alignment horizontal="center"/>
    </xf>
    <xf numFmtId="0" fontId="15" fillId="41" borderId="44" xfId="0" applyFont="1" applyFill="1" applyBorder="1" applyAlignment="1">
      <alignment horizontal="center"/>
    </xf>
    <xf numFmtId="0" fontId="15" fillId="41" borderId="52" xfId="0" applyFont="1" applyFill="1" applyBorder="1" applyAlignment="1">
      <alignment horizontal="center"/>
    </xf>
    <xf numFmtId="0" fontId="15" fillId="41" borderId="45" xfId="0" applyFont="1" applyFill="1" applyBorder="1" applyAlignment="1">
      <alignment horizontal="center"/>
    </xf>
    <xf numFmtId="0" fontId="92" fillId="51" borderId="50" xfId="526" applyFont="1" applyFill="1" applyBorder="1" applyAlignment="1">
      <alignment horizontal="center"/>
    </xf>
    <xf numFmtId="0" fontId="92" fillId="51" borderId="51" xfId="526" applyFont="1" applyFill="1" applyBorder="1" applyAlignment="1">
      <alignment horizontal="center"/>
    </xf>
    <xf numFmtId="0" fontId="92" fillId="51" borderId="47" xfId="526" applyFont="1" applyFill="1" applyBorder="1" applyAlignment="1">
      <alignment horizontal="center"/>
    </xf>
    <xf numFmtId="0" fontId="92" fillId="51" borderId="48" xfId="526" applyFont="1" applyFill="1" applyBorder="1" applyAlignment="1">
      <alignment horizontal="center"/>
    </xf>
    <xf numFmtId="0" fontId="92" fillId="51" borderId="49" xfId="526" applyFont="1" applyFill="1" applyBorder="1" applyAlignment="1">
      <alignment horizontal="center"/>
    </xf>
    <xf numFmtId="0" fontId="49" fillId="0" borderId="44" xfId="0" applyFont="1" applyBorder="1" applyAlignment="1">
      <alignment horizontal="left"/>
    </xf>
    <xf numFmtId="0" fontId="49" fillId="0" borderId="45" xfId="0" applyFont="1" applyBorder="1" applyAlignment="1">
      <alignment horizontal="left"/>
    </xf>
    <xf numFmtId="0" fontId="93" fillId="0" borderId="0" xfId="526" applyFont="1"/>
    <xf numFmtId="0" fontId="94" fillId="0" borderId="0" xfId="526" applyFont="1"/>
    <xf numFmtId="0" fontId="91" fillId="0" borderId="0" xfId="526"/>
    <xf numFmtId="0" fontId="63" fillId="51" borderId="47" xfId="0" applyFont="1" applyFill="1" applyBorder="1" applyAlignment="1">
      <alignment horizontal="center"/>
    </xf>
    <xf numFmtId="0" fontId="63" fillId="51" borderId="48" xfId="0" applyFont="1" applyFill="1" applyBorder="1" applyAlignment="1">
      <alignment horizontal="center"/>
    </xf>
    <xf numFmtId="0" fontId="63" fillId="51" borderId="49" xfId="0" applyFont="1" applyFill="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7">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23" xfId="526" xr:uid="{61CF41C2-502C-4172-BA73-FF9CF65E911E}"/>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9DF5BC"/>
      <color rgb="FFB3FFFF"/>
      <color rgb="FFC6E0B4"/>
      <color rgb="FFFADCBC"/>
      <color rgb="FFFF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Purchases'!$H$27:$U$27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Purchases'!$AO$59:$BB$59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Purchases'!$H$27:$U$27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Purchases'!$H$30:$U$30</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Purchases'!$AO$61:$BB$61</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Purchases'!$H$27:$U$27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Purchases'!$AO$60:$BB$60</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Purchases'!$AO$54:$BB$54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Purchases'!$AO$63:$BB$63</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Purchases'!$AO$54:$BB$54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Purchases'!$H$31:$U$31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2127.1745474692043</c:v>
                </c:pt>
                <c:pt idx="9">
                  <c:v>2185.7659297065006</c:v>
                </c:pt>
                <c:pt idx="10">
                  <c:v>2222.4677910592582</c:v>
                </c:pt>
                <c:pt idx="11">
                  <c:v>2257.19792248148</c:v>
                </c:pt>
                <c:pt idx="12">
                  <c:v>2280.9895016645942</c:v>
                </c:pt>
                <c:pt idx="13">
                  <c:v>2302.5891228130777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Purchases'!$AO$65:$BB$65</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Purchases'!$AO$54:$BB$54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Purchases'!$AO$64:$BB$64</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29</xdr:row>
      <xdr:rowOff>0</xdr:rowOff>
    </xdr:from>
    <xdr:to>
      <xdr:col>44</xdr:col>
      <xdr:colOff>539348</xdr:colOff>
      <xdr:row>49</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29</xdr:row>
      <xdr:rowOff>0</xdr:rowOff>
    </xdr:from>
    <xdr:to>
      <xdr:col>55</xdr:col>
      <xdr:colOff>-1</xdr:colOff>
      <xdr:row>49</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B60E82BF-689C-4C00-A386-5065567F8405}">
    <text>https://www.cbo.gov/system/files/2021-08/hr3684_infrastructure.pdf</text>
  </threadedComment>
  <threadedComment ref="B13" dT="2021-11-23T21:18:04.07" personId="{58CF8BEC-4104-46F7-BE4F-2C9403635492}" id="{5CEF42FF-9AB4-4C11-9277-C80C1826837B}" parentId="{B60E82BF-689C-4C00-A386-5065567F8405}">
    <text>We just spread out the discretionary outlays from the CBO score's FYs equally across the quarters and add them in as an add factor.</text>
  </threadedComment>
  <threadedComment ref="AM55" dT="2021-06-07T15:35:26.89" personId="{58CF8BEC-4104-46F7-BE4F-2C9403635492}" id="{5B268A7E-4684-4417-99DA-FD209D4D638F}">
    <text>January 2020 Ten Year Economic Projections, Quarterly Table, Row 131</text>
  </threadedComment>
  <threadedComment ref="AM56" dT="2021-07-07T15:58:20.18" personId="{58CF8BEC-4104-46F7-BE4F-2C9403635492}" id="{EDDC02C6-9D5A-4D48-BD38-306F90DEE81E}">
    <text>July 2021 Ten-Year Economic Projections, Quarterly Table, Row 130</text>
  </threadedComment>
  <threadedComment ref="AM59" dT="2021-06-08T18:07:26.42" personId="{58CF8BEC-4104-46F7-BE4F-2C9403635492}" id="{740ECA18-D6DC-4F42-982C-CBA3C5290FBF}">
    <text>January 2020 Ten Year Economic Projections, Quarterly Table, Row 130</text>
  </threadedComment>
  <threadedComment ref="AM60" dT="2021-06-08T18:07:37.18" personId="{58CF8BEC-4104-46F7-BE4F-2C9403635492}" id="{1C07D7AD-E31D-4773-BE5C-B49586DCA617}">
    <text>February 2021 Ten Year Economic Projections, Quarterly Table, Row 130</text>
  </threadedComment>
  <threadedComment ref="AM61"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 ref="P25" dT="2021-11-23T21:42:46.13" personId="{58CF8BEC-4104-46F7-BE4F-2C9403635492}" id="{BDF05363-48B5-4169-995F-603F9BD27918}">
    <text>we add in 45 here to match the CBO NIPA comparisons</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23" dT="2021-11-23T21:23:08.85" personId="{58CF8BEC-4104-46F7-BE4F-2C9403635492}" id="{F2DACF82-69A4-4359-8C36-F238A653F446}">
    <text>We spread CBO's FY direct spending outlays out into quarters</text>
  </threadedComment>
  <threadedComment ref="B23" dT="2021-11-23T21:26:30.45" personId="{58CF8BEC-4104-46F7-BE4F-2C9403635492}" id="{5D3B2473-43F0-47E9-906B-E134821A6AEE}" parentId="{F2DACF82-69A4-4359-8C36-F238A653F446}">
    <text>https://www.cbo.gov/system/files/2021-08/hr3684_infrastructure.pdf</text>
  </threadedComment>
  <threadedComment ref="B37" dT="2021-07-23T18:16:37.62" personId="{58CF8BEC-4104-46F7-BE4F-2C9403635492}" id="{24753AED-CAC4-444D-81F9-11531D47EC3F}">
    <text>July 2021 CBO Ten Year Budget Projections, Table 1-3 Adjusted, Row 11</text>
  </threadedComment>
  <threadedComment ref="J59" dT="2021-06-23T17:04:07.47" personId="{58CF8BEC-4104-46F7-BE4F-2C9403635492}" id="{D7348167-3C82-468E-B4C0-6427D8E833D4}">
    <text>Formula changes to grow I52 by a pre-covid counterfactual growth rate.</text>
  </threadedComment>
  <threadedComment ref="M59"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8E4D7BCD-76B2-4165-AA1C-68276004F280}">
    <text>Corporate tax projection from last time</text>
  </threadedComment>
  <threadedComment ref="O20" dT="2021-10-29T16:18:50.74" personId="{58CF8BEC-4104-46F7-BE4F-2C9403635492}" id="{FF466117-AAB7-4CFD-A3B5-A21CC479E101}">
    <text>Corporate tax projection from last time</text>
  </threadedComment>
  <threadedComment ref="D35" dT="2021-07-23T18:29:44.86" personId="{58CF8BEC-4104-46F7-BE4F-2C9403635492}" id="{7A823E53-C60F-4560-AD8F-BADDE7816168}">
    <text>July 2021 CBO Revenue Projections, Table 1, Row 11</text>
  </threadedComment>
  <threadedComment ref="D36" dT="2021-07-23T18:30:19.48" personId="{58CF8BEC-4104-46F7-BE4F-2C9403635492}" id="{0328A761-FD1D-49C5-83CB-AAF026630FEB}">
    <text>July 2021 CBO Revenue Projections, Table 1, Row 12</text>
  </threadedComment>
  <threadedComment ref="D38" dT="2021-07-23T18:32:18.69" personId="{58CF8BEC-4104-46F7-BE4F-2C9403635492}" id="{EF604862-3725-43D7-97EF-B0824CD9E9F7}">
    <text>July 2021 CBO Revenue Projections, Table 1, Row 15</text>
  </threadedComment>
  <threadedComment ref="D39" dT="2021-07-23T18:32:27.82" personId="{58CF8BEC-4104-46F7-BE4F-2C9403635492}" id="{45462903-3AA3-419D-B5A1-B91B01F473E3}">
    <text>July 2021 CBO Revenue Projections, Table 1, Row 17</text>
  </threadedComment>
  <threadedComment ref="D40" dT="2021-07-23T18:30:34.27" personId="{58CF8BEC-4104-46F7-BE4F-2C9403635492}" id="{5D1FB8CF-73C1-4C7E-8FBE-3976A8784D3A}">
    <text>July 2021 CBO Revenue Projections, Table 1, Row 11</text>
  </threadedComment>
  <threadedComment ref="D42" dT="2021-11-23T22:42:54.47" personId="{58CF8BEC-4104-46F7-BE4F-2C9403635492}" id="{201A6023-863D-42F7-8C01-619F9EBCDD49}">
    <text>www.cbo.gov/publication/57432</text>
  </threadedComment>
  <threadedComment ref="D69" dT="2021-07-23T18:33:48.98" personId="{58CF8BEC-4104-46F7-BE4F-2C9403635492}" id="{CC18A84B-EEF2-4E33-B90F-C7C9FA8034BF}">
    <text>July 2021 CBO Economic Projections, Fiscal Year Table, Row 92</text>
  </threadedComment>
  <threadedComment ref="D70" dT="2021-07-23T18:33:54.55" personId="{58CF8BEC-4104-46F7-BE4F-2C9403635492}" id="{83C914AB-186A-4831-9B49-4F6707F4D6FB}">
    <text>July 2021 CBO Economic Projections, Fiscal Year Table, Row 96</text>
  </threadedComment>
  <threadedComment ref="D71" dT="2021-07-23T18:34:05.07" personId="{58CF8BEC-4104-46F7-BE4F-2C9403635492}" id="{18009A65-4DB8-47CE-A5C4-EDAFF9B38DFA}">
    <text>July 2021 CBO Economic Projections, Fiscal Year Table, Row 116</text>
  </threadedComment>
  <threadedComment ref="D72" dT="2021-07-23T18:34:12.63" personId="{58CF8BEC-4104-46F7-BE4F-2C9403635492}" id="{C91BE3D7-AFDF-471A-8969-790D0061A183}">
    <text>July 2021 CBO Economic Projections, Fiscal Year Table, Row 110</text>
  </threadedComment>
  <threadedComment ref="D96" dT="2021-07-23T18:49:30.10" personId="{58CF8BEC-4104-46F7-BE4F-2C9403635492}" id="{C9F89F0E-56A1-45FE-9538-D76A89DF15F0}">
    <text>July 2021 CBO Ten Year Economic Projections, Quarterly Table, Row 96</text>
  </threadedComment>
  <threadedComment ref="D97" dT="2021-07-23T18:56:56.50" personId="{58CF8BEC-4104-46F7-BE4F-2C9403635492}" id="{F26C8511-096A-4747-A95F-04E73B713683}">
    <text>July 2021 CBO Ten Year Economic Projections, Quarterly Table, Row 116</text>
  </threadedComment>
  <threadedComment ref="D98" dT="2021-07-23T18:57:48.39" personId="{58CF8BEC-4104-46F7-BE4F-2C9403635492}" id="{8A467DBB-18C2-4E37-896C-25D5622B6BF2}">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94" customWidth="1"/>
    <col min="3" max="16" width="8.54296875" style="594"/>
    <col min="17" max="17" width="38.54296875" style="594" customWidth="1"/>
  </cols>
  <sheetData>
    <row r="10" spans="2:17" x14ac:dyDescent="0.35">
      <c r="B10" s="1109" t="s">
        <v>0</v>
      </c>
      <c r="C10" s="1110"/>
      <c r="D10" s="1110"/>
      <c r="E10" s="1110"/>
      <c r="F10" s="1110"/>
      <c r="G10" s="1110"/>
      <c r="H10" s="1110"/>
      <c r="I10" s="1110"/>
      <c r="J10" s="1110"/>
      <c r="K10" s="1110"/>
      <c r="L10" s="1110"/>
      <c r="M10" s="1110"/>
      <c r="N10" s="1110"/>
      <c r="O10" s="1110"/>
      <c r="P10" s="1110"/>
      <c r="Q10" s="1111"/>
    </row>
    <row r="11" spans="2:17" x14ac:dyDescent="0.35">
      <c r="B11" s="1112"/>
      <c r="C11" s="1113"/>
      <c r="D11" s="1113"/>
      <c r="E11" s="1113"/>
      <c r="F11" s="1113"/>
      <c r="G11" s="1113"/>
      <c r="H11" s="1113"/>
      <c r="I11" s="1113"/>
      <c r="J11" s="1113"/>
      <c r="K11" s="1113"/>
      <c r="L11" s="1113"/>
      <c r="M11" s="1113"/>
      <c r="N11" s="1113"/>
      <c r="O11" s="1113"/>
      <c r="P11" s="1113"/>
      <c r="Q11" s="1114"/>
    </row>
    <row r="12" spans="2:17" x14ac:dyDescent="0.35">
      <c r="B12" s="591" t="s">
        <v>1</v>
      </c>
      <c r="C12" s="904"/>
      <c r="D12" s="904"/>
      <c r="E12" s="904"/>
      <c r="F12" s="904"/>
      <c r="G12" s="904"/>
      <c r="H12" s="904"/>
      <c r="I12" s="904"/>
      <c r="J12" s="904"/>
      <c r="K12" s="904"/>
      <c r="L12" s="904"/>
      <c r="M12" s="904"/>
      <c r="N12" s="904"/>
      <c r="O12" s="904"/>
      <c r="P12" s="904"/>
      <c r="Q12" s="595"/>
    </row>
    <row r="13" spans="2:17" x14ac:dyDescent="0.35">
      <c r="B13" s="592" t="s">
        <v>2</v>
      </c>
      <c r="C13" s="1115" t="s">
        <v>3</v>
      </c>
      <c r="D13" s="1115"/>
      <c r="E13" s="1115"/>
      <c r="F13" s="1115"/>
      <c r="G13" s="1115"/>
      <c r="H13" s="1115"/>
      <c r="I13" s="1115"/>
      <c r="J13" s="1115"/>
      <c r="K13" s="1115"/>
      <c r="L13" s="1115"/>
      <c r="M13" s="1115"/>
      <c r="N13" s="1115"/>
      <c r="O13" s="1115"/>
      <c r="P13" s="1115"/>
      <c r="Q13" s="1116"/>
    </row>
    <row r="14" spans="2:17" x14ac:dyDescent="0.35">
      <c r="B14" s="592" t="s">
        <v>4</v>
      </c>
      <c r="C14" s="596" t="s">
        <v>5</v>
      </c>
      <c r="D14" s="596"/>
      <c r="E14" s="596"/>
      <c r="F14" s="596"/>
      <c r="G14" s="596"/>
      <c r="H14" s="596"/>
      <c r="I14" s="596"/>
      <c r="J14" s="596"/>
      <c r="K14" s="596"/>
      <c r="L14" s="596"/>
      <c r="M14" s="596"/>
      <c r="N14" s="596"/>
      <c r="O14" s="596"/>
      <c r="P14" s="596"/>
      <c r="Q14" s="597"/>
    </row>
    <row r="15" spans="2:17" x14ac:dyDescent="0.35">
      <c r="B15" s="592" t="s">
        <v>6</v>
      </c>
      <c r="C15" s="596" t="s">
        <v>7</v>
      </c>
      <c r="D15" s="596"/>
      <c r="E15" s="596"/>
      <c r="F15" s="596"/>
      <c r="G15" s="596"/>
      <c r="H15" s="596"/>
      <c r="I15" s="596"/>
      <c r="J15" s="596"/>
      <c r="K15" s="596"/>
      <c r="L15" s="596"/>
      <c r="M15" s="596"/>
      <c r="N15" s="596"/>
      <c r="O15" s="596"/>
      <c r="P15" s="596"/>
      <c r="Q15" s="597"/>
    </row>
    <row r="16" spans="2:17" x14ac:dyDescent="0.35">
      <c r="B16" s="592" t="s">
        <v>8</v>
      </c>
      <c r="C16" s="596" t="s">
        <v>9</v>
      </c>
      <c r="D16" s="596"/>
      <c r="E16" s="596"/>
      <c r="F16" s="596"/>
      <c r="G16" s="596"/>
      <c r="H16" s="596"/>
      <c r="I16" s="596"/>
      <c r="J16" s="596"/>
      <c r="K16" s="596"/>
      <c r="L16" s="596"/>
      <c r="M16" s="596"/>
      <c r="N16" s="596"/>
      <c r="O16" s="596"/>
      <c r="P16" s="596"/>
      <c r="Q16" s="597"/>
    </row>
    <row r="17" spans="2:17" x14ac:dyDescent="0.35">
      <c r="B17" s="592" t="s">
        <v>10</v>
      </c>
      <c r="C17" s="596" t="s">
        <v>11</v>
      </c>
      <c r="D17" s="596"/>
      <c r="E17" s="596"/>
      <c r="F17" s="596"/>
      <c r="G17" s="596"/>
      <c r="H17" s="596"/>
      <c r="I17" s="596"/>
      <c r="J17" s="596"/>
      <c r="K17" s="596"/>
      <c r="L17" s="596"/>
      <c r="M17" s="596"/>
      <c r="N17" s="596"/>
      <c r="O17" s="596"/>
      <c r="P17" s="596"/>
      <c r="Q17" s="597"/>
    </row>
    <row r="18" spans="2:17" x14ac:dyDescent="0.35">
      <c r="B18" s="592" t="s">
        <v>12</v>
      </c>
      <c r="C18" s="596" t="s">
        <v>13</v>
      </c>
      <c r="D18" s="596"/>
      <c r="E18" s="596"/>
      <c r="F18" s="596"/>
      <c r="G18" s="596"/>
      <c r="H18" s="596"/>
      <c r="I18" s="596"/>
      <c r="J18" s="596"/>
      <c r="K18" s="596"/>
      <c r="L18" s="596"/>
      <c r="M18" s="596"/>
      <c r="N18" s="596"/>
      <c r="O18" s="596"/>
      <c r="P18" s="596"/>
      <c r="Q18" s="597"/>
    </row>
    <row r="19" spans="2:17" x14ac:dyDescent="0.35">
      <c r="B19" s="592" t="s">
        <v>14</v>
      </c>
      <c r="C19" s="596" t="s">
        <v>15</v>
      </c>
      <c r="D19" s="596"/>
      <c r="E19" s="596"/>
      <c r="F19" s="596"/>
      <c r="G19" s="596"/>
      <c r="H19" s="596"/>
      <c r="I19" s="596"/>
      <c r="J19" s="596"/>
      <c r="K19" s="596"/>
      <c r="L19" s="596"/>
      <c r="M19" s="596"/>
      <c r="N19" s="596"/>
      <c r="O19" s="596"/>
      <c r="P19" s="596"/>
      <c r="Q19" s="597"/>
    </row>
    <row r="20" spans="2:17" ht="30.65" customHeight="1" x14ac:dyDescent="0.35">
      <c r="B20" s="592" t="s">
        <v>16</v>
      </c>
      <c r="C20" s="1107" t="s">
        <v>17</v>
      </c>
      <c r="D20" s="1107"/>
      <c r="E20" s="1107"/>
      <c r="F20" s="1107"/>
      <c r="G20" s="1107"/>
      <c r="H20" s="1107"/>
      <c r="I20" s="1107"/>
      <c r="J20" s="1107"/>
      <c r="K20" s="1107"/>
      <c r="L20" s="1107"/>
      <c r="M20" s="1107"/>
      <c r="N20" s="1107"/>
      <c r="O20" s="1107"/>
      <c r="P20" s="1107"/>
      <c r="Q20" s="1108"/>
    </row>
    <row r="21" spans="2:17" x14ac:dyDescent="0.35">
      <c r="B21" s="592" t="s">
        <v>18</v>
      </c>
      <c r="C21" s="596" t="s">
        <v>19</v>
      </c>
      <c r="D21" s="596"/>
      <c r="E21" s="596"/>
      <c r="F21" s="596"/>
      <c r="G21" s="596"/>
      <c r="H21" s="596"/>
      <c r="I21" s="596"/>
      <c r="J21" s="596"/>
      <c r="K21" s="596"/>
      <c r="L21" s="596"/>
      <c r="M21" s="596"/>
      <c r="N21" s="596"/>
      <c r="O21" s="596"/>
      <c r="P21" s="596"/>
      <c r="Q21" s="597"/>
    </row>
    <row r="22" spans="2:17" ht="32.15" customHeight="1" x14ac:dyDescent="0.35">
      <c r="B22" s="592" t="s">
        <v>20</v>
      </c>
      <c r="C22" s="1107" t="s">
        <v>21</v>
      </c>
      <c r="D22" s="1107"/>
      <c r="E22" s="1107"/>
      <c r="F22" s="1107"/>
      <c r="G22" s="1107"/>
      <c r="H22" s="1107"/>
      <c r="I22" s="1107"/>
      <c r="J22" s="1107"/>
      <c r="K22" s="1107"/>
      <c r="L22" s="1107"/>
      <c r="M22" s="1107"/>
      <c r="N22" s="1107"/>
      <c r="O22" s="1107"/>
      <c r="P22" s="1107"/>
      <c r="Q22" s="1108"/>
    </row>
    <row r="23" spans="2:17" ht="31" customHeight="1" x14ac:dyDescent="0.35">
      <c r="B23" s="592" t="s">
        <v>22</v>
      </c>
      <c r="C23" s="1107" t="s">
        <v>23</v>
      </c>
      <c r="D23" s="1107"/>
      <c r="E23" s="1107"/>
      <c r="F23" s="1107"/>
      <c r="G23" s="1107"/>
      <c r="H23" s="1107"/>
      <c r="I23" s="1107"/>
      <c r="J23" s="1107"/>
      <c r="K23" s="1107"/>
      <c r="L23" s="1107"/>
      <c r="M23" s="1107"/>
      <c r="N23" s="1107"/>
      <c r="O23" s="1107"/>
      <c r="P23" s="1107"/>
      <c r="Q23" s="1108"/>
    </row>
    <row r="24" spans="2:17" x14ac:dyDescent="0.35">
      <c r="B24" s="592" t="s">
        <v>24</v>
      </c>
      <c r="C24" s="596" t="s">
        <v>25</v>
      </c>
      <c r="D24" s="596"/>
      <c r="E24" s="596"/>
      <c r="F24" s="596"/>
      <c r="G24" s="596"/>
      <c r="H24" s="596"/>
      <c r="I24" s="596"/>
      <c r="J24" s="596"/>
      <c r="K24" s="596"/>
      <c r="L24" s="596"/>
      <c r="M24" s="596"/>
      <c r="N24" s="596"/>
      <c r="O24" s="596"/>
      <c r="P24" s="596"/>
      <c r="Q24" s="597"/>
    </row>
    <row r="25" spans="2:17" x14ac:dyDescent="0.35">
      <c r="B25" s="592" t="s">
        <v>26</v>
      </c>
      <c r="C25" s="596" t="s">
        <v>27</v>
      </c>
      <c r="D25" s="596"/>
      <c r="E25" s="596"/>
      <c r="F25" s="596"/>
      <c r="G25" s="596"/>
      <c r="H25" s="596"/>
      <c r="I25" s="596"/>
      <c r="J25" s="596"/>
      <c r="K25" s="596"/>
      <c r="L25" s="596"/>
      <c r="M25" s="596"/>
      <c r="N25" s="596"/>
      <c r="O25" s="596"/>
      <c r="P25" s="596"/>
      <c r="Q25" s="597"/>
    </row>
    <row r="26" spans="2:17" x14ac:dyDescent="0.35">
      <c r="B26" s="592" t="s">
        <v>28</v>
      </c>
      <c r="C26" s="596" t="s">
        <v>29</v>
      </c>
      <c r="D26" s="596"/>
      <c r="E26" s="596"/>
      <c r="F26" s="596"/>
      <c r="G26" s="596"/>
      <c r="H26" s="596"/>
      <c r="I26" s="596"/>
      <c r="J26" s="596"/>
      <c r="K26" s="596"/>
      <c r="L26" s="596"/>
      <c r="M26" s="596"/>
      <c r="N26" s="596"/>
      <c r="O26" s="596"/>
      <c r="P26" s="596"/>
      <c r="Q26" s="597"/>
    </row>
    <row r="27" spans="2:17" x14ac:dyDescent="0.35">
      <c r="B27" s="592" t="s">
        <v>30</v>
      </c>
      <c r="C27" s="596" t="s">
        <v>31</v>
      </c>
      <c r="D27" s="596"/>
      <c r="E27" s="596"/>
      <c r="F27" s="596"/>
      <c r="G27" s="596"/>
      <c r="H27" s="596"/>
      <c r="I27" s="596"/>
      <c r="J27" s="596"/>
      <c r="K27" s="596"/>
      <c r="L27" s="596"/>
      <c r="M27" s="596"/>
      <c r="N27" s="596"/>
      <c r="O27" s="596"/>
      <c r="P27" s="596"/>
      <c r="Q27" s="597"/>
    </row>
    <row r="28" spans="2:17" x14ac:dyDescent="0.35">
      <c r="B28" s="592" t="s">
        <v>32</v>
      </c>
      <c r="C28" s="596" t="s">
        <v>33</v>
      </c>
      <c r="D28" s="596"/>
      <c r="E28" s="596"/>
      <c r="F28" s="596"/>
      <c r="G28" s="596"/>
      <c r="H28" s="596"/>
      <c r="I28" s="596"/>
      <c r="J28" s="596"/>
      <c r="K28" s="596"/>
      <c r="L28" s="596"/>
      <c r="M28" s="596"/>
      <c r="N28" s="596"/>
      <c r="O28" s="596"/>
      <c r="P28" s="596"/>
      <c r="Q28" s="597"/>
    </row>
    <row r="29" spans="2:17" x14ac:dyDescent="0.35">
      <c r="B29" s="592" t="s">
        <v>34</v>
      </c>
      <c r="C29" s="596" t="s">
        <v>35</v>
      </c>
      <c r="D29" s="596"/>
      <c r="E29" s="596"/>
      <c r="F29" s="596"/>
      <c r="G29" s="596"/>
      <c r="H29" s="596"/>
      <c r="I29" s="596"/>
      <c r="J29" s="596"/>
      <c r="K29" s="596"/>
      <c r="L29" s="596"/>
      <c r="M29" s="596"/>
      <c r="N29" s="596"/>
      <c r="O29" s="596"/>
      <c r="P29" s="596"/>
      <c r="Q29" s="597"/>
    </row>
    <row r="30" spans="2:17" x14ac:dyDescent="0.35">
      <c r="B30" s="592"/>
      <c r="C30" s="596"/>
      <c r="D30" s="596"/>
      <c r="E30" s="596"/>
      <c r="F30" s="596"/>
      <c r="G30" s="596"/>
      <c r="H30" s="596"/>
      <c r="I30" s="596"/>
      <c r="J30" s="596"/>
      <c r="K30" s="596"/>
      <c r="L30" s="596"/>
      <c r="M30" s="596"/>
      <c r="N30" s="596"/>
      <c r="O30" s="596"/>
      <c r="P30" s="596"/>
      <c r="Q30" s="597"/>
    </row>
    <row r="31" spans="2:17" x14ac:dyDescent="0.35">
      <c r="B31" s="593" t="s">
        <v>36</v>
      </c>
      <c r="C31" s="596"/>
      <c r="D31" s="596"/>
      <c r="E31" s="596"/>
      <c r="F31" s="596"/>
      <c r="G31" s="596"/>
      <c r="H31" s="596"/>
      <c r="I31" s="596"/>
      <c r="J31" s="596"/>
      <c r="K31" s="596"/>
      <c r="L31" s="596"/>
      <c r="M31" s="596"/>
      <c r="N31" s="596"/>
      <c r="O31" s="596"/>
      <c r="P31" s="596"/>
      <c r="Q31" s="597"/>
    </row>
    <row r="32" spans="2:17" x14ac:dyDescent="0.35">
      <c r="B32" s="592" t="s">
        <v>37</v>
      </c>
      <c r="C32" s="596"/>
      <c r="D32" s="596"/>
      <c r="E32" s="596"/>
      <c r="F32" s="596"/>
      <c r="G32" s="596"/>
      <c r="H32" s="596"/>
      <c r="I32" s="596"/>
      <c r="J32" s="596"/>
      <c r="K32" s="596"/>
      <c r="L32" s="596"/>
      <c r="M32" s="596"/>
      <c r="N32" s="596"/>
      <c r="O32" s="596"/>
      <c r="P32" s="596"/>
      <c r="Q32" s="597"/>
    </row>
    <row r="33" spans="2:17" ht="30.65" customHeight="1" x14ac:dyDescent="0.35">
      <c r="B33" s="1106" t="s">
        <v>38</v>
      </c>
      <c r="C33" s="1107"/>
      <c r="D33" s="1107"/>
      <c r="E33" s="1107"/>
      <c r="F33" s="1107"/>
      <c r="G33" s="1107"/>
      <c r="H33" s="1107"/>
      <c r="I33" s="1107"/>
      <c r="J33" s="1107"/>
      <c r="K33" s="1107"/>
      <c r="L33" s="1107"/>
      <c r="M33" s="1107"/>
      <c r="N33" s="1107"/>
      <c r="O33" s="1107"/>
      <c r="P33" s="1107"/>
      <c r="Q33" s="1108"/>
    </row>
    <row r="34" spans="2:17" x14ac:dyDescent="0.35">
      <c r="B34" s="601" t="s">
        <v>39</v>
      </c>
      <c r="C34" s="596"/>
      <c r="D34" s="596"/>
      <c r="E34" s="596"/>
      <c r="F34" s="596"/>
      <c r="G34" s="596"/>
      <c r="H34" s="596"/>
      <c r="I34" s="596"/>
      <c r="J34" s="596"/>
      <c r="K34" s="596"/>
      <c r="L34" s="596"/>
      <c r="M34" s="596"/>
      <c r="N34" s="596"/>
      <c r="O34" s="596"/>
      <c r="P34" s="596"/>
      <c r="Q34" s="597"/>
    </row>
    <row r="35" spans="2:17" x14ac:dyDescent="0.35">
      <c r="B35" s="592" t="s">
        <v>40</v>
      </c>
      <c r="C35" s="596"/>
      <c r="D35" s="596"/>
      <c r="E35" s="596"/>
      <c r="F35" s="596"/>
      <c r="G35" s="596"/>
      <c r="H35" s="596"/>
      <c r="I35" s="596"/>
      <c r="J35" s="596"/>
      <c r="K35" s="596"/>
      <c r="L35" s="596"/>
      <c r="M35" s="596"/>
      <c r="N35" s="596"/>
      <c r="O35" s="596"/>
      <c r="P35" s="596"/>
      <c r="Q35" s="597"/>
    </row>
    <row r="36" spans="2:17" x14ac:dyDescent="0.35">
      <c r="B36" s="592" t="s">
        <v>41</v>
      </c>
      <c r="C36" s="596"/>
      <c r="D36" s="596"/>
      <c r="E36" s="596"/>
      <c r="F36" s="596"/>
      <c r="G36" s="596"/>
      <c r="H36" s="596"/>
      <c r="I36" s="596"/>
      <c r="J36" s="596"/>
      <c r="K36" s="596"/>
      <c r="L36" s="596"/>
      <c r="M36" s="596"/>
      <c r="N36" s="596"/>
      <c r="O36" s="596"/>
      <c r="P36" s="596"/>
      <c r="Q36" s="597"/>
    </row>
    <row r="37" spans="2:17" x14ac:dyDescent="0.35">
      <c r="B37" s="600" t="s">
        <v>42</v>
      </c>
      <c r="C37" s="598"/>
      <c r="D37" s="598"/>
      <c r="E37" s="598"/>
      <c r="F37" s="598"/>
      <c r="G37" s="598"/>
      <c r="H37" s="598"/>
      <c r="I37" s="598"/>
      <c r="J37" s="598"/>
      <c r="K37" s="598"/>
      <c r="L37" s="598"/>
      <c r="M37" s="598"/>
      <c r="N37" s="598"/>
      <c r="O37" s="598"/>
      <c r="P37" s="598"/>
      <c r="Q37" s="599"/>
    </row>
    <row r="40" spans="2:17" x14ac:dyDescent="0.35">
      <c r="B40" s="602"/>
      <c r="C40" s="602"/>
      <c r="D40" s="602"/>
      <c r="E40" s="602"/>
      <c r="F40" s="602"/>
      <c r="G40" s="602"/>
      <c r="H40" s="602"/>
      <c r="I40" s="602"/>
      <c r="J40" s="602"/>
      <c r="K40" s="602"/>
      <c r="L40" s="602"/>
      <c r="M40" s="602"/>
      <c r="N40" s="602"/>
      <c r="O40" s="602"/>
      <c r="P40" s="602"/>
      <c r="Q40" s="602"/>
    </row>
    <row r="41" spans="2:17" x14ac:dyDescent="0.35">
      <c r="B41" s="602"/>
      <c r="C41" s="602"/>
      <c r="D41" s="602"/>
      <c r="E41" s="602"/>
      <c r="F41" s="602"/>
      <c r="G41" s="602"/>
      <c r="H41" s="602"/>
      <c r="I41" s="602"/>
      <c r="J41" s="602"/>
      <c r="K41" s="602"/>
      <c r="L41" s="602"/>
      <c r="M41" s="602"/>
      <c r="N41" s="602"/>
      <c r="O41" s="602"/>
      <c r="P41" s="602"/>
      <c r="Q41" s="602"/>
    </row>
    <row r="42" spans="2:17" x14ac:dyDescent="0.35">
      <c r="B42" s="602"/>
      <c r="C42" s="602"/>
      <c r="D42" s="602"/>
      <c r="E42" s="602"/>
      <c r="F42" s="602"/>
      <c r="G42" s="602"/>
      <c r="H42" s="602"/>
      <c r="I42" s="602"/>
      <c r="J42" s="602"/>
      <c r="K42" s="602"/>
      <c r="L42" s="602"/>
      <c r="M42" s="602"/>
      <c r="N42" s="602"/>
      <c r="O42" s="602"/>
      <c r="P42" s="602"/>
      <c r="Q42" s="602"/>
    </row>
    <row r="43" spans="2:17" x14ac:dyDescent="0.35">
      <c r="B43" s="602"/>
      <c r="C43" s="602"/>
      <c r="D43" s="602"/>
      <c r="E43" s="602"/>
      <c r="F43" s="602"/>
      <c r="G43" s="602"/>
      <c r="H43" s="602"/>
      <c r="I43" s="602"/>
      <c r="J43" s="602"/>
      <c r="K43" s="602"/>
      <c r="L43" s="602"/>
      <c r="M43" s="602"/>
      <c r="N43" s="602"/>
      <c r="O43" s="602"/>
      <c r="P43" s="602"/>
      <c r="Q43" s="602"/>
    </row>
    <row r="44" spans="2:17" x14ac:dyDescent="0.35">
      <c r="B44" s="602"/>
      <c r="C44" s="602"/>
      <c r="D44" s="602"/>
      <c r="E44" s="602"/>
      <c r="F44" s="602"/>
      <c r="G44" s="602"/>
      <c r="H44" s="602"/>
      <c r="I44" s="602"/>
      <c r="J44" s="602"/>
      <c r="K44" s="602"/>
      <c r="L44" s="602"/>
      <c r="M44" s="602"/>
      <c r="N44" s="602"/>
      <c r="O44" s="602"/>
      <c r="P44" s="602"/>
      <c r="Q44" s="602"/>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tabSelected="1" workbookViewId="0">
      <selection activeCell="B7" sqref="B7"/>
    </sheetView>
  </sheetViews>
  <sheetFormatPr defaultColWidth="8.81640625" defaultRowHeight="14.5" x14ac:dyDescent="0.35"/>
  <cols>
    <col min="1" max="1" width="18.453125" customWidth="1"/>
    <col min="2" max="2" width="27.1796875" customWidth="1"/>
  </cols>
  <sheetData>
    <row r="1" spans="1:8" s="278" customFormat="1" x14ac:dyDescent="0.35">
      <c r="A1" s="278" t="s">
        <v>222</v>
      </c>
      <c r="B1" s="278" t="s">
        <v>223</v>
      </c>
      <c r="C1" s="180" t="s">
        <v>368</v>
      </c>
      <c r="D1" s="180" t="s">
        <v>369</v>
      </c>
      <c r="E1" s="180" t="s">
        <v>370</v>
      </c>
      <c r="F1" s="180" t="s">
        <v>371</v>
      </c>
      <c r="G1" s="278" t="s">
        <v>372</v>
      </c>
      <c r="H1" s="278" t="s">
        <v>224</v>
      </c>
    </row>
    <row r="2" spans="1:8" ht="29" x14ac:dyDescent="0.35">
      <c r="A2" s="1" t="s">
        <v>373</v>
      </c>
      <c r="B2" t="s">
        <v>374</v>
      </c>
      <c r="C2">
        <f>Grants!J79</f>
        <v>334.61</v>
      </c>
      <c r="D2">
        <f>Grants!K79</f>
        <v>301.78300000000002</v>
      </c>
      <c r="E2">
        <f>Grants!L79</f>
        <v>280.16300000000001</v>
      </c>
      <c r="F2">
        <f>Grants!M79</f>
        <v>310.15499999999997</v>
      </c>
      <c r="G2">
        <f>Grants!N79</f>
        <v>346.31500000000005</v>
      </c>
      <c r="H2">
        <f>Grants!O79</f>
        <v>384.12299999999988</v>
      </c>
    </row>
    <row r="3" spans="1:8" ht="43.5" x14ac:dyDescent="0.35">
      <c r="A3" s="972" t="s">
        <v>1244</v>
      </c>
      <c r="B3" t="s">
        <v>1241</v>
      </c>
      <c r="C3">
        <f>'Social Benefits'!J24</f>
        <v>1633.45875</v>
      </c>
      <c r="D3">
        <f>'Social Benefits'!K24</f>
        <v>1649.3267500000004</v>
      </c>
      <c r="E3">
        <f>'Social Benefits'!L24</f>
        <v>1640.5507500000006</v>
      </c>
      <c r="F3">
        <f>'Social Benefits'!M24</f>
        <v>1685.9677500000005</v>
      </c>
      <c r="G3">
        <f>'Social Benefits'!N24</f>
        <v>1646.205110000001</v>
      </c>
      <c r="H3">
        <f>'Social Benefits'!O24</f>
        <v>1740.3653900000011</v>
      </c>
    </row>
    <row r="4" spans="1:8" ht="43.5" x14ac:dyDescent="0.35">
      <c r="A4" s="972" t="s">
        <v>1246</v>
      </c>
      <c r="B4" t="s">
        <v>1242</v>
      </c>
      <c r="C4">
        <f>'Social Benefits'!J26</f>
        <v>0</v>
      </c>
      <c r="D4">
        <f>'Social Benefits'!K26</f>
        <v>0</v>
      </c>
      <c r="E4">
        <f>'Social Benefits'!L26</f>
        <v>0</v>
      </c>
      <c r="F4">
        <f>'Social Benefits'!M26</f>
        <v>0</v>
      </c>
      <c r="G4">
        <f>'Social Benefits'!N26</f>
        <v>53.448640000000026</v>
      </c>
      <c r="H4">
        <f>'Social Benefits'!O26</f>
        <v>137.43936000000005</v>
      </c>
    </row>
    <row r="5" spans="1:8" ht="29" x14ac:dyDescent="0.35">
      <c r="A5" s="972" t="s">
        <v>1245</v>
      </c>
      <c r="B5" t="s">
        <v>1243</v>
      </c>
      <c r="C5">
        <f>'Social Benefits'!J27</f>
        <v>160.9</v>
      </c>
      <c r="D5">
        <f>'Social Benefits'!K27</f>
        <v>58.4</v>
      </c>
      <c r="E5">
        <f>'Social Benefits'!L27</f>
        <v>34.5</v>
      </c>
      <c r="F5">
        <f>'Social Benefits'!M27</f>
        <v>43</v>
      </c>
      <c r="G5">
        <f>'Social Benefits'!N27</f>
        <v>26.6</v>
      </c>
      <c r="H5">
        <f>'Social Benefits'!O27</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32" t="s">
        <v>375</v>
      </c>
      <c r="B1" s="1132"/>
      <c r="C1" s="1132"/>
      <c r="D1" s="1132"/>
      <c r="E1" s="1132"/>
      <c r="F1" s="1132"/>
      <c r="G1" s="1132"/>
      <c r="H1" s="1132"/>
      <c r="I1" s="1132"/>
      <c r="J1" s="1132"/>
      <c r="K1" s="1132"/>
      <c r="L1" s="1132"/>
      <c r="M1" s="1132"/>
      <c r="N1" s="1132"/>
      <c r="O1" s="1132"/>
    </row>
    <row r="2" spans="1:45" ht="31" x14ac:dyDescent="0.35">
      <c r="A2" s="221"/>
      <c r="B2" s="221" t="s">
        <v>223</v>
      </c>
      <c r="C2" s="238">
        <v>1</v>
      </c>
      <c r="D2" s="238">
        <f>C2+1</f>
        <v>2</v>
      </c>
      <c r="E2" s="238">
        <f t="shared" ref="E2:N2" si="0">D2+1</f>
        <v>3</v>
      </c>
      <c r="F2" s="238">
        <f t="shared" si="0"/>
        <v>4</v>
      </c>
      <c r="G2" s="238">
        <f t="shared" si="0"/>
        <v>5</v>
      </c>
      <c r="H2" s="238">
        <f t="shared" si="0"/>
        <v>6</v>
      </c>
      <c r="I2" s="238">
        <f t="shared" si="0"/>
        <v>7</v>
      </c>
      <c r="J2" s="238">
        <f t="shared" si="0"/>
        <v>8</v>
      </c>
      <c r="K2" s="238">
        <f t="shared" si="0"/>
        <v>9</v>
      </c>
      <c r="L2" s="238">
        <f t="shared" si="0"/>
        <v>10</v>
      </c>
      <c r="M2" s="238">
        <f t="shared" si="0"/>
        <v>11</v>
      </c>
      <c r="N2" s="238">
        <f t="shared" si="0"/>
        <v>12</v>
      </c>
      <c r="O2" s="236" t="s">
        <v>376</v>
      </c>
    </row>
    <row r="3" spans="1:45" ht="15.5" x14ac:dyDescent="0.35">
      <c r="A3" s="223" t="s">
        <v>377</v>
      </c>
      <c r="B3" s="673" t="s">
        <v>378</v>
      </c>
      <c r="C3" s="903">
        <v>0.22500000000000001</v>
      </c>
      <c r="D3" s="903">
        <v>0.22500000000000001</v>
      </c>
      <c r="E3" s="903">
        <v>0.22500000000000001</v>
      </c>
      <c r="F3" s="903">
        <v>0.22500000000000001</v>
      </c>
      <c r="G3" s="902">
        <v>0</v>
      </c>
      <c r="H3" s="902">
        <v>0</v>
      </c>
      <c r="I3" s="902">
        <v>0</v>
      </c>
      <c r="J3" s="902">
        <v>0</v>
      </c>
      <c r="K3" s="902">
        <v>0</v>
      </c>
      <c r="L3" s="902">
        <v>0</v>
      </c>
      <c r="M3" s="902">
        <v>0</v>
      </c>
      <c r="N3" s="902">
        <v>0</v>
      </c>
      <c r="O3" s="222"/>
      <c r="P3" s="903"/>
      <c r="Q3" s="903"/>
      <c r="R3" s="903"/>
      <c r="S3" s="903"/>
      <c r="T3" s="902"/>
      <c r="U3" s="902"/>
      <c r="V3" s="902"/>
      <c r="W3" s="902"/>
      <c r="X3" s="902"/>
      <c r="Y3" s="902"/>
      <c r="Z3" s="902"/>
      <c r="AA3" s="902"/>
      <c r="AC3" s="901"/>
      <c r="AD3" s="901"/>
      <c r="AE3" s="901"/>
      <c r="AF3" s="901"/>
      <c r="AG3" s="901"/>
      <c r="AH3" s="901"/>
      <c r="AI3" s="901"/>
      <c r="AJ3" s="901"/>
      <c r="AK3" s="901"/>
      <c r="AL3" s="901"/>
      <c r="AM3" s="901"/>
      <c r="AN3" s="901"/>
      <c r="AO3" s="901"/>
      <c r="AP3" s="901"/>
      <c r="AQ3" s="901"/>
      <c r="AR3" s="901"/>
      <c r="AS3" s="901"/>
    </row>
    <row r="4" spans="1:45" ht="15.5" x14ac:dyDescent="0.35">
      <c r="A4" s="225" t="s">
        <v>379</v>
      </c>
      <c r="B4" s="674" t="s">
        <v>380</v>
      </c>
      <c r="C4" s="903">
        <v>-3.3333333333333333E-2</v>
      </c>
      <c r="D4" s="903">
        <v>-3.3333333333333333E-2</v>
      </c>
      <c r="E4" s="903">
        <v>-3.3333333333333333E-2</v>
      </c>
      <c r="F4" s="903">
        <v>-3.3333333333333333E-2</v>
      </c>
      <c r="G4" s="903">
        <v>-3.3333333333333333E-2</v>
      </c>
      <c r="H4" s="903">
        <v>-3.3333333333333333E-2</v>
      </c>
      <c r="I4" s="903">
        <v>-3.3333333333333333E-2</v>
      </c>
      <c r="J4" s="903">
        <v>-3.3333333333333333E-2</v>
      </c>
      <c r="K4" s="903">
        <v>-3.3333333333333333E-2</v>
      </c>
      <c r="L4" s="903">
        <v>-3.3333333333333333E-2</v>
      </c>
      <c r="M4" s="903">
        <v>-3.3333333333333333E-2</v>
      </c>
      <c r="N4" s="903">
        <v>-3.3333333333333333E-2</v>
      </c>
      <c r="O4" s="237">
        <f>SUM(C4:N4)</f>
        <v>-0.39999999999999997</v>
      </c>
      <c r="P4" s="903"/>
      <c r="Q4" s="903"/>
      <c r="R4" s="903"/>
      <c r="S4" s="903"/>
      <c r="T4" s="903"/>
      <c r="U4" s="903"/>
      <c r="V4" s="903"/>
      <c r="W4" s="903"/>
      <c r="X4" s="903"/>
      <c r="Y4" s="903"/>
      <c r="Z4" s="903"/>
      <c r="AA4" s="903"/>
      <c r="AC4" s="901"/>
      <c r="AD4" s="901"/>
      <c r="AE4" s="901"/>
      <c r="AF4" s="901"/>
      <c r="AG4" s="901"/>
      <c r="AH4" s="901"/>
      <c r="AI4" s="901"/>
      <c r="AJ4" s="901"/>
      <c r="AK4" s="901"/>
      <c r="AL4" s="901"/>
      <c r="AM4" s="901"/>
      <c r="AN4" s="901"/>
    </row>
    <row r="5" spans="1:45" ht="15.5" x14ac:dyDescent="0.35">
      <c r="A5" s="225" t="s">
        <v>381</v>
      </c>
      <c r="B5" s="674" t="s">
        <v>382</v>
      </c>
      <c r="C5" s="903">
        <v>-0.12</v>
      </c>
      <c r="D5" s="903">
        <v>-0.12</v>
      </c>
      <c r="E5" s="903">
        <v>-0.06</v>
      </c>
      <c r="F5" s="903">
        <v>-0.06</v>
      </c>
      <c r="G5" s="903">
        <v>-0.06</v>
      </c>
      <c r="H5" s="903">
        <v>-0.06</v>
      </c>
      <c r="I5" s="903">
        <v>-0.06</v>
      </c>
      <c r="J5" s="903">
        <v>-0.06</v>
      </c>
      <c r="K5" s="903">
        <v>0</v>
      </c>
      <c r="L5" s="903">
        <v>0</v>
      </c>
      <c r="M5" s="903">
        <v>0</v>
      </c>
      <c r="N5" s="903">
        <v>0</v>
      </c>
      <c r="O5" s="237">
        <f t="shared" ref="O5:O13" si="1">SUM(C5:N5)</f>
        <v>-0.60000000000000009</v>
      </c>
      <c r="P5" s="903"/>
      <c r="Q5" s="903"/>
      <c r="R5" s="903"/>
      <c r="S5" s="903"/>
      <c r="T5" s="903"/>
      <c r="U5" s="903"/>
      <c r="V5" s="903"/>
      <c r="W5" s="903"/>
      <c r="X5" s="903"/>
      <c r="Y5" s="903"/>
      <c r="Z5" s="903"/>
      <c r="AA5" s="903"/>
      <c r="AC5" s="901"/>
      <c r="AD5" s="901"/>
      <c r="AE5" s="901"/>
      <c r="AF5" s="901"/>
      <c r="AG5" s="901"/>
      <c r="AH5" s="901"/>
      <c r="AI5" s="901"/>
      <c r="AJ5" s="901"/>
      <c r="AK5" s="901"/>
      <c r="AL5" s="901"/>
      <c r="AM5" s="901"/>
      <c r="AN5" s="901"/>
    </row>
    <row r="6" spans="1:45" ht="15.5" x14ac:dyDescent="0.35">
      <c r="A6" s="223" t="s">
        <v>383</v>
      </c>
      <c r="B6" s="673" t="s">
        <v>257</v>
      </c>
      <c r="C6" s="903">
        <v>0.24499999999999997</v>
      </c>
      <c r="D6" s="903">
        <v>0.105</v>
      </c>
      <c r="E6" s="903">
        <v>5.5999999999999994E-2</v>
      </c>
      <c r="F6" s="903">
        <v>5.5999999999999994E-2</v>
      </c>
      <c r="G6" s="903">
        <v>5.5999999999999994E-2</v>
      </c>
      <c r="H6" s="903">
        <v>5.5999999999999994E-2</v>
      </c>
      <c r="I6" s="903">
        <v>5.5999999999999994E-2</v>
      </c>
      <c r="J6" s="903">
        <v>5.5999999999999994E-2</v>
      </c>
      <c r="K6" s="903">
        <v>0</v>
      </c>
      <c r="L6" s="903">
        <v>0</v>
      </c>
      <c r="M6" s="903">
        <v>0</v>
      </c>
      <c r="N6" s="903">
        <v>0</v>
      </c>
      <c r="O6" s="237">
        <f t="shared" si="1"/>
        <v>0.68600000000000017</v>
      </c>
      <c r="P6" s="903"/>
      <c r="Q6" s="903"/>
      <c r="R6" s="903"/>
      <c r="S6" s="903"/>
      <c r="T6" s="903"/>
      <c r="U6" s="903"/>
      <c r="V6" s="903"/>
      <c r="W6" s="903"/>
      <c r="X6" s="903"/>
      <c r="Y6" s="903"/>
      <c r="Z6" s="903"/>
      <c r="AA6" s="903"/>
      <c r="AC6" s="901"/>
      <c r="AD6" s="901"/>
      <c r="AE6" s="901"/>
      <c r="AF6" s="901"/>
      <c r="AG6" s="901"/>
      <c r="AH6" s="901"/>
      <c r="AI6" s="901"/>
      <c r="AJ6" s="901"/>
      <c r="AK6" s="901"/>
      <c r="AL6" s="901"/>
      <c r="AM6" s="901"/>
      <c r="AN6" s="901"/>
    </row>
    <row r="7" spans="1:45" ht="15.5" x14ac:dyDescent="0.35">
      <c r="A7" s="223" t="s">
        <v>384</v>
      </c>
      <c r="B7" s="673" t="s">
        <v>385</v>
      </c>
      <c r="C7" s="903">
        <v>0.315</v>
      </c>
      <c r="D7" s="903">
        <v>0.315</v>
      </c>
      <c r="E7" s="903">
        <v>9.0000000000000011E-2</v>
      </c>
      <c r="F7" s="903">
        <v>9.0000000000000011E-2</v>
      </c>
      <c r="G7" s="903">
        <v>4.5000000000000005E-2</v>
      </c>
      <c r="H7" s="903">
        <v>4.5000000000000005E-2</v>
      </c>
      <c r="I7" s="903">
        <v>0</v>
      </c>
      <c r="J7" s="903">
        <v>0</v>
      </c>
      <c r="K7" s="903">
        <v>0</v>
      </c>
      <c r="L7" s="903">
        <v>0</v>
      </c>
      <c r="M7" s="903">
        <v>0</v>
      </c>
      <c r="N7" s="903">
        <v>0</v>
      </c>
      <c r="O7" s="237">
        <f t="shared" si="1"/>
        <v>0.9</v>
      </c>
      <c r="P7" s="903"/>
      <c r="Q7" s="903"/>
      <c r="R7" s="903"/>
      <c r="S7" s="903"/>
      <c r="T7" s="903"/>
      <c r="U7" s="903"/>
      <c r="V7" s="903"/>
      <c r="W7" s="903"/>
      <c r="X7" s="903"/>
      <c r="Y7" s="903"/>
      <c r="Z7" s="903"/>
      <c r="AA7" s="903"/>
      <c r="AC7" s="901"/>
      <c r="AD7" s="901"/>
      <c r="AE7" s="901"/>
      <c r="AF7" s="901"/>
      <c r="AG7" s="901"/>
      <c r="AH7" s="901"/>
      <c r="AI7" s="901"/>
      <c r="AJ7" s="901"/>
      <c r="AK7" s="901"/>
      <c r="AL7" s="901"/>
      <c r="AM7" s="901"/>
      <c r="AN7" s="901"/>
    </row>
    <row r="8" spans="1:45" ht="15.5" x14ac:dyDescent="0.35">
      <c r="A8" s="223" t="s">
        <v>386</v>
      </c>
      <c r="B8" s="673" t="s">
        <v>387</v>
      </c>
      <c r="C8" s="903">
        <v>0.22500000000000001</v>
      </c>
      <c r="D8" s="903">
        <v>0.22500000000000001</v>
      </c>
      <c r="E8" s="903">
        <v>0.22500000000000001</v>
      </c>
      <c r="F8" s="903">
        <v>0.22500000000000001</v>
      </c>
      <c r="G8" s="903">
        <v>0</v>
      </c>
      <c r="H8" s="903">
        <v>0</v>
      </c>
      <c r="I8" s="903">
        <v>0</v>
      </c>
      <c r="J8" s="903">
        <v>0</v>
      </c>
      <c r="K8" s="903">
        <v>0</v>
      </c>
      <c r="L8" s="903">
        <v>0</v>
      </c>
      <c r="M8" s="903">
        <v>0</v>
      </c>
      <c r="N8" s="903">
        <v>0</v>
      </c>
      <c r="O8" s="237">
        <f t="shared" si="1"/>
        <v>0.9</v>
      </c>
      <c r="P8" s="903"/>
      <c r="Q8" s="903"/>
      <c r="R8" s="903"/>
      <c r="S8" s="903"/>
      <c r="T8" s="903"/>
      <c r="U8" s="903"/>
      <c r="V8" s="903"/>
      <c r="W8" s="903"/>
      <c r="X8" s="903"/>
      <c r="Y8" s="903"/>
      <c r="Z8" s="903"/>
      <c r="AA8" s="903"/>
      <c r="AC8" s="901"/>
      <c r="AD8" s="901"/>
      <c r="AE8" s="901"/>
      <c r="AF8" s="901"/>
      <c r="AG8" s="901"/>
      <c r="AH8" s="901"/>
      <c r="AI8" s="901"/>
      <c r="AJ8" s="901"/>
      <c r="AK8" s="901"/>
      <c r="AL8" s="901"/>
      <c r="AM8" s="901"/>
      <c r="AN8" s="901"/>
    </row>
    <row r="9" spans="1:45" ht="15.5" x14ac:dyDescent="0.35">
      <c r="A9" s="223" t="s">
        <v>388</v>
      </c>
      <c r="B9" s="673" t="s">
        <v>389</v>
      </c>
      <c r="C9" s="903">
        <v>4.9500000000000002E-2</v>
      </c>
      <c r="D9" s="903">
        <v>4.2750000000000003E-2</v>
      </c>
      <c r="E9" s="903">
        <v>4.0500000000000001E-2</v>
      </c>
      <c r="F9" s="903">
        <v>3.8250000000000006E-2</v>
      </c>
      <c r="G9" s="903">
        <v>3.6000000000000004E-2</v>
      </c>
      <c r="H9" s="903">
        <v>3.6000000000000004E-2</v>
      </c>
      <c r="I9" s="903">
        <v>3.6000000000000004E-2</v>
      </c>
      <c r="J9" s="903">
        <v>3.6000000000000004E-2</v>
      </c>
      <c r="K9" s="903">
        <v>3.3750000000000002E-2</v>
      </c>
      <c r="L9" s="903">
        <v>3.3750000000000002E-2</v>
      </c>
      <c r="M9" s="903">
        <v>3.3750000000000002E-2</v>
      </c>
      <c r="N9" s="903">
        <v>3.3750000000000002E-2</v>
      </c>
      <c r="O9" s="237">
        <f t="shared" si="1"/>
        <v>0.45000000000000007</v>
      </c>
      <c r="P9" s="903"/>
      <c r="Q9" s="903"/>
      <c r="R9" s="903"/>
      <c r="S9" s="903"/>
      <c r="T9" s="903"/>
      <c r="U9" s="903"/>
      <c r="V9" s="903"/>
      <c r="W9" s="903"/>
      <c r="X9" s="903"/>
      <c r="Y9" s="903"/>
      <c r="Z9" s="903"/>
      <c r="AA9" s="903"/>
      <c r="AC9" s="901"/>
      <c r="AD9" s="901"/>
      <c r="AE9" s="901"/>
      <c r="AF9" s="901"/>
      <c r="AG9" s="901"/>
      <c r="AH9" s="901"/>
      <c r="AI9" s="901"/>
      <c r="AJ9" s="901"/>
      <c r="AK9" s="901"/>
      <c r="AL9" s="901"/>
      <c r="AM9" s="901"/>
      <c r="AN9" s="901"/>
    </row>
    <row r="10" spans="1:45" ht="15.5" x14ac:dyDescent="0.35">
      <c r="A10" s="223" t="s">
        <v>390</v>
      </c>
      <c r="B10" s="673" t="s">
        <v>259</v>
      </c>
      <c r="C10" s="903">
        <v>0.14000000000000001</v>
      </c>
      <c r="D10" s="903">
        <v>0.1</v>
      </c>
      <c r="E10" s="903">
        <v>0.1</v>
      </c>
      <c r="F10" s="903">
        <v>0.05</v>
      </c>
      <c r="G10" s="903">
        <v>0.05</v>
      </c>
      <c r="H10" s="903">
        <v>0.05</v>
      </c>
      <c r="I10" s="903">
        <v>0.05</v>
      </c>
      <c r="J10" s="903">
        <v>0.05</v>
      </c>
      <c r="K10" s="903">
        <v>0.05</v>
      </c>
      <c r="L10" s="903">
        <v>0</v>
      </c>
      <c r="M10" s="903">
        <v>0</v>
      </c>
      <c r="N10" s="903">
        <v>0</v>
      </c>
      <c r="O10" s="237">
        <f>SUM(C10:N10)</f>
        <v>0.64000000000000012</v>
      </c>
      <c r="P10" s="903"/>
      <c r="Q10" s="903"/>
      <c r="R10" s="903"/>
      <c r="S10" s="903"/>
      <c r="T10" s="903"/>
      <c r="U10" s="903"/>
      <c r="V10" s="903"/>
      <c r="W10" s="903"/>
      <c r="X10" s="903"/>
      <c r="Y10" s="903"/>
      <c r="Z10" s="903"/>
      <c r="AA10" s="903"/>
      <c r="AC10" s="901"/>
      <c r="AD10" s="901"/>
      <c r="AE10" s="901"/>
      <c r="AF10" s="901"/>
      <c r="AG10" s="901"/>
      <c r="AH10" s="901"/>
      <c r="AI10" s="901"/>
      <c r="AJ10" s="901"/>
      <c r="AK10" s="901"/>
      <c r="AL10" s="901"/>
      <c r="AM10" s="901"/>
      <c r="AN10" s="901"/>
    </row>
    <row r="11" spans="1:45" ht="15.5" x14ac:dyDescent="0.35">
      <c r="A11" s="223" t="s">
        <v>391</v>
      </c>
      <c r="B11" s="673" t="s">
        <v>392</v>
      </c>
      <c r="C11" s="903">
        <v>0.2</v>
      </c>
      <c r="D11" s="903">
        <v>0.17</v>
      </c>
      <c r="E11" s="903">
        <v>0.16</v>
      </c>
      <c r="F11" s="903">
        <v>0.15</v>
      </c>
      <c r="G11" s="903">
        <v>0.09</v>
      </c>
      <c r="H11" s="903">
        <v>0.05</v>
      </c>
      <c r="I11" s="903">
        <v>0.05</v>
      </c>
      <c r="J11" s="903">
        <v>0.04</v>
      </c>
      <c r="K11" s="903">
        <v>0</v>
      </c>
      <c r="L11" s="903">
        <v>0</v>
      </c>
      <c r="M11" s="903">
        <v>0</v>
      </c>
      <c r="N11" s="903">
        <v>0</v>
      </c>
      <c r="O11" s="237">
        <f>SUM(C11:N11)</f>
        <v>0.91000000000000014</v>
      </c>
      <c r="P11" s="903"/>
      <c r="Q11" s="903"/>
      <c r="R11" s="903"/>
      <c r="S11" s="903"/>
      <c r="T11" s="903"/>
      <c r="U11" s="903"/>
      <c r="V11" s="903"/>
      <c r="W11" s="903"/>
      <c r="X11" s="903"/>
      <c r="Y11" s="903"/>
      <c r="Z11" s="903"/>
      <c r="AA11" s="903"/>
      <c r="AC11" s="901"/>
      <c r="AD11" s="901"/>
      <c r="AE11" s="901"/>
      <c r="AF11" s="901"/>
      <c r="AG11" s="901"/>
      <c r="AH11" s="901"/>
      <c r="AI11" s="901"/>
      <c r="AJ11" s="901"/>
      <c r="AK11" s="901"/>
      <c r="AL11" s="901"/>
      <c r="AM11" s="901"/>
      <c r="AN11" s="901"/>
    </row>
    <row r="12" spans="1:45" ht="31" x14ac:dyDescent="0.35">
      <c r="A12" s="224" t="s">
        <v>393</v>
      </c>
      <c r="B12" s="675" t="s">
        <v>394</v>
      </c>
      <c r="C12" s="903">
        <v>0.2</v>
      </c>
      <c r="D12" s="903">
        <v>0.17</v>
      </c>
      <c r="E12" s="903">
        <v>0.16</v>
      </c>
      <c r="F12" s="903">
        <v>0.15</v>
      </c>
      <c r="G12" s="903">
        <v>0.09</v>
      </c>
      <c r="H12" s="903">
        <v>0.05</v>
      </c>
      <c r="I12" s="903">
        <v>0.05</v>
      </c>
      <c r="J12" s="903">
        <v>0.04</v>
      </c>
      <c r="K12" s="903">
        <v>0</v>
      </c>
      <c r="L12" s="903">
        <v>0</v>
      </c>
      <c r="M12" s="903">
        <v>0</v>
      </c>
      <c r="N12" s="903">
        <v>0</v>
      </c>
      <c r="O12" s="237">
        <f t="shared" si="1"/>
        <v>0.91000000000000014</v>
      </c>
      <c r="P12" s="903"/>
      <c r="Q12" s="903"/>
      <c r="R12" s="903"/>
      <c r="S12" s="903"/>
      <c r="T12" s="903"/>
      <c r="U12" s="903"/>
      <c r="V12" s="903"/>
      <c r="W12" s="903"/>
      <c r="X12" s="903"/>
      <c r="Y12" s="903"/>
      <c r="Z12" s="903"/>
      <c r="AA12" s="903"/>
      <c r="AC12" s="901"/>
      <c r="AD12" s="901"/>
      <c r="AE12" s="901"/>
      <c r="AF12" s="901"/>
      <c r="AG12" s="901"/>
      <c r="AH12" s="901"/>
      <c r="AI12" s="901"/>
      <c r="AJ12" s="901"/>
      <c r="AK12" s="901"/>
      <c r="AL12" s="901"/>
      <c r="AM12" s="901"/>
      <c r="AN12" s="901"/>
    </row>
    <row r="13" spans="1:45" ht="31" x14ac:dyDescent="0.35">
      <c r="A13" s="224" t="s">
        <v>395</v>
      </c>
      <c r="B13" s="675" t="s">
        <v>396</v>
      </c>
      <c r="C13" s="903">
        <v>0.14000000000000001</v>
      </c>
      <c r="D13" s="903">
        <v>0.1</v>
      </c>
      <c r="E13" s="903">
        <v>0.1</v>
      </c>
      <c r="F13" s="903">
        <v>0.05</v>
      </c>
      <c r="G13" s="903">
        <v>0.05</v>
      </c>
      <c r="H13" s="903">
        <v>0.05</v>
      </c>
      <c r="I13" s="903">
        <v>0.05</v>
      </c>
      <c r="J13" s="903">
        <v>0.05</v>
      </c>
      <c r="K13" s="903">
        <v>0.05</v>
      </c>
      <c r="L13" s="903">
        <v>0</v>
      </c>
      <c r="M13" s="903">
        <v>0</v>
      </c>
      <c r="N13" s="903">
        <v>0</v>
      </c>
      <c r="O13" s="237">
        <f t="shared" si="1"/>
        <v>0.64000000000000012</v>
      </c>
      <c r="P13" s="903"/>
      <c r="Q13" s="903"/>
      <c r="R13" s="903"/>
      <c r="S13" s="903"/>
      <c r="T13" s="903"/>
      <c r="U13" s="903"/>
      <c r="V13" s="903"/>
      <c r="W13" s="903"/>
      <c r="X13" s="903"/>
      <c r="Y13" s="903"/>
      <c r="Z13" s="903"/>
      <c r="AA13" s="903"/>
      <c r="AC13" s="901"/>
      <c r="AD13" s="901"/>
      <c r="AE13" s="901"/>
      <c r="AF13" s="901"/>
      <c r="AG13" s="901"/>
      <c r="AH13" s="901"/>
      <c r="AI13" s="901"/>
      <c r="AJ13" s="901"/>
      <c r="AK13" s="901"/>
      <c r="AL13" s="901"/>
      <c r="AM13" s="901"/>
      <c r="AN13" s="901"/>
    </row>
    <row r="14" spans="1:45" ht="46.5" x14ac:dyDescent="0.35">
      <c r="A14" s="224" t="s">
        <v>397</v>
      </c>
      <c r="B14" s="675" t="s">
        <v>398</v>
      </c>
      <c r="C14" s="903">
        <v>0.04</v>
      </c>
      <c r="D14" s="903">
        <v>0.04</v>
      </c>
      <c r="E14" s="903">
        <v>1.7000000000000001E-2</v>
      </c>
      <c r="F14" s="903">
        <v>1.7000000000000001E-2</v>
      </c>
      <c r="G14" s="903">
        <v>1.7000000000000001E-2</v>
      </c>
      <c r="H14" s="903">
        <v>1.7000000000000001E-2</v>
      </c>
      <c r="I14" s="903">
        <v>1.7000000000000001E-2</v>
      </c>
      <c r="J14" s="903">
        <v>1.7000000000000001E-2</v>
      </c>
      <c r="K14" s="903">
        <v>1.7000000000000001E-2</v>
      </c>
      <c r="L14" s="903">
        <v>1.7000000000000001E-2</v>
      </c>
      <c r="M14" s="903">
        <v>1.7000000000000001E-2</v>
      </c>
      <c r="N14" s="903">
        <v>1.7000000000000001E-2</v>
      </c>
      <c r="O14" s="237">
        <f>SUM(C14:N14)</f>
        <v>0.25000000000000011</v>
      </c>
      <c r="P14" s="903"/>
      <c r="Q14" s="903"/>
      <c r="R14" s="903"/>
      <c r="S14" s="903"/>
      <c r="T14" s="903"/>
      <c r="U14" s="903"/>
      <c r="V14" s="903"/>
      <c r="W14" s="903"/>
      <c r="X14" s="903"/>
      <c r="Y14" s="903"/>
      <c r="Z14" s="903"/>
      <c r="AA14" s="903"/>
      <c r="AC14" s="901"/>
      <c r="AD14" s="901"/>
      <c r="AE14" s="901"/>
      <c r="AF14" s="901"/>
      <c r="AG14" s="901"/>
      <c r="AH14" s="901"/>
      <c r="AI14" s="901"/>
      <c r="AJ14" s="901"/>
      <c r="AK14" s="901"/>
      <c r="AL14" s="901"/>
      <c r="AM14" s="901"/>
      <c r="AN14" s="901"/>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33" t="s">
        <v>74</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2:30" ht="14.15" customHeight="1" x14ac:dyDescent="0.3">
      <c r="B2" s="1134" t="s">
        <v>399</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row>
    <row r="3" spans="2:30" x14ac:dyDescent="0.3">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row>
    <row r="4" spans="2:30" x14ac:dyDescent="0.3">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row>
    <row r="5" spans="2:30" x14ac:dyDescent="0.3">
      <c r="B5" s="1134"/>
      <c r="C5" s="1134"/>
      <c r="D5" s="1134"/>
      <c r="E5" s="1134"/>
      <c r="F5" s="1134"/>
      <c r="G5" s="1134"/>
      <c r="H5" s="1134"/>
      <c r="I5" s="1134"/>
      <c r="J5" s="1134"/>
      <c r="K5" s="1134"/>
      <c r="L5" s="1134"/>
      <c r="M5" s="1134"/>
      <c r="N5" s="1134"/>
      <c r="O5" s="1134"/>
      <c r="P5" s="1134"/>
      <c r="Q5" s="1134"/>
      <c r="R5" s="1134"/>
      <c r="S5" s="1134"/>
      <c r="T5" s="1134"/>
      <c r="U5" s="1134"/>
      <c r="V5" s="1134"/>
      <c r="W5" s="1134"/>
      <c r="X5" s="1134"/>
      <c r="Y5" s="1134"/>
      <c r="Z5" s="1134"/>
      <c r="AA5" s="1134"/>
      <c r="AB5" s="1134"/>
      <c r="AC5" s="1134"/>
    </row>
    <row r="6" spans="2:30" ht="38.5" customHeight="1" x14ac:dyDescent="0.3">
      <c r="B6" s="1134"/>
      <c r="C6" s="1134"/>
      <c r="D6" s="1134"/>
      <c r="E6" s="1134"/>
      <c r="F6" s="1134"/>
      <c r="G6" s="1134"/>
      <c r="H6" s="1134"/>
      <c r="I6" s="1134"/>
      <c r="J6" s="1134"/>
      <c r="K6" s="1134"/>
      <c r="L6" s="1134"/>
      <c r="M6" s="1134"/>
      <c r="N6" s="1134"/>
      <c r="O6" s="1134"/>
      <c r="P6" s="1134"/>
      <c r="Q6" s="1134"/>
      <c r="R6" s="1134"/>
      <c r="S6" s="1134"/>
      <c r="T6" s="1134"/>
      <c r="U6" s="1134"/>
      <c r="V6" s="1134"/>
      <c r="W6" s="1134"/>
      <c r="X6" s="1134"/>
      <c r="Y6" s="1134"/>
      <c r="Z6" s="1134"/>
      <c r="AA6" s="1134"/>
      <c r="AB6" s="1134"/>
      <c r="AC6" s="1134"/>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138" t="s">
        <v>400</v>
      </c>
      <c r="C8" s="1139"/>
      <c r="D8" s="1145" t="s">
        <v>401</v>
      </c>
      <c r="E8" s="1146"/>
      <c r="F8" s="1146"/>
      <c r="G8" s="1146"/>
      <c r="H8" s="1146"/>
      <c r="I8" s="1146"/>
      <c r="J8" s="1146"/>
      <c r="K8" s="1146"/>
      <c r="L8" s="1146"/>
      <c r="M8" s="1146"/>
      <c r="N8" s="1146"/>
      <c r="O8" s="1147"/>
      <c r="P8" s="1148" t="s">
        <v>402</v>
      </c>
      <c r="Q8" s="1149"/>
      <c r="R8" s="1149"/>
      <c r="S8" s="1149"/>
      <c r="T8" s="1149"/>
      <c r="U8" s="1149"/>
      <c r="V8" s="1149"/>
      <c r="W8" s="1149"/>
      <c r="X8" s="1149"/>
      <c r="Y8" s="1149"/>
      <c r="Z8" s="1149"/>
      <c r="AA8" s="1149"/>
      <c r="AB8" s="1149"/>
      <c r="AC8" s="1150"/>
    </row>
    <row r="9" spans="2:30" ht="12.65" customHeight="1" x14ac:dyDescent="0.3">
      <c r="B9" s="1140"/>
      <c r="C9" s="1141"/>
      <c r="D9" s="524">
        <v>2018</v>
      </c>
      <c r="E9" s="1135">
        <v>2019</v>
      </c>
      <c r="F9" s="1136"/>
      <c r="G9" s="1136"/>
      <c r="H9" s="1137"/>
      <c r="I9" s="1136">
        <v>2020</v>
      </c>
      <c r="J9" s="1136"/>
      <c r="K9" s="1136"/>
      <c r="L9" s="1136"/>
      <c r="M9" s="1135">
        <v>2021</v>
      </c>
      <c r="N9" s="1136"/>
      <c r="O9" s="1137"/>
      <c r="P9" s="839"/>
      <c r="Q9" s="1142">
        <v>2022</v>
      </c>
      <c r="R9" s="1143"/>
      <c r="S9" s="1143"/>
      <c r="T9" s="1143"/>
      <c r="U9" s="1142">
        <v>2023</v>
      </c>
      <c r="V9" s="1143"/>
      <c r="W9" s="1143"/>
      <c r="X9" s="1144"/>
      <c r="Y9" s="1142">
        <v>2024</v>
      </c>
      <c r="Z9" s="1143"/>
      <c r="AA9" s="1143"/>
      <c r="AB9" s="1143"/>
      <c r="AC9" s="329">
        <v>2025</v>
      </c>
    </row>
    <row r="10" spans="2:30" ht="14.5" customHeight="1" x14ac:dyDescent="0.3">
      <c r="B10" s="1140"/>
      <c r="C10" s="1141"/>
      <c r="D10" s="166" t="s">
        <v>403</v>
      </c>
      <c r="E10" s="166" t="s">
        <v>404</v>
      </c>
      <c r="F10" s="147" t="s">
        <v>405</v>
      </c>
      <c r="G10" s="147" t="s">
        <v>290</v>
      </c>
      <c r="H10" s="154" t="s">
        <v>403</v>
      </c>
      <c r="I10" s="148" t="s">
        <v>404</v>
      </c>
      <c r="J10" s="148" t="s">
        <v>405</v>
      </c>
      <c r="K10" s="148" t="s">
        <v>290</v>
      </c>
      <c r="L10" s="148"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46" t="s">
        <v>405</v>
      </c>
      <c r="AA10" s="59" t="s">
        <v>290</v>
      </c>
      <c r="AB10" s="59" t="s">
        <v>403</v>
      </c>
      <c r="AC10" s="61" t="s">
        <v>404</v>
      </c>
    </row>
    <row r="11" spans="2:30" x14ac:dyDescent="0.3">
      <c r="B11" s="351" t="s">
        <v>145</v>
      </c>
      <c r="C11" s="866" t="s">
        <v>406</v>
      </c>
      <c r="D11" s="569">
        <f>'Haver Pivoted'!GO14</f>
        <v>27.1</v>
      </c>
      <c r="E11" s="760">
        <f>'Haver Pivoted'!GP14</f>
        <v>28.4</v>
      </c>
      <c r="F11" s="760">
        <f>'Haver Pivoted'!GQ14</f>
        <v>27.8</v>
      </c>
      <c r="G11" s="760">
        <f>'Haver Pivoted'!GR14</f>
        <v>27.4</v>
      </c>
      <c r="H11" s="760">
        <f>'Haver Pivoted'!GS14</f>
        <v>26.8</v>
      </c>
      <c r="I11" s="760">
        <f>'Haver Pivoted'!GT14</f>
        <v>39.5</v>
      </c>
      <c r="J11" s="760">
        <f>'Haver Pivoted'!GU14</f>
        <v>1039.4000000000001</v>
      </c>
      <c r="K11" s="760">
        <f>'Haver Pivoted'!GV14</f>
        <v>767.8</v>
      </c>
      <c r="L11" s="760">
        <f>'Haver Pivoted'!GW14</f>
        <v>299.89999999999998</v>
      </c>
      <c r="M11" s="43">
        <f>'Haver Pivoted'!GX14</f>
        <v>565.79999999999995</v>
      </c>
      <c r="N11" s="43">
        <f>'Haver Pivoted'!GY14</f>
        <v>480.4</v>
      </c>
      <c r="O11" s="273">
        <f>'Haver Pivoted'!GZ14</f>
        <v>272.60000000000002</v>
      </c>
      <c r="P11" s="906">
        <f>P12+P13+P20</f>
        <v>32.412642857142878</v>
      </c>
      <c r="Q11" s="906">
        <f t="shared" ref="Q11:AC11" si="0">Q12+Q13+Q20</f>
        <v>28.861246753246771</v>
      </c>
      <c r="R11" s="906">
        <f t="shared" si="0"/>
        <v>26.856993506493524</v>
      </c>
      <c r="S11" s="906">
        <f t="shared" si="0"/>
        <v>25.893545454545471</v>
      </c>
      <c r="T11" s="906">
        <f t="shared" si="0"/>
        <v>25.57708441558443</v>
      </c>
      <c r="U11" s="906">
        <f t="shared" si="0"/>
        <v>25.752896103896116</v>
      </c>
      <c r="V11" s="906">
        <f t="shared" si="0"/>
        <v>26.1467142857143</v>
      </c>
      <c r="W11" s="906">
        <f t="shared" si="0"/>
        <v>26.547564935064948</v>
      </c>
      <c r="X11" s="906">
        <f t="shared" si="0"/>
        <v>26.969512987013001</v>
      </c>
      <c r="Y11" s="906">
        <f t="shared" si="0"/>
        <v>27.496948051948067</v>
      </c>
      <c r="Z11" s="906">
        <f t="shared" si="0"/>
        <v>27.932961038961054</v>
      </c>
      <c r="AA11" s="906">
        <f t="shared" si="0"/>
        <v>28.277551948051961</v>
      </c>
      <c r="AB11" s="906">
        <f t="shared" si="0"/>
        <v>28.706532467532483</v>
      </c>
      <c r="AC11" s="620">
        <f t="shared" si="0"/>
        <v>29.121448051948068</v>
      </c>
      <c r="AD11" s="34" t="s">
        <v>407</v>
      </c>
    </row>
    <row r="12" spans="2:30" x14ac:dyDescent="0.3">
      <c r="B12" s="345" t="s">
        <v>408</v>
      </c>
      <c r="C12" s="346" t="s">
        <v>409</v>
      </c>
      <c r="D12" s="145">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3">
        <f>'Haver Pivoted'!GZ63</f>
        <v>5.8</v>
      </c>
      <c r="P12" s="384">
        <v>0</v>
      </c>
      <c r="Q12" s="384">
        <f>MAX(P12*(Q22-5)/(P22-5),0)</f>
        <v>0</v>
      </c>
      <c r="R12" s="384">
        <f>MAX(Q12*(R22-5)/(Q22-5),0)</f>
        <v>0</v>
      </c>
      <c r="S12" s="384">
        <f>MAX(R12*(S22-5)/(R22-5),0)</f>
        <v>0</v>
      </c>
      <c r="T12" s="384">
        <f>MAX(S12*(T22-5)/(S22-5),0)</f>
        <v>0</v>
      </c>
      <c r="U12" s="384">
        <f t="shared" ref="U12:AC12" si="1">T12*U22/T22</f>
        <v>0</v>
      </c>
      <c r="V12" s="384">
        <f t="shared" si="1"/>
        <v>0</v>
      </c>
      <c r="W12" s="384">
        <f t="shared" si="1"/>
        <v>0</v>
      </c>
      <c r="X12" s="384">
        <f t="shared" si="1"/>
        <v>0</v>
      </c>
      <c r="Y12" s="384">
        <f t="shared" si="1"/>
        <v>0</v>
      </c>
      <c r="Z12" s="384">
        <f t="shared" si="1"/>
        <v>0</v>
      </c>
      <c r="AA12" s="384">
        <f t="shared" si="1"/>
        <v>0</v>
      </c>
      <c r="AB12" s="384">
        <f t="shared" si="1"/>
        <v>0</v>
      </c>
      <c r="AC12" s="385">
        <f t="shared" si="1"/>
        <v>0</v>
      </c>
    </row>
    <row r="13" spans="2:30" x14ac:dyDescent="0.3">
      <c r="B13" s="345" t="s">
        <v>410</v>
      </c>
      <c r="C13" s="346"/>
      <c r="D13" s="145"/>
      <c r="E13" s="43"/>
      <c r="F13" s="43"/>
      <c r="G13" s="43"/>
      <c r="H13" s="63">
        <f>SUM(H14:H17)</f>
        <v>0</v>
      </c>
      <c r="I13" s="63">
        <f t="shared" ref="I13:M13" si="2">SUM(I14:I17)</f>
        <v>0</v>
      </c>
      <c r="J13" s="63">
        <f t="shared" si="2"/>
        <v>779.7</v>
      </c>
      <c r="K13" s="63">
        <f t="shared" si="2"/>
        <v>582.6</v>
      </c>
      <c r="L13" s="63">
        <f t="shared" si="2"/>
        <v>216.5</v>
      </c>
      <c r="M13" s="63">
        <f t="shared" si="2"/>
        <v>505</v>
      </c>
      <c r="N13" s="282">
        <f>SUM(N14:N17)</f>
        <v>429.59999999999997</v>
      </c>
      <c r="O13" s="907">
        <f t="shared" ref="O13:AC13" si="3">SUM(O14:O17)</f>
        <v>230.7</v>
      </c>
      <c r="P13" s="384">
        <f t="shared" si="3"/>
        <v>0</v>
      </c>
      <c r="Q13" s="384">
        <f t="shared" si="3"/>
        <v>0</v>
      </c>
      <c r="R13" s="384">
        <f t="shared" si="3"/>
        <v>0</v>
      </c>
      <c r="S13" s="384">
        <f t="shared" si="3"/>
        <v>0</v>
      </c>
      <c r="T13" s="384">
        <f t="shared" si="3"/>
        <v>0</v>
      </c>
      <c r="U13" s="384">
        <f t="shared" si="3"/>
        <v>0</v>
      </c>
      <c r="V13" s="384">
        <f t="shared" si="3"/>
        <v>0</v>
      </c>
      <c r="W13" s="384">
        <f t="shared" si="3"/>
        <v>0</v>
      </c>
      <c r="X13" s="384">
        <f t="shared" si="3"/>
        <v>0</v>
      </c>
      <c r="Y13" s="384">
        <f t="shared" si="3"/>
        <v>0</v>
      </c>
      <c r="Z13" s="384">
        <f t="shared" si="3"/>
        <v>0</v>
      </c>
      <c r="AA13" s="384">
        <f t="shared" si="3"/>
        <v>0</v>
      </c>
      <c r="AB13" s="384">
        <f t="shared" si="3"/>
        <v>0</v>
      </c>
      <c r="AC13" s="385">
        <f t="shared" si="3"/>
        <v>0</v>
      </c>
    </row>
    <row r="14" spans="2:30" ht="18" customHeight="1" x14ac:dyDescent="0.3">
      <c r="B14" s="347" t="s">
        <v>411</v>
      </c>
      <c r="C14" s="66" t="s">
        <v>409</v>
      </c>
      <c r="D14" s="124">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0">
        <f>'Haver Pivoted'!GZ63</f>
        <v>5.8</v>
      </c>
      <c r="P14" s="386">
        <f t="shared" ref="P14:X14" si="4">P12</f>
        <v>0</v>
      </c>
      <c r="Q14" s="386">
        <f t="shared" si="4"/>
        <v>0</v>
      </c>
      <c r="R14" s="386">
        <f t="shared" si="4"/>
        <v>0</v>
      </c>
      <c r="S14" s="386">
        <f t="shared" si="4"/>
        <v>0</v>
      </c>
      <c r="T14" s="386">
        <f t="shared" si="4"/>
        <v>0</v>
      </c>
      <c r="U14" s="386">
        <f t="shared" si="4"/>
        <v>0</v>
      </c>
      <c r="V14" s="386">
        <f t="shared" si="4"/>
        <v>0</v>
      </c>
      <c r="W14" s="386">
        <f t="shared" si="4"/>
        <v>0</v>
      </c>
      <c r="X14" s="386">
        <f t="shared" si="4"/>
        <v>0</v>
      </c>
      <c r="Y14" s="386">
        <f>Y12</f>
        <v>0</v>
      </c>
      <c r="Z14" s="386">
        <f t="shared" ref="Z14:AC14" si="5">Z12</f>
        <v>0</v>
      </c>
      <c r="AA14" s="386">
        <f t="shared" si="5"/>
        <v>0</v>
      </c>
      <c r="AB14" s="386">
        <f t="shared" si="5"/>
        <v>0</v>
      </c>
      <c r="AC14" s="621">
        <f t="shared" si="5"/>
        <v>0</v>
      </c>
    </row>
    <row r="15" spans="2:30" ht="18" customHeight="1" x14ac:dyDescent="0.3">
      <c r="B15" s="352" t="s">
        <v>412</v>
      </c>
      <c r="C15" s="353" t="s">
        <v>413</v>
      </c>
      <c r="D15" s="355">
        <f>'Haver Pivoted'!GO59</f>
        <v>0</v>
      </c>
      <c r="E15" s="356">
        <f>'Haver Pivoted'!GP59</f>
        <v>0</v>
      </c>
      <c r="F15" s="356">
        <f>'Haver Pivoted'!GQ59</f>
        <v>0</v>
      </c>
      <c r="G15" s="356">
        <f>'Haver Pivoted'!GR59</f>
        <v>0</v>
      </c>
      <c r="H15" s="356">
        <f>'Haver Pivoted'!GS59</f>
        <v>0</v>
      </c>
      <c r="I15" s="356">
        <f>'Haver Pivoted'!GT59</f>
        <v>0</v>
      </c>
      <c r="J15" s="356">
        <f>'Haver Pivoted'!GU59</f>
        <v>6.3</v>
      </c>
      <c r="K15" s="356">
        <f>'Haver Pivoted'!GV59</f>
        <v>26.7</v>
      </c>
      <c r="L15" s="356">
        <f>'Haver Pivoted'!GW59</f>
        <v>82.1</v>
      </c>
      <c r="M15" s="356">
        <f>'Haver Pivoted'!GX59</f>
        <v>97.8</v>
      </c>
      <c r="N15" s="356">
        <f>'Haver Pivoted'!GY59</f>
        <v>104.5</v>
      </c>
      <c r="O15" s="908">
        <f>'Haver Pivoted'!GZ59</f>
        <v>61.6</v>
      </c>
      <c r="P15" s="386">
        <v>0</v>
      </c>
      <c r="Q15" s="386">
        <f t="shared" ref="Q15:AC15" si="6">P15*Q$22/P$22</f>
        <v>0</v>
      </c>
      <c r="R15" s="386">
        <f t="shared" si="6"/>
        <v>0</v>
      </c>
      <c r="S15" s="386">
        <f t="shared" si="6"/>
        <v>0</v>
      </c>
      <c r="T15" s="386">
        <f t="shared" si="6"/>
        <v>0</v>
      </c>
      <c r="U15" s="386">
        <f t="shared" si="6"/>
        <v>0</v>
      </c>
      <c r="V15" s="386">
        <f t="shared" si="6"/>
        <v>0</v>
      </c>
      <c r="W15" s="386">
        <f t="shared" si="6"/>
        <v>0</v>
      </c>
      <c r="X15" s="386">
        <f t="shared" si="6"/>
        <v>0</v>
      </c>
      <c r="Y15" s="386">
        <f t="shared" si="6"/>
        <v>0</v>
      </c>
      <c r="Z15" s="386">
        <f t="shared" si="6"/>
        <v>0</v>
      </c>
      <c r="AA15" s="386">
        <f t="shared" si="6"/>
        <v>0</v>
      </c>
      <c r="AB15" s="386">
        <f t="shared" si="6"/>
        <v>0</v>
      </c>
      <c r="AC15" s="621">
        <f t="shared" si="6"/>
        <v>0</v>
      </c>
    </row>
    <row r="16" spans="2:30" ht="18" customHeight="1" x14ac:dyDescent="0.3">
      <c r="B16" s="352" t="s">
        <v>414</v>
      </c>
      <c r="C16" s="353" t="s">
        <v>415</v>
      </c>
      <c r="D16" s="355">
        <f>'Haver Pivoted'!GO60</f>
        <v>0</v>
      </c>
      <c r="E16" s="356">
        <f>'Haver Pivoted'!GP60</f>
        <v>0</v>
      </c>
      <c r="F16" s="356">
        <f>'Haver Pivoted'!GQ60</f>
        <v>0</v>
      </c>
      <c r="G16" s="356">
        <f>'Haver Pivoted'!GR60</f>
        <v>0</v>
      </c>
      <c r="H16" s="356">
        <f>'Haver Pivoted'!GS60</f>
        <v>0</v>
      </c>
      <c r="I16" s="356">
        <f>'Haver Pivoted'!GT60</f>
        <v>0</v>
      </c>
      <c r="J16" s="356">
        <f>'Haver Pivoted'!GU60</f>
        <v>74.400000000000006</v>
      </c>
      <c r="K16" s="356">
        <f>'Haver Pivoted'!GV60</f>
        <v>138.30000000000001</v>
      </c>
      <c r="L16" s="356">
        <f>'Haver Pivoted'!GW60</f>
        <v>106.8</v>
      </c>
      <c r="M16" s="356">
        <f>'Haver Pivoted'!GX60</f>
        <v>95.3</v>
      </c>
      <c r="N16" s="356">
        <f>'Haver Pivoted'!GY60</f>
        <v>82.1</v>
      </c>
      <c r="O16" s="908">
        <f>'Haver Pivoted'!GZ60</f>
        <v>50.1</v>
      </c>
      <c r="P16" s="386">
        <v>0</v>
      </c>
      <c r="Q16" s="386">
        <f t="shared" ref="Q16:AC16" si="7">P16*Q$22/P$22</f>
        <v>0</v>
      </c>
      <c r="R16" s="386">
        <f t="shared" si="7"/>
        <v>0</v>
      </c>
      <c r="S16" s="386">
        <f t="shared" si="7"/>
        <v>0</v>
      </c>
      <c r="T16" s="386">
        <f t="shared" si="7"/>
        <v>0</v>
      </c>
      <c r="U16" s="386">
        <f t="shared" si="7"/>
        <v>0</v>
      </c>
      <c r="V16" s="386">
        <f t="shared" si="7"/>
        <v>0</v>
      </c>
      <c r="W16" s="386">
        <f t="shared" si="7"/>
        <v>0</v>
      </c>
      <c r="X16" s="386">
        <f t="shared" si="7"/>
        <v>0</v>
      </c>
      <c r="Y16" s="386">
        <f t="shared" si="7"/>
        <v>0</v>
      </c>
      <c r="Z16" s="386">
        <f t="shared" si="7"/>
        <v>0</v>
      </c>
      <c r="AA16" s="386">
        <f t="shared" si="7"/>
        <v>0</v>
      </c>
      <c r="AB16" s="386">
        <f t="shared" si="7"/>
        <v>0</v>
      </c>
      <c r="AC16" s="621">
        <f t="shared" si="7"/>
        <v>0</v>
      </c>
    </row>
    <row r="17" spans="2:30" ht="18" customHeight="1" x14ac:dyDescent="0.3">
      <c r="B17" s="352" t="s">
        <v>416</v>
      </c>
      <c r="C17" s="353" t="s">
        <v>417</v>
      </c>
      <c r="D17" s="355">
        <f>'Haver Pivoted'!GO61</f>
        <v>0</v>
      </c>
      <c r="E17" s="356">
        <f>'Haver Pivoted'!GP61</f>
        <v>0</v>
      </c>
      <c r="F17" s="356">
        <f>'Haver Pivoted'!GQ61</f>
        <v>0</v>
      </c>
      <c r="G17" s="356">
        <f>'Haver Pivoted'!GR61</f>
        <v>0</v>
      </c>
      <c r="H17" s="356">
        <f>'Haver Pivoted'!GS61</f>
        <v>0</v>
      </c>
      <c r="I17" s="356">
        <f>'Haver Pivoted'!GT61</f>
        <v>0</v>
      </c>
      <c r="J17" s="356">
        <f>'Haver Pivoted'!GU61</f>
        <v>698.9</v>
      </c>
      <c r="K17" s="356">
        <f>'Haver Pivoted'!GV61</f>
        <v>413.9</v>
      </c>
      <c r="L17" s="356">
        <f>'Haver Pivoted'!GW61</f>
        <v>14.7</v>
      </c>
      <c r="M17" s="356">
        <f>'Haver Pivoted'!GX61</f>
        <v>286.89999999999998</v>
      </c>
      <c r="N17" s="356">
        <f>'Haver Pivoted'!GY61</f>
        <v>237.2</v>
      </c>
      <c r="O17" s="908">
        <f>'Haver Pivoted'!GZ61</f>
        <v>113.2</v>
      </c>
      <c r="P17" s="386">
        <v>0</v>
      </c>
      <c r="Q17" s="386">
        <f t="shared" ref="Q17:AC17" si="8">P17*Q$22/P$22</f>
        <v>0</v>
      </c>
      <c r="R17" s="386">
        <f t="shared" si="8"/>
        <v>0</v>
      </c>
      <c r="S17" s="386">
        <f t="shared" si="8"/>
        <v>0</v>
      </c>
      <c r="T17" s="386">
        <f t="shared" si="8"/>
        <v>0</v>
      </c>
      <c r="U17" s="386">
        <f t="shared" si="8"/>
        <v>0</v>
      </c>
      <c r="V17" s="386">
        <f t="shared" si="8"/>
        <v>0</v>
      </c>
      <c r="W17" s="386">
        <f t="shared" si="8"/>
        <v>0</v>
      </c>
      <c r="X17" s="386">
        <f t="shared" si="8"/>
        <v>0</v>
      </c>
      <c r="Y17" s="386">
        <f t="shared" si="8"/>
        <v>0</v>
      </c>
      <c r="Z17" s="386">
        <f t="shared" si="8"/>
        <v>0</v>
      </c>
      <c r="AA17" s="386">
        <f t="shared" si="8"/>
        <v>0</v>
      </c>
      <c r="AB17" s="386">
        <f t="shared" si="8"/>
        <v>0</v>
      </c>
      <c r="AC17" s="621">
        <f t="shared" si="8"/>
        <v>0</v>
      </c>
    </row>
    <row r="18" spans="2:30" x14ac:dyDescent="0.3">
      <c r="B18" s="49" t="s">
        <v>201</v>
      </c>
      <c r="C18" s="34" t="s">
        <v>418</v>
      </c>
      <c r="D18" s="145">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3">
        <f>'Haver Pivoted'!GZ64</f>
        <v>0.1</v>
      </c>
      <c r="P18" s="384"/>
      <c r="Q18" s="384"/>
      <c r="R18" s="384"/>
      <c r="S18" s="384"/>
      <c r="T18" s="384"/>
      <c r="U18" s="384"/>
      <c r="V18" s="384"/>
      <c r="W18" s="384"/>
      <c r="X18" s="384"/>
      <c r="Y18" s="384"/>
      <c r="Z18" s="384"/>
      <c r="AA18" s="384"/>
      <c r="AB18" s="384"/>
      <c r="AC18" s="385"/>
    </row>
    <row r="19" spans="2:30" ht="14.5" x14ac:dyDescent="0.35">
      <c r="B19" s="50" t="s">
        <v>419</v>
      </c>
      <c r="C19" s="354"/>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86">
        <f t="shared" ref="P19:Y19" si="10">P11-P20</f>
        <v>0</v>
      </c>
      <c r="Q19" s="386">
        <f t="shared" si="10"/>
        <v>0</v>
      </c>
      <c r="R19" s="386">
        <f t="shared" si="10"/>
        <v>0</v>
      </c>
      <c r="S19" s="386">
        <f t="shared" si="10"/>
        <v>0</v>
      </c>
      <c r="T19" s="386">
        <f t="shared" si="10"/>
        <v>0</v>
      </c>
      <c r="U19" s="386">
        <f t="shared" si="10"/>
        <v>0</v>
      </c>
      <c r="V19" s="386">
        <f t="shared" si="10"/>
        <v>0</v>
      </c>
      <c r="W19" s="386">
        <f t="shared" si="10"/>
        <v>0</v>
      </c>
      <c r="X19" s="386">
        <f t="shared" si="10"/>
        <v>0</v>
      </c>
      <c r="Y19" s="386">
        <f t="shared" si="10"/>
        <v>0</v>
      </c>
      <c r="Z19" s="386">
        <f t="shared" ref="Z19:AC19" si="11">Z11-Z20</f>
        <v>0</v>
      </c>
      <c r="AA19" s="386">
        <f t="shared" si="11"/>
        <v>0</v>
      </c>
      <c r="AB19" s="386">
        <f t="shared" si="11"/>
        <v>0</v>
      </c>
      <c r="AC19" s="621">
        <f t="shared" si="11"/>
        <v>0</v>
      </c>
    </row>
    <row r="20" spans="2:30" ht="14.5" x14ac:dyDescent="0.35">
      <c r="B20" s="50" t="s">
        <v>420</v>
      </c>
      <c r="C20" s="35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2">
        <f>N11-N12-N13</f>
        <v>45</v>
      </c>
      <c r="O20" s="907">
        <f>O11-O12-O13</f>
        <v>36.100000000000023</v>
      </c>
      <c r="P20" s="384">
        <f t="shared" ref="P20:AC20" si="13">O20*P22/O22</f>
        <v>32.412642857142878</v>
      </c>
      <c r="Q20" s="384">
        <f>P20*Q22/P22</f>
        <v>28.861246753246771</v>
      </c>
      <c r="R20" s="384">
        <f t="shared" si="13"/>
        <v>26.856993506493524</v>
      </c>
      <c r="S20" s="384">
        <f t="shared" si="13"/>
        <v>25.893545454545471</v>
      </c>
      <c r="T20" s="384">
        <f t="shared" si="13"/>
        <v>25.57708441558443</v>
      </c>
      <c r="U20" s="384">
        <f t="shared" si="13"/>
        <v>25.752896103896116</v>
      </c>
      <c r="V20" s="384">
        <f t="shared" si="13"/>
        <v>26.1467142857143</v>
      </c>
      <c r="W20" s="384">
        <f t="shared" si="13"/>
        <v>26.547564935064948</v>
      </c>
      <c r="X20" s="384">
        <f t="shared" si="13"/>
        <v>26.969512987013001</v>
      </c>
      <c r="Y20" s="384">
        <f t="shared" si="13"/>
        <v>27.496948051948067</v>
      </c>
      <c r="Z20" s="384">
        <f t="shared" si="13"/>
        <v>27.932961038961054</v>
      </c>
      <c r="AA20" s="384">
        <f t="shared" si="13"/>
        <v>28.277551948051961</v>
      </c>
      <c r="AB20" s="384">
        <f t="shared" si="13"/>
        <v>28.706532467532483</v>
      </c>
      <c r="AC20" s="385">
        <f t="shared" si="13"/>
        <v>29.121448051948068</v>
      </c>
      <c r="AD20" s="34" t="s">
        <v>421</v>
      </c>
    </row>
    <row r="21" spans="2:30" x14ac:dyDescent="0.3">
      <c r="B21" s="49"/>
      <c r="C21" s="354"/>
      <c r="D21" s="124"/>
      <c r="E21" s="88"/>
      <c r="F21" s="88"/>
      <c r="G21" s="88"/>
      <c r="H21" s="62"/>
      <c r="I21" s="62"/>
      <c r="J21" s="62"/>
      <c r="K21" s="62"/>
      <c r="L21" s="62"/>
      <c r="M21" s="62"/>
      <c r="N21" s="63"/>
      <c r="O21" s="909"/>
      <c r="P21" s="379"/>
      <c r="Q21" s="379"/>
      <c r="R21" s="379"/>
      <c r="S21" s="379"/>
      <c r="T21" s="379"/>
      <c r="U21" s="379"/>
      <c r="V21" s="379"/>
      <c r="W21" s="379"/>
      <c r="X21" s="379"/>
      <c r="Y21" s="379"/>
      <c r="Z21" s="379"/>
      <c r="AA21" s="379"/>
      <c r="AB21" s="379"/>
      <c r="AC21" s="380"/>
    </row>
    <row r="22" spans="2:30" x14ac:dyDescent="0.3">
      <c r="B22" s="137" t="s">
        <v>422</v>
      </c>
      <c r="C22" s="42"/>
      <c r="D22" s="146"/>
      <c r="E22" s="144"/>
      <c r="F22" s="144"/>
      <c r="G22" s="144"/>
      <c r="H22" s="567"/>
      <c r="I22" s="568"/>
      <c r="J22" s="568"/>
      <c r="K22" s="568"/>
      <c r="L22" s="568"/>
      <c r="M22" s="568">
        <f>D27</f>
        <v>6.166666666666667</v>
      </c>
      <c r="N22" s="568">
        <f>D30</f>
        <v>5.7666666666666657</v>
      </c>
      <c r="O22" s="838">
        <f>D33</f>
        <v>5.1333333333333337</v>
      </c>
      <c r="P22" s="382">
        <v>4.609</v>
      </c>
      <c r="Q22" s="382">
        <v>4.1040000000000001</v>
      </c>
      <c r="R22" s="382">
        <v>3.819</v>
      </c>
      <c r="S22" s="382">
        <v>3.6819999999999999</v>
      </c>
      <c r="T22" s="382">
        <v>3.637</v>
      </c>
      <c r="U22" s="382">
        <v>3.6619999999999999</v>
      </c>
      <c r="V22" s="382">
        <v>3.718</v>
      </c>
      <c r="W22" s="382">
        <v>3.7749999999999999</v>
      </c>
      <c r="X22" s="382">
        <v>3.835</v>
      </c>
      <c r="Y22" s="382">
        <v>3.91</v>
      </c>
      <c r="Z22" s="382">
        <v>3.972</v>
      </c>
      <c r="AA22" s="382">
        <v>4.0209999999999999</v>
      </c>
      <c r="AB22" s="382">
        <v>4.0819999999999999</v>
      </c>
      <c r="AC22" s="636">
        <v>4.141</v>
      </c>
      <c r="AD22" s="51" t="s">
        <v>423</v>
      </c>
    </row>
    <row r="23" spans="2:30" x14ac:dyDescent="0.3">
      <c r="M23" s="172"/>
      <c r="N23" s="172"/>
      <c r="O23" s="172"/>
      <c r="P23" s="172"/>
      <c r="Q23" s="172"/>
      <c r="R23" s="172"/>
      <c r="S23" s="172"/>
      <c r="T23" s="172"/>
      <c r="U23" s="172"/>
      <c r="V23" s="172"/>
      <c r="W23" s="172"/>
      <c r="X23" s="172"/>
      <c r="Y23" s="172"/>
      <c r="Z23" s="172"/>
      <c r="AA23" s="172"/>
      <c r="AB23" s="172"/>
      <c r="AC23" s="172"/>
    </row>
    <row r="24" spans="2:30" x14ac:dyDescent="0.3">
      <c r="AA24" s="38"/>
    </row>
    <row r="26" spans="2:30" ht="30.65" customHeight="1" x14ac:dyDescent="0.3">
      <c r="B26" s="910" t="s">
        <v>424</v>
      </c>
      <c r="C26" s="812" t="s">
        <v>425</v>
      </c>
      <c r="D26" s="911" t="s">
        <v>426</v>
      </c>
    </row>
    <row r="27" spans="2:30" x14ac:dyDescent="0.3">
      <c r="B27" s="840">
        <v>44197</v>
      </c>
      <c r="C27" s="233">
        <v>6.3</v>
      </c>
      <c r="D27" s="841">
        <f>AVERAGE(C27:C29)</f>
        <v>6.166666666666667</v>
      </c>
    </row>
    <row r="28" spans="2:30" x14ac:dyDescent="0.3">
      <c r="B28" s="811">
        <v>44228</v>
      </c>
      <c r="C28" s="34">
        <v>6.2</v>
      </c>
      <c r="D28" s="40"/>
    </row>
    <row r="29" spans="2:30" x14ac:dyDescent="0.3">
      <c r="B29" s="811">
        <v>44256</v>
      </c>
      <c r="C29" s="34">
        <v>6</v>
      </c>
      <c r="D29" s="40"/>
    </row>
    <row r="30" spans="2:30" x14ac:dyDescent="0.3">
      <c r="B30" s="811">
        <v>44287</v>
      </c>
      <c r="C30" s="34">
        <v>6.1</v>
      </c>
      <c r="D30" s="40">
        <f>AVERAGE(C30:C32)</f>
        <v>5.7666666666666657</v>
      </c>
    </row>
    <row r="31" spans="2:30" x14ac:dyDescent="0.3">
      <c r="B31" s="811">
        <v>44317</v>
      </c>
      <c r="C31" s="34">
        <v>5.8</v>
      </c>
      <c r="D31" s="40"/>
    </row>
    <row r="32" spans="2:30" x14ac:dyDescent="0.3">
      <c r="B32" s="811">
        <v>44348</v>
      </c>
      <c r="C32" s="34">
        <v>5.4</v>
      </c>
      <c r="D32" s="40"/>
    </row>
    <row r="33" spans="2:5" x14ac:dyDescent="0.3">
      <c r="B33" s="811">
        <v>44378</v>
      </c>
      <c r="C33" s="34">
        <v>5.4</v>
      </c>
      <c r="D33" s="40">
        <f t="shared" ref="D33" si="14">AVERAGE(C33:C35)</f>
        <v>5.1333333333333337</v>
      </c>
      <c r="E33" s="34" t="s">
        <v>427</v>
      </c>
    </row>
    <row r="34" spans="2:5" x14ac:dyDescent="0.3">
      <c r="B34" s="811">
        <v>44409</v>
      </c>
      <c r="C34" s="34">
        <v>5.2</v>
      </c>
      <c r="D34" s="40"/>
    </row>
    <row r="35" spans="2:5" x14ac:dyDescent="0.3">
      <c r="B35" s="842">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9" zoomScale="61" zoomScaleNormal="143" workbookViewId="0">
      <selection activeCell="O54" sqref="J54:O54"/>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33" t="s">
        <v>441</v>
      </c>
      <c r="I1" s="1133"/>
      <c r="J1" s="1133"/>
      <c r="K1" s="1133"/>
      <c r="L1" s="1133"/>
      <c r="M1" s="1133"/>
      <c r="N1" s="1133"/>
      <c r="O1" s="1133"/>
      <c r="P1" s="1133"/>
      <c r="Q1" s="1133"/>
      <c r="R1" s="1133"/>
      <c r="S1" s="1133"/>
    </row>
    <row r="2" spans="8:22" x14ac:dyDescent="0.3">
      <c r="H2" s="1152" t="s">
        <v>442</v>
      </c>
      <c r="I2" s="1153"/>
      <c r="J2" s="1153"/>
      <c r="K2" s="1153"/>
      <c r="L2" s="1153"/>
      <c r="M2" s="1153"/>
      <c r="N2" s="1153"/>
      <c r="O2" s="1153"/>
      <c r="P2" s="1153"/>
      <c r="Q2" s="1153"/>
      <c r="R2" s="1153"/>
      <c r="S2" s="1153"/>
    </row>
    <row r="3" spans="8:22" x14ac:dyDescent="0.3">
      <c r="H3" s="1153"/>
      <c r="I3" s="1153"/>
      <c r="J3" s="1153"/>
      <c r="K3" s="1153"/>
      <c r="L3" s="1153"/>
      <c r="M3" s="1153"/>
      <c r="N3" s="1153"/>
      <c r="O3" s="1153"/>
      <c r="P3" s="1153"/>
      <c r="Q3" s="1153"/>
      <c r="R3" s="1153"/>
      <c r="S3" s="1153"/>
    </row>
    <row r="4" spans="8:22" x14ac:dyDescent="0.3">
      <c r="H4" s="1153"/>
      <c r="I4" s="1153"/>
      <c r="J4" s="1153"/>
      <c r="K4" s="1153"/>
      <c r="L4" s="1153"/>
      <c r="M4" s="1153"/>
      <c r="N4" s="1153"/>
      <c r="O4" s="1153"/>
      <c r="P4" s="1153"/>
      <c r="Q4" s="1153"/>
      <c r="R4" s="1153"/>
      <c r="S4" s="1153"/>
    </row>
    <row r="5" spans="8:22" ht="54.65" customHeight="1" x14ac:dyDescent="0.3">
      <c r="H5" s="1153"/>
      <c r="I5" s="1153"/>
      <c r="J5" s="1153"/>
      <c r="K5" s="1153"/>
      <c r="L5" s="1153"/>
      <c r="M5" s="1153"/>
      <c r="N5" s="1153"/>
      <c r="O5" s="1153"/>
      <c r="P5" s="1153"/>
      <c r="Q5" s="1153"/>
      <c r="R5" s="1153"/>
      <c r="S5" s="1153"/>
    </row>
    <row r="6" spans="8:22" x14ac:dyDescent="0.3">
      <c r="H6" s="55"/>
      <c r="I6" s="55"/>
      <c r="J6" s="55"/>
      <c r="K6" s="55"/>
      <c r="L6" s="55"/>
      <c r="M6" s="55"/>
      <c r="N6" s="55"/>
      <c r="O6" s="55"/>
      <c r="P6" s="55"/>
      <c r="Q6" s="55"/>
      <c r="R6" s="55"/>
      <c r="S6" s="55"/>
    </row>
    <row r="7" spans="8:22" x14ac:dyDescent="0.3">
      <c r="H7" s="213" t="s">
        <v>443</v>
      </c>
    </row>
    <row r="8" spans="8:22" ht="16" customHeight="1" x14ac:dyDescent="0.3"/>
    <row r="9" spans="8:22" ht="15.65" customHeight="1" x14ac:dyDescent="0.3">
      <c r="L9" s="1135">
        <v>2020</v>
      </c>
      <c r="M9" s="1136"/>
      <c r="N9" s="1136"/>
      <c r="O9" s="846">
        <v>2021</v>
      </c>
      <c r="P9" s="846"/>
      <c r="Q9" s="846"/>
      <c r="R9" s="839"/>
    </row>
    <row r="10" spans="8:22" s="39" customFormat="1" ht="28" x14ac:dyDescent="0.3">
      <c r="H10" s="913" t="s">
        <v>444</v>
      </c>
      <c r="I10" s="913" t="s">
        <v>445</v>
      </c>
      <c r="J10" s="914" t="s">
        <v>446</v>
      </c>
      <c r="K10" s="88"/>
      <c r="L10" s="558" t="s">
        <v>405</v>
      </c>
      <c r="M10" s="570" t="s">
        <v>290</v>
      </c>
      <c r="N10" s="570" t="s">
        <v>403</v>
      </c>
      <c r="O10" s="570" t="s">
        <v>404</v>
      </c>
      <c r="P10" s="570" t="s">
        <v>405</v>
      </c>
      <c r="Q10" s="570" t="s">
        <v>290</v>
      </c>
      <c r="R10" s="847" t="s">
        <v>403</v>
      </c>
      <c r="S10" s="55" t="s">
        <v>447</v>
      </c>
      <c r="T10" s="88"/>
      <c r="U10" s="88"/>
      <c r="V10" s="88"/>
    </row>
    <row r="11" spans="8:22" x14ac:dyDescent="0.3">
      <c r="H11" s="915">
        <v>43934</v>
      </c>
      <c r="I11" s="43">
        <v>248</v>
      </c>
      <c r="J11" s="273">
        <f>I11</f>
        <v>248</v>
      </c>
      <c r="K11" s="43"/>
      <c r="L11" s="299">
        <f>S11/26*J11</f>
        <v>95.384615384615387</v>
      </c>
      <c r="M11" s="291">
        <f>13/26*J11</f>
        <v>124</v>
      </c>
      <c r="N11" s="291">
        <f>J11-SUM(L11:M11)</f>
        <v>28.615384615384613</v>
      </c>
      <c r="O11" s="291"/>
      <c r="P11" s="291"/>
      <c r="Q11" s="291"/>
      <c r="R11" s="300"/>
      <c r="S11" s="43">
        <v>10</v>
      </c>
      <c r="T11" s="43"/>
      <c r="U11" s="292"/>
      <c r="V11" s="43"/>
    </row>
    <row r="12" spans="8:22" x14ac:dyDescent="0.3">
      <c r="H12" s="293">
        <v>43937</v>
      </c>
      <c r="I12" s="43">
        <v>342</v>
      </c>
      <c r="J12" s="273">
        <f>I12-I11</f>
        <v>94</v>
      </c>
      <c r="K12" s="43"/>
      <c r="L12" s="299">
        <f t="shared" ref="L12:L20" si="0">S12/26*J12</f>
        <v>36.153846153846153</v>
      </c>
      <c r="M12" s="291">
        <f t="shared" ref="M12:M20" si="1">13/26*J12</f>
        <v>47</v>
      </c>
      <c r="N12" s="291">
        <f t="shared" ref="N12:N21" si="2">J12-SUM(L12:M12)</f>
        <v>10.84615384615384</v>
      </c>
      <c r="O12" s="291"/>
      <c r="P12" s="291"/>
      <c r="Q12" s="291"/>
      <c r="R12" s="300"/>
      <c r="S12" s="43">
        <v>10</v>
      </c>
      <c r="T12" s="43"/>
      <c r="U12" s="43"/>
      <c r="V12" s="43"/>
    </row>
    <row r="13" spans="8:22" x14ac:dyDescent="0.3">
      <c r="H13" s="293">
        <v>43952</v>
      </c>
      <c r="I13" s="43">
        <v>518</v>
      </c>
      <c r="J13" s="273">
        <f>I13-I12</f>
        <v>176</v>
      </c>
      <c r="K13" s="43"/>
      <c r="L13" s="299">
        <f t="shared" si="0"/>
        <v>54.15384615384616</v>
      </c>
      <c r="M13" s="291">
        <f t="shared" si="1"/>
        <v>88</v>
      </c>
      <c r="N13" s="291">
        <f t="shared" si="2"/>
        <v>33.84615384615384</v>
      </c>
      <c r="O13" s="291"/>
      <c r="P13" s="291"/>
      <c r="Q13" s="291"/>
      <c r="R13" s="300"/>
      <c r="S13" s="43">
        <v>8</v>
      </c>
      <c r="T13" s="43"/>
      <c r="U13" s="43"/>
      <c r="V13" s="43"/>
    </row>
    <row r="14" spans="8:22" x14ac:dyDescent="0.3">
      <c r="H14" s="293">
        <v>43959</v>
      </c>
      <c r="I14" s="43">
        <v>531</v>
      </c>
      <c r="J14" s="273">
        <f t="shared" ref="J14:J45" si="3">I14-I13</f>
        <v>13</v>
      </c>
      <c r="K14" s="43"/>
      <c r="L14" s="299">
        <f t="shared" si="0"/>
        <v>3.5</v>
      </c>
      <c r="M14" s="291">
        <f t="shared" si="1"/>
        <v>6.5</v>
      </c>
      <c r="N14" s="291">
        <f t="shared" si="2"/>
        <v>3</v>
      </c>
      <c r="O14" s="291"/>
      <c r="P14" s="291"/>
      <c r="Q14" s="291"/>
      <c r="R14" s="300"/>
      <c r="S14" s="43">
        <f t="shared" ref="S14:S20" si="4">S13-1</f>
        <v>7</v>
      </c>
      <c r="T14" s="43"/>
      <c r="U14" s="43"/>
      <c r="V14" s="43"/>
    </row>
    <row r="15" spans="8:22" x14ac:dyDescent="0.3">
      <c r="H15" s="293">
        <v>43967</v>
      </c>
      <c r="I15" s="43">
        <v>513</v>
      </c>
      <c r="J15" s="273">
        <f t="shared" si="3"/>
        <v>-18</v>
      </c>
      <c r="K15" s="43"/>
      <c r="L15" s="299">
        <f t="shared" ref="L15:L17" si="5">S15/26*J15</f>
        <v>-4.1538461538461542</v>
      </c>
      <c r="M15" s="291">
        <f t="shared" ref="M15:M17" si="6">13/26*J15</f>
        <v>-9</v>
      </c>
      <c r="N15" s="291">
        <f t="shared" ref="N15:N17" si="7">J15-SUM(L15:M15)</f>
        <v>-4.8461538461538467</v>
      </c>
      <c r="O15" s="291"/>
      <c r="P15" s="291"/>
      <c r="Q15" s="291"/>
      <c r="R15" s="300"/>
      <c r="S15" s="43">
        <f t="shared" si="4"/>
        <v>6</v>
      </c>
      <c r="T15" s="43"/>
      <c r="U15" s="43"/>
      <c r="V15" s="43"/>
    </row>
    <row r="16" spans="8:22" x14ac:dyDescent="0.3">
      <c r="H16" s="293">
        <v>43974</v>
      </c>
      <c r="I16" s="43">
        <v>511</v>
      </c>
      <c r="J16" s="273">
        <f t="shared" si="3"/>
        <v>-2</v>
      </c>
      <c r="K16" s="43"/>
      <c r="L16" s="299">
        <f t="shared" si="5"/>
        <v>-0.38461538461538464</v>
      </c>
      <c r="M16" s="291">
        <f t="shared" si="6"/>
        <v>-1</v>
      </c>
      <c r="N16" s="291">
        <f t="shared" si="7"/>
        <v>-0.61538461538461542</v>
      </c>
      <c r="O16" s="291"/>
      <c r="P16" s="291"/>
      <c r="Q16" s="291"/>
      <c r="R16" s="300"/>
      <c r="S16" s="43">
        <f t="shared" si="4"/>
        <v>5</v>
      </c>
      <c r="T16" s="43"/>
      <c r="U16" s="43"/>
      <c r="V16" s="43"/>
    </row>
    <row r="17" spans="8:22" x14ac:dyDescent="0.3">
      <c r="H17" s="293">
        <v>43981</v>
      </c>
      <c r="I17" s="43">
        <v>510</v>
      </c>
      <c r="J17" s="273">
        <f t="shared" si="3"/>
        <v>-1</v>
      </c>
      <c r="K17" s="43"/>
      <c r="L17" s="299">
        <f t="shared" si="5"/>
        <v>-0.15384615384615385</v>
      </c>
      <c r="M17" s="291">
        <f t="shared" si="6"/>
        <v>-0.5</v>
      </c>
      <c r="N17" s="291">
        <f t="shared" si="7"/>
        <v>-0.34615384615384615</v>
      </c>
      <c r="O17" s="291"/>
      <c r="P17" s="291"/>
      <c r="Q17" s="291"/>
      <c r="R17" s="300"/>
      <c r="S17" s="43">
        <f t="shared" si="4"/>
        <v>4</v>
      </c>
      <c r="T17" s="43"/>
      <c r="U17" s="43"/>
      <c r="V17" s="43"/>
    </row>
    <row r="18" spans="8:22" x14ac:dyDescent="0.3">
      <c r="H18" s="293">
        <v>43988</v>
      </c>
      <c r="I18" s="43">
        <v>511</v>
      </c>
      <c r="J18" s="273">
        <f t="shared" si="3"/>
        <v>1</v>
      </c>
      <c r="K18" s="43"/>
      <c r="L18" s="299">
        <f t="shared" si="0"/>
        <v>0.11538461538461539</v>
      </c>
      <c r="M18" s="291">
        <f t="shared" si="1"/>
        <v>0.5</v>
      </c>
      <c r="N18" s="291">
        <f t="shared" si="2"/>
        <v>0.38461538461538458</v>
      </c>
      <c r="O18" s="291"/>
      <c r="P18" s="291"/>
      <c r="Q18" s="291"/>
      <c r="R18" s="300"/>
      <c r="S18" s="43">
        <f t="shared" si="4"/>
        <v>3</v>
      </c>
      <c r="T18" s="43"/>
      <c r="U18" s="43"/>
      <c r="V18" s="43"/>
    </row>
    <row r="19" spans="8:22" x14ac:dyDescent="0.3">
      <c r="H19" s="293">
        <v>43994</v>
      </c>
      <c r="I19" s="43">
        <v>512</v>
      </c>
      <c r="J19" s="273">
        <f t="shared" si="3"/>
        <v>1</v>
      </c>
      <c r="K19" s="43"/>
      <c r="L19" s="299">
        <f t="shared" si="0"/>
        <v>7.6923076923076927E-2</v>
      </c>
      <c r="M19" s="291">
        <f t="shared" si="1"/>
        <v>0.5</v>
      </c>
      <c r="N19" s="291">
        <f t="shared" si="2"/>
        <v>0.42307692307692313</v>
      </c>
      <c r="O19" s="291"/>
      <c r="P19" s="291"/>
      <c r="Q19" s="291"/>
      <c r="R19" s="300"/>
      <c r="S19" s="43">
        <f t="shared" si="4"/>
        <v>2</v>
      </c>
      <c r="T19" s="43"/>
      <c r="U19" s="43"/>
      <c r="V19" s="43"/>
    </row>
    <row r="20" spans="8:22" x14ac:dyDescent="0.3">
      <c r="H20" s="293">
        <v>44002</v>
      </c>
      <c r="I20" s="43">
        <v>515</v>
      </c>
      <c r="J20" s="273">
        <f t="shared" si="3"/>
        <v>3</v>
      </c>
      <c r="K20" s="43"/>
      <c r="L20" s="299">
        <f t="shared" si="0"/>
        <v>0.11538461538461539</v>
      </c>
      <c r="M20" s="291">
        <f t="shared" si="1"/>
        <v>1.5</v>
      </c>
      <c r="N20" s="291">
        <f t="shared" si="2"/>
        <v>1.3846153846153846</v>
      </c>
      <c r="O20" s="291"/>
      <c r="P20" s="291"/>
      <c r="Q20" s="291"/>
      <c r="R20" s="300"/>
      <c r="S20" s="43">
        <f t="shared" si="4"/>
        <v>1</v>
      </c>
      <c r="T20" s="43"/>
      <c r="U20" s="43"/>
      <c r="V20" s="43"/>
    </row>
    <row r="21" spans="8:22" x14ac:dyDescent="0.3">
      <c r="H21" s="293">
        <v>44009</v>
      </c>
      <c r="I21" s="43">
        <v>519</v>
      </c>
      <c r="J21" s="273">
        <f t="shared" si="3"/>
        <v>4</v>
      </c>
      <c r="K21" s="43"/>
      <c r="L21" s="299"/>
      <c r="M21" s="291">
        <f>S21/26*J21</f>
        <v>2</v>
      </c>
      <c r="N21" s="291">
        <f t="shared" si="2"/>
        <v>2</v>
      </c>
      <c r="O21" s="291"/>
      <c r="P21" s="291"/>
      <c r="Q21" s="291"/>
      <c r="R21" s="300"/>
      <c r="S21" s="43">
        <v>13</v>
      </c>
      <c r="T21" s="43"/>
      <c r="U21" s="43"/>
      <c r="V21" s="43"/>
    </row>
    <row r="22" spans="8:22" x14ac:dyDescent="0.3">
      <c r="H22" s="293">
        <v>44012</v>
      </c>
      <c r="I22" s="43">
        <v>521</v>
      </c>
      <c r="J22" s="273">
        <f t="shared" si="3"/>
        <v>2</v>
      </c>
      <c r="K22" s="43"/>
      <c r="L22" s="299"/>
      <c r="M22" s="291">
        <f t="shared" ref="M22:M26" si="8">S22/26*J22</f>
        <v>1</v>
      </c>
      <c r="N22" s="291">
        <f>J22-SUM(L22:M22)</f>
        <v>1</v>
      </c>
      <c r="O22" s="291"/>
      <c r="P22" s="291"/>
      <c r="Q22" s="291"/>
      <c r="R22" s="300"/>
      <c r="S22" s="43">
        <v>13</v>
      </c>
      <c r="T22" s="43"/>
      <c r="U22" s="43"/>
      <c r="V22" s="43"/>
    </row>
    <row r="23" spans="8:22" x14ac:dyDescent="0.3">
      <c r="H23" s="293">
        <v>44029</v>
      </c>
      <c r="I23" s="43">
        <v>518</v>
      </c>
      <c r="J23" s="273">
        <f t="shared" si="3"/>
        <v>-3</v>
      </c>
      <c r="K23" s="43"/>
      <c r="L23" s="299"/>
      <c r="M23" s="291">
        <f t="shared" ref="M23" si="9">S23/26*J23</f>
        <v>-1.153846153846154</v>
      </c>
      <c r="N23" s="291">
        <f t="shared" ref="N23" si="10">13/26*J23</f>
        <v>-1.5</v>
      </c>
      <c r="O23" s="291">
        <f t="shared" ref="O23" si="11">J23-N23-M23</f>
        <v>-0.34615384615384603</v>
      </c>
      <c r="P23" s="291"/>
      <c r="Q23" s="291"/>
      <c r="R23" s="300"/>
      <c r="S23" s="43">
        <f>S22-3</f>
        <v>10</v>
      </c>
      <c r="T23" s="43"/>
      <c r="U23" s="43"/>
      <c r="V23" s="43"/>
    </row>
    <row r="24" spans="8:22" x14ac:dyDescent="0.3">
      <c r="H24" s="293">
        <v>44036</v>
      </c>
      <c r="I24" s="43">
        <v>520</v>
      </c>
      <c r="J24" s="273">
        <f t="shared" si="3"/>
        <v>2</v>
      </c>
      <c r="K24" s="43"/>
      <c r="L24" s="299"/>
      <c r="M24" s="291">
        <f t="shared" si="8"/>
        <v>0.69230769230769229</v>
      </c>
      <c r="N24" s="291">
        <f t="shared" ref="N24:N26" si="12">13/26*J24</f>
        <v>1</v>
      </c>
      <c r="O24" s="291">
        <f t="shared" ref="O24:O26" si="13">J24-N24-M24</f>
        <v>0.30769230769230771</v>
      </c>
      <c r="P24" s="291"/>
      <c r="Q24" s="291"/>
      <c r="R24" s="300"/>
      <c r="S24" s="43">
        <f>S23-1</f>
        <v>9</v>
      </c>
      <c r="T24" s="43"/>
      <c r="U24" s="43"/>
      <c r="V24" s="43"/>
    </row>
    <row r="25" spans="8:22" x14ac:dyDescent="0.3">
      <c r="H25" s="293">
        <v>44043</v>
      </c>
      <c r="I25" s="43">
        <v>521</v>
      </c>
      <c r="J25" s="273">
        <f t="shared" si="3"/>
        <v>1</v>
      </c>
      <c r="K25" s="43"/>
      <c r="L25" s="299"/>
      <c r="M25" s="291">
        <f t="shared" si="8"/>
        <v>0.30769230769230771</v>
      </c>
      <c r="N25" s="291">
        <f t="shared" si="12"/>
        <v>0.5</v>
      </c>
      <c r="O25" s="291">
        <f t="shared" si="13"/>
        <v>0.19230769230769229</v>
      </c>
      <c r="P25" s="291"/>
      <c r="Q25" s="291"/>
      <c r="R25" s="300"/>
      <c r="S25" s="43">
        <f>S24-1</f>
        <v>8</v>
      </c>
      <c r="T25" s="43"/>
      <c r="U25" s="43"/>
      <c r="V25" s="43"/>
    </row>
    <row r="26" spans="8:22" x14ac:dyDescent="0.3">
      <c r="H26" s="293">
        <v>44051</v>
      </c>
      <c r="I26" s="43">
        <v>525</v>
      </c>
      <c r="J26" s="273">
        <f t="shared" si="3"/>
        <v>4</v>
      </c>
      <c r="K26" s="43"/>
      <c r="L26" s="299"/>
      <c r="M26" s="291">
        <f t="shared" si="8"/>
        <v>1.0769230769230769</v>
      </c>
      <c r="N26" s="291">
        <f t="shared" si="12"/>
        <v>2</v>
      </c>
      <c r="O26" s="291">
        <f t="shared" si="13"/>
        <v>0.92307692307692313</v>
      </c>
      <c r="P26" s="291"/>
      <c r="Q26" s="291"/>
      <c r="R26" s="300"/>
      <c r="S26" s="43">
        <f>S25-1</f>
        <v>7</v>
      </c>
      <c r="T26" s="43"/>
      <c r="U26" s="43"/>
      <c r="V26" s="43"/>
    </row>
    <row r="27" spans="8:22" x14ac:dyDescent="0.3">
      <c r="H27" s="293">
        <v>44220</v>
      </c>
      <c r="I27" s="43">
        <v>558</v>
      </c>
      <c r="J27" s="273">
        <f t="shared" si="3"/>
        <v>33</v>
      </c>
      <c r="K27" s="43"/>
      <c r="L27" s="299"/>
      <c r="M27" s="291"/>
      <c r="N27" s="291"/>
      <c r="O27" s="291">
        <f>S27/26*J27</f>
        <v>12.692307692307693</v>
      </c>
      <c r="P27" s="291">
        <f>J27/2</f>
        <v>16.5</v>
      </c>
      <c r="Q27" s="291">
        <f>J27-P27-O27</f>
        <v>3.8076923076923066</v>
      </c>
      <c r="R27" s="300"/>
      <c r="S27" s="43">
        <v>10</v>
      </c>
      <c r="T27" s="43">
        <v>10</v>
      </c>
      <c r="U27" s="43"/>
      <c r="V27" s="43"/>
    </row>
    <row r="28" spans="8:22" x14ac:dyDescent="0.3">
      <c r="H28" s="293">
        <v>44227</v>
      </c>
      <c r="I28" s="43">
        <v>596</v>
      </c>
      <c r="J28" s="273">
        <f t="shared" si="3"/>
        <v>38</v>
      </c>
      <c r="K28" s="43"/>
      <c r="L28" s="299"/>
      <c r="M28" s="291"/>
      <c r="N28" s="291"/>
      <c r="O28" s="291">
        <f t="shared" ref="O28:O36" si="14">S28/26*J28</f>
        <v>13.153846153846153</v>
      </c>
      <c r="P28" s="291">
        <f t="shared" ref="P28:P36" si="15">J28/2</f>
        <v>19</v>
      </c>
      <c r="Q28" s="291">
        <f t="shared" ref="Q28:Q36" si="16">J28-P28-O28</f>
        <v>5.8461538461538467</v>
      </c>
      <c r="R28" s="300"/>
      <c r="S28" s="43">
        <f>S27-1</f>
        <v>9</v>
      </c>
      <c r="T28" s="43">
        <f>T27-1</f>
        <v>9</v>
      </c>
      <c r="U28" s="43"/>
      <c r="V28" s="43"/>
    </row>
    <row r="29" spans="8:22" x14ac:dyDescent="0.3">
      <c r="H29" s="293">
        <v>44234</v>
      </c>
      <c r="I29" s="43">
        <v>623</v>
      </c>
      <c r="J29" s="273">
        <f t="shared" si="3"/>
        <v>27</v>
      </c>
      <c r="K29" s="43"/>
      <c r="L29" s="299"/>
      <c r="M29" s="291"/>
      <c r="N29" s="291"/>
      <c r="O29" s="291">
        <f t="shared" si="14"/>
        <v>8.3076923076923084</v>
      </c>
      <c r="P29" s="291">
        <f t="shared" si="15"/>
        <v>13.5</v>
      </c>
      <c r="Q29" s="291">
        <f t="shared" si="16"/>
        <v>5.1923076923076916</v>
      </c>
      <c r="R29" s="300"/>
      <c r="S29" s="43">
        <f t="shared" ref="S29:S36" si="17">S28-1</f>
        <v>8</v>
      </c>
      <c r="T29" s="43">
        <f t="shared" ref="T29:T36" si="18">T28-1</f>
        <v>8</v>
      </c>
      <c r="U29" s="43"/>
      <c r="V29" s="43"/>
    </row>
    <row r="30" spans="8:22" x14ac:dyDescent="0.3">
      <c r="H30" s="293">
        <v>44242</v>
      </c>
      <c r="I30" s="43">
        <v>648</v>
      </c>
      <c r="J30" s="273">
        <f t="shared" si="3"/>
        <v>25</v>
      </c>
      <c r="K30" s="43"/>
      <c r="L30" s="299"/>
      <c r="M30" s="291"/>
      <c r="N30" s="291"/>
      <c r="O30" s="291">
        <f t="shared" si="14"/>
        <v>6.7307692307692308</v>
      </c>
      <c r="P30" s="291">
        <f t="shared" si="15"/>
        <v>12.5</v>
      </c>
      <c r="Q30" s="291">
        <f t="shared" si="16"/>
        <v>5.7692307692307692</v>
      </c>
      <c r="R30" s="300"/>
      <c r="S30" s="43">
        <f t="shared" si="17"/>
        <v>7</v>
      </c>
      <c r="T30" s="43">
        <f t="shared" si="18"/>
        <v>7</v>
      </c>
      <c r="U30" s="43"/>
      <c r="V30" s="43"/>
    </row>
    <row r="31" spans="8:22" x14ac:dyDescent="0.3">
      <c r="H31" s="293">
        <v>44248</v>
      </c>
      <c r="I31" s="43">
        <v>663</v>
      </c>
      <c r="J31" s="273">
        <f t="shared" si="3"/>
        <v>15</v>
      </c>
      <c r="K31" s="43"/>
      <c r="L31" s="299"/>
      <c r="M31" s="291"/>
      <c r="N31" s="291"/>
      <c r="O31" s="291">
        <f t="shared" si="14"/>
        <v>3.4615384615384617</v>
      </c>
      <c r="P31" s="291">
        <f t="shared" si="15"/>
        <v>7.5</v>
      </c>
      <c r="Q31" s="291">
        <f t="shared" si="16"/>
        <v>4.0384615384615383</v>
      </c>
      <c r="R31" s="300"/>
      <c r="S31" s="43">
        <f t="shared" si="17"/>
        <v>6</v>
      </c>
      <c r="T31" s="43">
        <f t="shared" si="18"/>
        <v>6</v>
      </c>
      <c r="U31" s="43"/>
      <c r="V31" s="43"/>
    </row>
    <row r="32" spans="8:22" x14ac:dyDescent="0.3">
      <c r="H32" s="293">
        <v>44255</v>
      </c>
      <c r="I32" s="43">
        <v>679</v>
      </c>
      <c r="J32" s="273">
        <f t="shared" si="3"/>
        <v>16</v>
      </c>
      <c r="K32" s="43"/>
      <c r="L32" s="299"/>
      <c r="M32" s="291"/>
      <c r="N32" s="291"/>
      <c r="O32" s="291">
        <f t="shared" si="14"/>
        <v>3.0769230769230771</v>
      </c>
      <c r="P32" s="291">
        <f t="shared" si="15"/>
        <v>8</v>
      </c>
      <c r="Q32" s="291">
        <f t="shared" si="16"/>
        <v>4.9230769230769234</v>
      </c>
      <c r="R32" s="300"/>
      <c r="S32" s="43">
        <f t="shared" si="17"/>
        <v>5</v>
      </c>
      <c r="T32" s="43">
        <f t="shared" si="18"/>
        <v>5</v>
      </c>
      <c r="U32" s="43"/>
      <c r="V32" s="43"/>
    </row>
    <row r="33" spans="8:22" x14ac:dyDescent="0.3">
      <c r="H33" s="293">
        <v>44262</v>
      </c>
      <c r="I33" s="43">
        <v>687</v>
      </c>
      <c r="J33" s="273">
        <f t="shared" si="3"/>
        <v>8</v>
      </c>
      <c r="K33" s="43"/>
      <c r="L33" s="299"/>
      <c r="M33" s="291"/>
      <c r="N33" s="291"/>
      <c r="O33" s="291">
        <f t="shared" si="14"/>
        <v>1.2307692307692308</v>
      </c>
      <c r="P33" s="291">
        <f t="shared" si="15"/>
        <v>4</v>
      </c>
      <c r="Q33" s="291">
        <f t="shared" si="16"/>
        <v>2.7692307692307692</v>
      </c>
      <c r="R33" s="300"/>
      <c r="S33" s="43">
        <f t="shared" si="17"/>
        <v>4</v>
      </c>
      <c r="T33" s="43">
        <f t="shared" si="18"/>
        <v>4</v>
      </c>
      <c r="U33" s="43"/>
      <c r="V33" s="43"/>
    </row>
    <row r="34" spans="8:22" x14ac:dyDescent="0.3">
      <c r="H34" s="293">
        <v>44269</v>
      </c>
      <c r="I34" s="43">
        <v>704</v>
      </c>
      <c r="J34" s="273">
        <f t="shared" si="3"/>
        <v>17</v>
      </c>
      <c r="K34" s="43"/>
      <c r="L34" s="299"/>
      <c r="M34" s="291"/>
      <c r="N34" s="291"/>
      <c r="O34" s="291">
        <f t="shared" si="14"/>
        <v>1.9615384615384617</v>
      </c>
      <c r="P34" s="291">
        <f t="shared" si="15"/>
        <v>8.5</v>
      </c>
      <c r="Q34" s="291">
        <f t="shared" si="16"/>
        <v>6.5384615384615383</v>
      </c>
      <c r="R34" s="300"/>
      <c r="S34" s="43">
        <f t="shared" si="17"/>
        <v>3</v>
      </c>
      <c r="T34" s="43">
        <f t="shared" si="18"/>
        <v>3</v>
      </c>
      <c r="U34" s="43"/>
      <c r="V34" s="43"/>
    </row>
    <row r="35" spans="8:22" x14ac:dyDescent="0.3">
      <c r="H35" s="293">
        <v>44276</v>
      </c>
      <c r="I35" s="43">
        <v>718</v>
      </c>
      <c r="J35" s="273">
        <f t="shared" si="3"/>
        <v>14</v>
      </c>
      <c r="K35" s="43"/>
      <c r="L35" s="299"/>
      <c r="M35" s="291"/>
      <c r="N35" s="291"/>
      <c r="O35" s="291">
        <f t="shared" si="14"/>
        <v>1.0769230769230771</v>
      </c>
      <c r="P35" s="291">
        <f t="shared" si="15"/>
        <v>7</v>
      </c>
      <c r="Q35" s="291">
        <f t="shared" si="16"/>
        <v>5.9230769230769234</v>
      </c>
      <c r="R35" s="300"/>
      <c r="S35" s="43">
        <f t="shared" si="17"/>
        <v>2</v>
      </c>
      <c r="T35" s="43">
        <f t="shared" si="18"/>
        <v>2</v>
      </c>
      <c r="U35" s="43"/>
      <c r="V35" s="43"/>
    </row>
    <row r="36" spans="8:22" x14ac:dyDescent="0.3">
      <c r="H36" s="293">
        <v>44283</v>
      </c>
      <c r="I36" s="43">
        <v>734</v>
      </c>
      <c r="J36" s="273">
        <f t="shared" si="3"/>
        <v>16</v>
      </c>
      <c r="K36" s="43"/>
      <c r="L36" s="299"/>
      <c r="M36" s="291"/>
      <c r="N36" s="291"/>
      <c r="O36" s="291">
        <f t="shared" si="14"/>
        <v>0.61538461538461542</v>
      </c>
      <c r="P36" s="291">
        <f t="shared" si="15"/>
        <v>8</v>
      </c>
      <c r="Q36" s="291">
        <f t="shared" si="16"/>
        <v>7.384615384615385</v>
      </c>
      <c r="R36" s="300"/>
      <c r="S36" s="43">
        <f t="shared" si="17"/>
        <v>1</v>
      </c>
      <c r="T36" s="43">
        <f t="shared" si="18"/>
        <v>1</v>
      </c>
      <c r="U36" s="43"/>
      <c r="V36" s="43"/>
    </row>
    <row r="37" spans="8:22" x14ac:dyDescent="0.3">
      <c r="H37" s="293">
        <v>44290</v>
      </c>
      <c r="I37" s="43">
        <v>746</v>
      </c>
      <c r="J37" s="273">
        <f t="shared" si="3"/>
        <v>12</v>
      </c>
      <c r="K37" s="43"/>
      <c r="L37" s="299"/>
      <c r="M37" s="291"/>
      <c r="N37" s="291"/>
      <c r="O37" s="291"/>
      <c r="P37" s="291">
        <f>T37/26*J37</f>
        <v>6</v>
      </c>
      <c r="Q37" s="291">
        <f>J37/2</f>
        <v>6</v>
      </c>
      <c r="R37" s="300">
        <f>J37-Q37-P37</f>
        <v>0</v>
      </c>
      <c r="S37" s="43">
        <v>13</v>
      </c>
      <c r="T37" s="43">
        <v>13</v>
      </c>
      <c r="U37" s="43"/>
      <c r="V37" s="43"/>
    </row>
    <row r="38" spans="8:22" x14ac:dyDescent="0.3">
      <c r="H38" s="293">
        <v>44297</v>
      </c>
      <c r="I38" s="43">
        <v>755</v>
      </c>
      <c r="J38" s="273">
        <f t="shared" si="3"/>
        <v>9</v>
      </c>
      <c r="K38" s="43"/>
      <c r="L38" s="299"/>
      <c r="M38" s="291"/>
      <c r="N38" s="291"/>
      <c r="O38" s="291"/>
      <c r="P38" s="291">
        <f t="shared" ref="P38:P45" si="19">T38/26*J38</f>
        <v>4.1538461538461542</v>
      </c>
      <c r="Q38" s="291">
        <f t="shared" ref="Q38:Q45" si="20">J38/2</f>
        <v>4.5</v>
      </c>
      <c r="R38" s="300">
        <f t="shared" ref="R38:R45" si="21">J38-Q38-P38</f>
        <v>0.34615384615384581</v>
      </c>
      <c r="S38" s="43">
        <f>S37-1</f>
        <v>12</v>
      </c>
      <c r="T38" s="43">
        <f>T37-1</f>
        <v>12</v>
      </c>
      <c r="U38" s="43"/>
      <c r="V38" s="43"/>
    </row>
    <row r="39" spans="8:22" x14ac:dyDescent="0.3">
      <c r="H39" s="293">
        <v>44304</v>
      </c>
      <c r="I39" s="43">
        <v>762</v>
      </c>
      <c r="J39" s="273">
        <f t="shared" si="3"/>
        <v>7</v>
      </c>
      <c r="K39" s="43"/>
      <c r="L39" s="299"/>
      <c r="M39" s="291"/>
      <c r="N39" s="291"/>
      <c r="O39" s="291"/>
      <c r="P39" s="291">
        <f t="shared" si="19"/>
        <v>2.9615384615384617</v>
      </c>
      <c r="Q39" s="291">
        <f t="shared" si="20"/>
        <v>3.5</v>
      </c>
      <c r="R39" s="300">
        <f t="shared" si="21"/>
        <v>0.53846153846153832</v>
      </c>
      <c r="S39" s="43">
        <f t="shared" ref="S39:S45" si="22">S38-1</f>
        <v>11</v>
      </c>
      <c r="T39" s="43">
        <f t="shared" ref="T39:T45" si="23">T38-1</f>
        <v>11</v>
      </c>
      <c r="U39" s="43"/>
      <c r="V39" s="43"/>
    </row>
    <row r="40" spans="8:22" x14ac:dyDescent="0.3">
      <c r="H40" s="293">
        <v>44311</v>
      </c>
      <c r="I40" s="43">
        <v>771</v>
      </c>
      <c r="J40" s="273">
        <f t="shared" si="3"/>
        <v>9</v>
      </c>
      <c r="K40" s="43"/>
      <c r="L40" s="299"/>
      <c r="M40" s="291"/>
      <c r="N40" s="291"/>
      <c r="O40" s="291"/>
      <c r="P40" s="291">
        <f t="shared" si="19"/>
        <v>3.4615384615384617</v>
      </c>
      <c r="Q40" s="291">
        <f t="shared" si="20"/>
        <v>4.5</v>
      </c>
      <c r="R40" s="300">
        <f t="shared" si="21"/>
        <v>1.0384615384615383</v>
      </c>
      <c r="S40" s="43">
        <f t="shared" si="22"/>
        <v>10</v>
      </c>
      <c r="T40" s="43">
        <f t="shared" si="23"/>
        <v>10</v>
      </c>
      <c r="U40" s="43"/>
      <c r="V40" s="43"/>
    </row>
    <row r="41" spans="8:22" x14ac:dyDescent="0.3">
      <c r="H41" s="293">
        <v>44318</v>
      </c>
      <c r="I41" s="43">
        <v>780</v>
      </c>
      <c r="J41" s="273">
        <f t="shared" si="3"/>
        <v>9</v>
      </c>
      <c r="K41" s="43"/>
      <c r="L41" s="299"/>
      <c r="M41" s="291"/>
      <c r="N41" s="291"/>
      <c r="O41" s="291"/>
      <c r="P41" s="291">
        <f t="shared" si="19"/>
        <v>3.1153846153846154</v>
      </c>
      <c r="Q41" s="291">
        <f t="shared" si="20"/>
        <v>4.5</v>
      </c>
      <c r="R41" s="300">
        <f t="shared" si="21"/>
        <v>1.3846153846153846</v>
      </c>
      <c r="S41" s="43">
        <f t="shared" si="22"/>
        <v>9</v>
      </c>
      <c r="T41" s="43">
        <f t="shared" si="23"/>
        <v>9</v>
      </c>
      <c r="U41" s="43"/>
      <c r="V41" s="43"/>
    </row>
    <row r="42" spans="8:22" x14ac:dyDescent="0.3">
      <c r="H42" s="293">
        <v>44325</v>
      </c>
      <c r="I42" s="43">
        <v>782</v>
      </c>
      <c r="J42" s="273">
        <f t="shared" si="3"/>
        <v>2</v>
      </c>
      <c r="K42" s="43"/>
      <c r="L42" s="299"/>
      <c r="M42" s="291"/>
      <c r="N42" s="291"/>
      <c r="O42" s="291"/>
      <c r="P42" s="291">
        <f t="shared" si="19"/>
        <v>0.61538461538461542</v>
      </c>
      <c r="Q42" s="291">
        <f t="shared" si="20"/>
        <v>1</v>
      </c>
      <c r="R42" s="300">
        <f t="shared" si="21"/>
        <v>0.38461538461538458</v>
      </c>
      <c r="S42" s="43">
        <f t="shared" si="22"/>
        <v>8</v>
      </c>
      <c r="T42" s="43">
        <f t="shared" si="23"/>
        <v>8</v>
      </c>
      <c r="U42" s="43"/>
      <c r="V42" s="43"/>
    </row>
    <row r="43" spans="8:22" x14ac:dyDescent="0.3">
      <c r="H43" s="293">
        <v>44332</v>
      </c>
      <c r="I43" s="43">
        <v>788</v>
      </c>
      <c r="J43" s="273">
        <f t="shared" si="3"/>
        <v>6</v>
      </c>
      <c r="K43" s="43"/>
      <c r="L43" s="299"/>
      <c r="M43" s="291"/>
      <c r="N43" s="291"/>
      <c r="O43" s="291"/>
      <c r="P43" s="291">
        <f t="shared" si="19"/>
        <v>1.6153846153846154</v>
      </c>
      <c r="Q43" s="291">
        <f t="shared" si="20"/>
        <v>3</v>
      </c>
      <c r="R43" s="300">
        <f t="shared" si="21"/>
        <v>1.3846153846153846</v>
      </c>
      <c r="S43" s="43">
        <f t="shared" si="22"/>
        <v>7</v>
      </c>
      <c r="T43" s="43">
        <f t="shared" si="23"/>
        <v>7</v>
      </c>
      <c r="U43" s="43"/>
      <c r="V43" s="43"/>
    </row>
    <row r="44" spans="8:22" x14ac:dyDescent="0.3">
      <c r="H44" s="293">
        <v>44339</v>
      </c>
      <c r="I44" s="43">
        <v>796</v>
      </c>
      <c r="J44" s="273">
        <f t="shared" si="3"/>
        <v>8</v>
      </c>
      <c r="K44" s="43"/>
      <c r="L44" s="299"/>
      <c r="M44" s="291"/>
      <c r="N44" s="291"/>
      <c r="O44" s="291"/>
      <c r="P44" s="291">
        <f t="shared" si="19"/>
        <v>1.8461538461538463</v>
      </c>
      <c r="Q44" s="291">
        <f t="shared" si="20"/>
        <v>4</v>
      </c>
      <c r="R44" s="300">
        <f t="shared" si="21"/>
        <v>2.1538461538461537</v>
      </c>
      <c r="S44" s="43">
        <f t="shared" si="22"/>
        <v>6</v>
      </c>
      <c r="T44" s="43">
        <f t="shared" si="23"/>
        <v>6</v>
      </c>
      <c r="U44" s="43"/>
      <c r="V44" s="43"/>
    </row>
    <row r="45" spans="8:22" x14ac:dyDescent="0.3">
      <c r="H45" s="294">
        <v>44347</v>
      </c>
      <c r="I45" s="144">
        <v>800</v>
      </c>
      <c r="J45" s="173">
        <f t="shared" si="3"/>
        <v>4</v>
      </c>
      <c r="K45" s="43"/>
      <c r="L45" s="299"/>
      <c r="M45" s="291"/>
      <c r="N45" s="291"/>
      <c r="O45" s="291"/>
      <c r="P45" s="291">
        <f t="shared" si="19"/>
        <v>0.76923076923076927</v>
      </c>
      <c r="Q45" s="291">
        <f t="shared" si="20"/>
        <v>2</v>
      </c>
      <c r="R45" s="300">
        <f t="shared" si="21"/>
        <v>1.2307692307692308</v>
      </c>
      <c r="S45" s="43">
        <f t="shared" si="22"/>
        <v>5</v>
      </c>
      <c r="T45" s="43">
        <f t="shared" si="23"/>
        <v>5</v>
      </c>
      <c r="U45" s="43"/>
      <c r="V45" s="43"/>
    </row>
    <row r="46" spans="8:22" x14ac:dyDescent="0.3">
      <c r="H46" s="43"/>
      <c r="I46" s="43"/>
      <c r="J46" s="43"/>
      <c r="K46" s="43"/>
      <c r="L46" s="299">
        <f>SUM(L11:L45)</f>
        <v>184.80769230769229</v>
      </c>
      <c r="M46" s="291">
        <f t="shared" ref="M46:R46" si="24">SUM(M11:M45)</f>
        <v>261.42307692307696</v>
      </c>
      <c r="N46" s="291">
        <f t="shared" si="24"/>
        <v>77.692307692307693</v>
      </c>
      <c r="O46" s="291">
        <f t="shared" si="24"/>
        <v>53.384615384615394</v>
      </c>
      <c r="P46" s="291">
        <f t="shared" si="24"/>
        <v>129.03846153846155</v>
      </c>
      <c r="Q46" s="291">
        <f t="shared" si="24"/>
        <v>85.192307692307693</v>
      </c>
      <c r="R46" s="300">
        <f t="shared" si="24"/>
        <v>8.4615384615384599</v>
      </c>
      <c r="S46" s="43"/>
      <c r="T46" s="43"/>
      <c r="U46" s="43"/>
      <c r="V46" s="43"/>
    </row>
    <row r="47" spans="8:22" x14ac:dyDescent="0.3">
      <c r="H47" s="43"/>
      <c r="I47" s="43"/>
      <c r="J47" s="43"/>
      <c r="K47" s="43"/>
      <c r="L47" s="301">
        <f>L46*4</f>
        <v>739.23076923076917</v>
      </c>
      <c r="M47" s="302">
        <f t="shared" ref="M47:R47" si="25">M46*4</f>
        <v>1045.6923076923078</v>
      </c>
      <c r="N47" s="302">
        <f t="shared" si="25"/>
        <v>310.76923076923077</v>
      </c>
      <c r="O47" s="302">
        <f t="shared" si="25"/>
        <v>213.53846153846158</v>
      </c>
      <c r="P47" s="302">
        <f t="shared" si="25"/>
        <v>516.15384615384619</v>
      </c>
      <c r="Q47" s="302">
        <f t="shared" si="25"/>
        <v>340.76923076923077</v>
      </c>
      <c r="R47" s="303">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154" t="s">
        <v>450</v>
      </c>
      <c r="I50" s="1155"/>
      <c r="J50" s="1145" t="s">
        <v>401</v>
      </c>
      <c r="K50" s="1146"/>
      <c r="L50" s="1146"/>
      <c r="M50" s="1146"/>
      <c r="N50" s="1146"/>
      <c r="O50" s="1146"/>
      <c r="P50" s="850"/>
      <c r="Q50" s="52"/>
      <c r="R50" s="52"/>
      <c r="S50" s="52"/>
      <c r="T50" s="52"/>
      <c r="U50" s="52"/>
      <c r="V50" s="52"/>
      <c r="W50" s="52"/>
      <c r="X50" s="52"/>
      <c r="Y50" s="52"/>
    </row>
    <row r="51" spans="8:25" x14ac:dyDescent="0.3">
      <c r="H51" s="1156"/>
      <c r="I51" s="1157"/>
      <c r="J51" s="1135">
        <v>2020</v>
      </c>
      <c r="K51" s="1136"/>
      <c r="L51" s="1136"/>
      <c r="M51" s="1135">
        <v>2021</v>
      </c>
      <c r="N51" s="1136"/>
      <c r="O51" s="1136"/>
      <c r="P51" s="851"/>
      <c r="Q51" s="1151"/>
      <c r="R51" s="1151"/>
      <c r="S51" s="1151"/>
      <c r="T51" s="1151"/>
      <c r="U51" s="1151"/>
      <c r="V51" s="1151"/>
      <c r="W51" s="1151"/>
      <c r="X51" s="1151"/>
    </row>
    <row r="52" spans="8:25" x14ac:dyDescent="0.3">
      <c r="H52" s="1158"/>
      <c r="I52" s="1159"/>
      <c r="J52" s="161" t="s">
        <v>405</v>
      </c>
      <c r="K52" s="148" t="s">
        <v>290</v>
      </c>
      <c r="L52" s="148" t="s">
        <v>403</v>
      </c>
      <c r="M52" s="35" t="s">
        <v>404</v>
      </c>
      <c r="N52" s="36" t="s">
        <v>405</v>
      </c>
      <c r="O52" s="36" t="s">
        <v>290</v>
      </c>
      <c r="P52" s="61" t="s">
        <v>403</v>
      </c>
      <c r="Q52" s="43"/>
      <c r="U52" s="43"/>
    </row>
    <row r="53" spans="8:25" ht="32.5" customHeight="1" x14ac:dyDescent="0.3">
      <c r="H53" s="56" t="s">
        <v>451</v>
      </c>
      <c r="I53" s="43" t="s">
        <v>452</v>
      </c>
      <c r="J53" s="848">
        <f>'Haver Pivoted'!GU47</f>
        <v>57.2</v>
      </c>
      <c r="K53" s="849">
        <f>'Haver Pivoted'!GV47</f>
        <v>81.2</v>
      </c>
      <c r="L53" s="849">
        <f>'Haver Pivoted'!GW47</f>
        <v>24.4</v>
      </c>
      <c r="M53" s="282">
        <f>'Haver Pivoted'!GX47</f>
        <v>10.8</v>
      </c>
      <c r="N53" s="282">
        <f>'Haver Pivoted'!GY47</f>
        <v>24.7</v>
      </c>
      <c r="O53" s="907">
        <f>'Haver Pivoted'!GZ47</f>
        <v>14</v>
      </c>
      <c r="P53" s="377">
        <f>O56*R47</f>
        <v>1.6983733112765369</v>
      </c>
      <c r="Q53" s="282"/>
      <c r="R53" s="282"/>
    </row>
    <row r="54" spans="8:25" ht="33.65" customHeight="1" x14ac:dyDescent="0.3">
      <c r="H54" s="56" t="s">
        <v>453</v>
      </c>
      <c r="I54" s="63" t="s">
        <v>454</v>
      </c>
      <c r="J54" s="283">
        <f>'Haver Pivoted'!GU49</f>
        <v>576.9</v>
      </c>
      <c r="K54" s="282">
        <f>'Haver Pivoted'!GV49</f>
        <v>819.5</v>
      </c>
      <c r="L54" s="282">
        <f>'Haver Pivoted'!GW49</f>
        <v>246.3</v>
      </c>
      <c r="M54" s="282">
        <f>'Haver Pivoted'!GX49</f>
        <v>184.6</v>
      </c>
      <c r="N54" s="282">
        <f>'Haver Pivoted'!GY49</f>
        <v>427.2</v>
      </c>
      <c r="O54" s="907">
        <f>'Haver Pivoted'!GZ49</f>
        <v>265</v>
      </c>
      <c r="P54" s="284">
        <f>R47-P53</f>
        <v>32.147780534877306</v>
      </c>
      <c r="Q54" s="282"/>
      <c r="R54" s="282"/>
    </row>
    <row r="55" spans="8:25" x14ac:dyDescent="0.3">
      <c r="H55" s="41" t="s">
        <v>437</v>
      </c>
      <c r="I55" s="43"/>
      <c r="J55" s="283">
        <f>J54+J53</f>
        <v>634.1</v>
      </c>
      <c r="K55" s="282">
        <f t="shared" ref="K55:M55" si="27">K54+K53</f>
        <v>900.7</v>
      </c>
      <c r="L55" s="282">
        <f t="shared" si="27"/>
        <v>270.7</v>
      </c>
      <c r="M55" s="282">
        <f t="shared" si="27"/>
        <v>195.4</v>
      </c>
      <c r="N55" s="282">
        <f t="shared" ref="N55:O55" si="28">N54+N53</f>
        <v>451.9</v>
      </c>
      <c r="O55" s="907">
        <f t="shared" si="28"/>
        <v>279</v>
      </c>
      <c r="P55" s="284">
        <f t="shared" ref="P55" si="29">P54+P53</f>
        <v>33.84615384615384</v>
      </c>
      <c r="Q55" s="282"/>
      <c r="R55" s="282"/>
    </row>
    <row r="56" spans="8:25" x14ac:dyDescent="0.3">
      <c r="H56" s="137" t="s">
        <v>455</v>
      </c>
      <c r="I56" s="144"/>
      <c r="J56" s="553">
        <f t="shared" ref="J56:O56" si="30">J53/J55</f>
        <v>9.0206592020186091E-2</v>
      </c>
      <c r="K56" s="554">
        <f t="shared" si="30"/>
        <v>9.015210391917397E-2</v>
      </c>
      <c r="L56" s="554">
        <f t="shared" si="30"/>
        <v>9.0136682674547469E-2</v>
      </c>
      <c r="M56" s="554">
        <f t="shared" si="30"/>
        <v>5.527123848515865E-2</v>
      </c>
      <c r="N56" s="554">
        <f t="shared" si="30"/>
        <v>5.4658110201371984E-2</v>
      </c>
      <c r="O56" s="555">
        <f t="shared" si="30"/>
        <v>5.0179211469534052E-2</v>
      </c>
      <c r="P56" s="288">
        <f t="shared" ref="P56" si="31">O56</f>
        <v>5.0179211469534052E-2</v>
      </c>
      <c r="Q56" s="289" t="s">
        <v>456</v>
      </c>
      <c r="R56" s="290"/>
      <c r="W56" s="34">
        <v>15.066666666666668</v>
      </c>
    </row>
    <row r="57" spans="8:25" x14ac:dyDescent="0.3">
      <c r="W57" s="34">
        <v>279.15117766339108</v>
      </c>
    </row>
    <row r="58" spans="8:25" x14ac:dyDescent="0.3">
      <c r="W58" s="34">
        <v>294.21784433005774</v>
      </c>
    </row>
    <row r="59" spans="8:25" x14ac:dyDescent="0.3">
      <c r="H59" s="39"/>
      <c r="I59" s="43"/>
      <c r="J59" s="282"/>
      <c r="K59" s="282"/>
      <c r="L59" s="282" t="s">
        <v>457</v>
      </c>
      <c r="M59" s="282"/>
      <c r="N59" s="282"/>
      <c r="O59" s="282"/>
      <c r="P59" s="282"/>
      <c r="Q59" s="282"/>
      <c r="R59" s="282"/>
      <c r="S59" s="282"/>
    </row>
    <row r="60" spans="8:25" x14ac:dyDescent="0.3">
      <c r="H60" s="39"/>
      <c r="I60" s="63"/>
      <c r="J60" s="282"/>
      <c r="K60" s="282"/>
      <c r="L60" s="282"/>
      <c r="M60" s="282" t="s">
        <v>299</v>
      </c>
      <c r="N60" s="282" t="s">
        <v>300</v>
      </c>
      <c r="O60" s="282" t="s">
        <v>458</v>
      </c>
      <c r="P60" s="282"/>
      <c r="Q60" s="282"/>
      <c r="R60" s="282"/>
      <c r="S60" s="282"/>
    </row>
    <row r="61" spans="8:25" x14ac:dyDescent="0.3">
      <c r="I61" s="43"/>
      <c r="J61" s="282"/>
      <c r="K61" s="282"/>
      <c r="L61" s="282"/>
      <c r="M61" s="282"/>
      <c r="N61" s="282"/>
      <c r="O61" s="282"/>
      <c r="P61" s="282"/>
      <c r="Q61" s="282"/>
      <c r="R61" s="282"/>
      <c r="S61" s="282"/>
    </row>
    <row r="62" spans="8:25" x14ac:dyDescent="0.3">
      <c r="I62" s="43"/>
      <c r="J62" s="290"/>
      <c r="K62" s="290"/>
      <c r="L62" s="290"/>
      <c r="M62" s="290"/>
      <c r="N62" s="290"/>
      <c r="O62" s="290"/>
      <c r="P62" s="290"/>
      <c r="Q62" s="289"/>
      <c r="R62" s="290"/>
      <c r="S62" s="289"/>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17" t="s">
        <v>195</v>
      </c>
      <c r="C1" s="1117"/>
      <c r="D1" s="1117"/>
      <c r="E1" s="1117"/>
      <c r="F1" s="1117"/>
      <c r="G1" s="1117"/>
      <c r="H1" s="1117"/>
      <c r="I1" s="1117"/>
      <c r="J1" s="1117"/>
      <c r="K1" s="1117"/>
      <c r="L1" s="1117"/>
      <c r="M1" s="1117"/>
      <c r="N1" s="1117"/>
      <c r="O1" s="1117"/>
      <c r="P1" s="1117"/>
      <c r="Q1" s="1117"/>
      <c r="R1" s="1117"/>
      <c r="S1" s="1117"/>
      <c r="T1" s="1117"/>
    </row>
    <row r="2" spans="1:22" x14ac:dyDescent="0.35">
      <c r="B2" s="1160" t="s">
        <v>428</v>
      </c>
      <c r="C2" s="1160"/>
      <c r="D2" s="1160"/>
      <c r="E2" s="1160"/>
      <c r="F2" s="1160"/>
      <c r="G2" s="1160"/>
      <c r="H2" s="1160"/>
      <c r="I2" s="1160"/>
      <c r="J2" s="1160"/>
      <c r="K2" s="1160"/>
      <c r="L2" s="1160"/>
      <c r="M2" s="1160"/>
      <c r="N2" s="1160"/>
      <c r="O2" s="1160"/>
      <c r="P2" s="1160"/>
      <c r="Q2" s="1160"/>
      <c r="R2" s="1160"/>
      <c r="S2" s="1160"/>
      <c r="T2" s="1160"/>
    </row>
    <row r="3" spans="1:22" x14ac:dyDescent="0.35">
      <c r="B3" s="1160"/>
      <c r="C3" s="1160"/>
      <c r="D3" s="1160"/>
      <c r="E3" s="1160"/>
      <c r="F3" s="1160"/>
      <c r="G3" s="1160"/>
      <c r="H3" s="1160"/>
      <c r="I3" s="1160"/>
      <c r="J3" s="1160"/>
      <c r="K3" s="1160"/>
      <c r="L3" s="1160"/>
      <c r="M3" s="1160"/>
      <c r="N3" s="1160"/>
      <c r="O3" s="1160"/>
      <c r="P3" s="1160"/>
      <c r="Q3" s="1160"/>
      <c r="R3" s="1160"/>
      <c r="S3" s="1160"/>
      <c r="T3" s="1160"/>
    </row>
    <row r="4" spans="1:22" x14ac:dyDescent="0.35">
      <c r="B4" s="1160"/>
      <c r="C4" s="1160"/>
      <c r="D4" s="1160"/>
      <c r="E4" s="1160"/>
      <c r="F4" s="1160"/>
      <c r="G4" s="1160"/>
      <c r="H4" s="1160"/>
      <c r="I4" s="1160"/>
      <c r="J4" s="1160"/>
      <c r="K4" s="1160"/>
      <c r="L4" s="1160"/>
      <c r="M4" s="1160"/>
      <c r="N4" s="1160"/>
      <c r="O4" s="1160"/>
      <c r="P4" s="1160"/>
      <c r="Q4" s="1160"/>
      <c r="R4" s="1160"/>
      <c r="S4" s="1160"/>
      <c r="T4" s="1160"/>
    </row>
    <row r="5" spans="1:22" x14ac:dyDescent="0.35">
      <c r="B5" s="1160"/>
      <c r="C5" s="1160"/>
      <c r="D5" s="1160"/>
      <c r="E5" s="1160"/>
      <c r="F5" s="1160"/>
      <c r="G5" s="1160"/>
      <c r="H5" s="1160"/>
      <c r="I5" s="1160"/>
      <c r="J5" s="1160"/>
      <c r="K5" s="1160"/>
      <c r="L5" s="1160"/>
      <c r="M5" s="1160"/>
      <c r="N5" s="1160"/>
      <c r="O5" s="1160"/>
      <c r="P5" s="1160"/>
      <c r="Q5" s="1160"/>
      <c r="R5" s="1160"/>
      <c r="S5" s="1160"/>
      <c r="T5" s="1160"/>
    </row>
    <row r="6" spans="1:22" x14ac:dyDescent="0.35">
      <c r="B6" s="1160"/>
      <c r="C6" s="1160"/>
      <c r="D6" s="1160"/>
      <c r="E6" s="1160"/>
      <c r="F6" s="1160"/>
      <c r="G6" s="1160"/>
      <c r="H6" s="1160"/>
      <c r="I6" s="1160"/>
      <c r="J6" s="1160"/>
      <c r="K6" s="1160"/>
      <c r="L6" s="1160"/>
      <c r="M6" s="1160"/>
      <c r="N6" s="1160"/>
      <c r="O6" s="1160"/>
      <c r="P6" s="1160"/>
      <c r="Q6" s="1160"/>
      <c r="R6" s="1160"/>
      <c r="S6" s="1160"/>
      <c r="T6" s="1160"/>
    </row>
    <row r="7" spans="1:22" x14ac:dyDescent="0.35">
      <c r="J7" s="217"/>
      <c r="K7" s="217"/>
      <c r="M7" s="217"/>
    </row>
    <row r="9" spans="1:22" ht="14.5" customHeight="1" x14ac:dyDescent="0.35">
      <c r="A9" s="220"/>
      <c r="B9" s="1161" t="s">
        <v>429</v>
      </c>
      <c r="C9" s="1162"/>
      <c r="D9" s="422">
        <v>2018</v>
      </c>
      <c r="E9" s="1169">
        <v>2019</v>
      </c>
      <c r="F9" s="1170"/>
      <c r="G9" s="1170"/>
      <c r="H9" s="1171"/>
      <c r="I9" s="1167">
        <v>2020</v>
      </c>
      <c r="J9" s="1168"/>
      <c r="K9" s="1168"/>
      <c r="L9" s="1168"/>
      <c r="M9" s="1172">
        <v>2021</v>
      </c>
      <c r="N9" s="1173"/>
      <c r="O9" s="1173"/>
      <c r="P9" s="839">
        <v>2021</v>
      </c>
      <c r="Q9" s="1165">
        <v>2022</v>
      </c>
      <c r="R9" s="1165"/>
      <c r="S9" s="1165"/>
      <c r="T9" s="1166"/>
    </row>
    <row r="10" spans="1:22" x14ac:dyDescent="0.35">
      <c r="B10" s="1163"/>
      <c r="C10" s="1164"/>
      <c r="D10" s="976" t="s">
        <v>403</v>
      </c>
      <c r="E10" s="977" t="s">
        <v>404</v>
      </c>
      <c r="F10" s="978" t="s">
        <v>405</v>
      </c>
      <c r="G10" s="978" t="s">
        <v>290</v>
      </c>
      <c r="H10" s="979" t="s">
        <v>403</v>
      </c>
      <c r="I10" s="977" t="s">
        <v>404</v>
      </c>
      <c r="J10" s="978" t="s">
        <v>405</v>
      </c>
      <c r="K10" s="978" t="s">
        <v>290</v>
      </c>
      <c r="L10" s="978" t="s">
        <v>403</v>
      </c>
      <c r="M10" s="161" t="s">
        <v>404</v>
      </c>
      <c r="N10" s="980" t="s">
        <v>405</v>
      </c>
      <c r="O10" s="980" t="s">
        <v>290</v>
      </c>
      <c r="P10" s="61" t="s">
        <v>403</v>
      </c>
      <c r="Q10" s="371" t="s">
        <v>404</v>
      </c>
      <c r="R10" s="371" t="s">
        <v>405</v>
      </c>
      <c r="S10" s="371" t="s">
        <v>290</v>
      </c>
      <c r="T10" s="375" t="s">
        <v>403</v>
      </c>
    </row>
    <row r="11" spans="1:22" ht="29" x14ac:dyDescent="0.35">
      <c r="A11" s="374"/>
      <c r="B11" s="369" t="s">
        <v>182</v>
      </c>
      <c r="C11" s="844" t="s">
        <v>430</v>
      </c>
      <c r="D11" s="983"/>
      <c r="E11" s="844"/>
      <c r="F11" s="844"/>
      <c r="G11" s="844"/>
      <c r="H11" s="844"/>
      <c r="I11" s="844"/>
      <c r="J11" s="845">
        <f>'Haver Pivoted'!GU48</f>
        <v>160.9</v>
      </c>
      <c r="K11" s="845">
        <f>'Haver Pivoted'!GV48</f>
        <v>58.4</v>
      </c>
      <c r="L11" s="845">
        <f>'Haver Pivoted'!GW48</f>
        <v>34.5</v>
      </c>
      <c r="M11" s="845">
        <f>'Haver Pivoted'!GX48</f>
        <v>42.8</v>
      </c>
      <c r="N11" s="845">
        <f>'Haver Pivoted'!GY48</f>
        <v>26.6</v>
      </c>
      <c r="O11" s="984">
        <f>'Haver Pivoted'!GZ48</f>
        <v>37.4</v>
      </c>
      <c r="P11" s="837">
        <f t="shared" ref="P11:P13" si="0">P$14*P15</f>
        <v>12.2</v>
      </c>
      <c r="Q11" s="837">
        <f t="shared" ref="Q11:S11" si="1">Q$14*Q15</f>
        <v>0</v>
      </c>
      <c r="R11" s="837">
        <f t="shared" si="1"/>
        <v>0</v>
      </c>
      <c r="S11" s="837">
        <f t="shared" si="1"/>
        <v>0</v>
      </c>
      <c r="T11" s="899"/>
    </row>
    <row r="12" spans="1:22" ht="29" x14ac:dyDescent="0.35">
      <c r="A12" s="374"/>
      <c r="B12" s="370" t="s">
        <v>431</v>
      </c>
      <c r="C12" s="973" t="s">
        <v>432</v>
      </c>
      <c r="D12" s="370"/>
      <c r="E12" s="973"/>
      <c r="F12" s="973"/>
      <c r="G12" s="973"/>
      <c r="H12" s="973"/>
      <c r="I12" s="973"/>
      <c r="J12" s="981">
        <f>'Haver Pivoted'!GU58</f>
        <v>64.400000000000006</v>
      </c>
      <c r="K12" s="981">
        <f>'Haver Pivoted'!GV58</f>
        <v>23.4</v>
      </c>
      <c r="L12" s="981">
        <f>'Haver Pivoted'!GW58</f>
        <v>13.8</v>
      </c>
      <c r="M12" s="981">
        <f>'Haver Pivoted'!GX58</f>
        <v>17.100000000000001</v>
      </c>
      <c r="N12" s="981">
        <f>'Haver Pivoted'!GY58</f>
        <v>10.6</v>
      </c>
      <c r="O12" s="912">
        <f>'Haver Pivoted'!GZ58</f>
        <v>15</v>
      </c>
      <c r="P12" s="372">
        <f t="shared" si="0"/>
        <v>4.8930481283422456</v>
      </c>
      <c r="Q12" s="372">
        <f t="shared" ref="Q12:S12" si="2">Q$14*Q16</f>
        <v>0</v>
      </c>
      <c r="R12" s="372">
        <f t="shared" si="2"/>
        <v>0</v>
      </c>
      <c r="S12" s="372">
        <f t="shared" si="2"/>
        <v>0</v>
      </c>
      <c r="T12" s="375"/>
    </row>
    <row r="13" spans="1:22" ht="42" customHeight="1" x14ac:dyDescent="0.35">
      <c r="A13" s="374"/>
      <c r="B13" s="370" t="s">
        <v>433</v>
      </c>
      <c r="C13" s="973" t="s">
        <v>434</v>
      </c>
      <c r="D13" s="370"/>
      <c r="E13" s="973"/>
      <c r="F13" s="973"/>
      <c r="G13" s="973"/>
      <c r="H13" s="973"/>
      <c r="I13" s="973"/>
      <c r="J13" s="981">
        <f>'Haver Pivoted'!GU54</f>
        <v>96.6</v>
      </c>
      <c r="K13" s="981">
        <f>'Haver Pivoted'!GV54</f>
        <v>35.1</v>
      </c>
      <c r="L13" s="981">
        <f>'Haver Pivoted'!GW54</f>
        <v>20.7</v>
      </c>
      <c r="M13" s="981">
        <f>'Haver Pivoted'!GX54</f>
        <v>25.7</v>
      </c>
      <c r="N13" s="981">
        <f>'Haver Pivoted'!GY54</f>
        <v>16</v>
      </c>
      <c r="O13" s="912">
        <f>'Haver Pivoted'!GZ54</f>
        <v>22.4</v>
      </c>
      <c r="P13" s="372">
        <f t="shared" si="0"/>
        <v>7.3069518716577528</v>
      </c>
      <c r="Q13" s="372">
        <f>Q$14*Q17</f>
        <v>0</v>
      </c>
      <c r="R13" s="372">
        <f t="shared" ref="R13:S13" si="3">R$14*R17</f>
        <v>0</v>
      </c>
      <c r="S13" s="372">
        <f t="shared" si="3"/>
        <v>0</v>
      </c>
      <c r="T13" s="375"/>
      <c r="U13" s="453" t="s">
        <v>435</v>
      </c>
      <c r="V13" s="452" t="s">
        <v>436</v>
      </c>
    </row>
    <row r="14" spans="1:22" x14ac:dyDescent="0.35">
      <c r="B14" s="451" t="s">
        <v>437</v>
      </c>
      <c r="C14" s="974"/>
      <c r="D14" s="451"/>
      <c r="E14" s="974"/>
      <c r="F14" s="974"/>
      <c r="G14" s="974"/>
      <c r="H14" s="974"/>
      <c r="I14" s="974"/>
      <c r="J14" s="981">
        <f t="shared" ref="J14:O14" si="4">J13+J12+J11</f>
        <v>321.89999999999998</v>
      </c>
      <c r="K14" s="981">
        <f t="shared" si="4"/>
        <v>116.9</v>
      </c>
      <c r="L14" s="981">
        <f t="shared" si="4"/>
        <v>69</v>
      </c>
      <c r="M14" s="981">
        <f t="shared" si="4"/>
        <v>85.6</v>
      </c>
      <c r="N14" s="981">
        <f t="shared" si="4"/>
        <v>53.2</v>
      </c>
      <c r="O14" s="912">
        <f t="shared" si="4"/>
        <v>74.8</v>
      </c>
      <c r="P14" s="371">
        <v>24.4</v>
      </c>
      <c r="Q14" s="371">
        <v>0</v>
      </c>
      <c r="R14" s="371">
        <v>0</v>
      </c>
      <c r="S14" s="371">
        <v>0</v>
      </c>
      <c r="T14" s="375"/>
      <c r="U14" s="987">
        <v>186.5</v>
      </c>
      <c r="V14" s="988">
        <f>SUM(J14:S14)/4</f>
        <v>186.45</v>
      </c>
    </row>
    <row r="15" spans="1:22" x14ac:dyDescent="0.35">
      <c r="B15" s="373" t="s">
        <v>438</v>
      </c>
      <c r="C15" s="975"/>
      <c r="D15" s="373"/>
      <c r="E15" s="975"/>
      <c r="F15" s="975"/>
      <c r="G15" s="975"/>
      <c r="H15" s="975"/>
      <c r="I15" s="975"/>
      <c r="J15" s="982">
        <f t="shared" ref="J15:N17" si="5">J11/J$14</f>
        <v>0.49984467225846541</v>
      </c>
      <c r="K15" s="982">
        <f t="shared" si="5"/>
        <v>0.49957228400342168</v>
      </c>
      <c r="L15" s="982">
        <f t="shared" si="5"/>
        <v>0.5</v>
      </c>
      <c r="M15" s="982">
        <f t="shared" si="5"/>
        <v>0.5</v>
      </c>
      <c r="N15" s="982">
        <f t="shared" si="5"/>
        <v>0.5</v>
      </c>
      <c r="O15" s="985">
        <f t="shared" ref="O15" si="6">O11/O$14</f>
        <v>0.5</v>
      </c>
      <c r="P15" s="392">
        <f t="shared" ref="P15:P17" si="7">O15</f>
        <v>0.5</v>
      </c>
      <c r="Q15" s="392">
        <f t="shared" ref="Q15:Q17" si="8">P15</f>
        <v>0.5</v>
      </c>
      <c r="R15" s="392">
        <f t="shared" ref="R15:R17" si="9">Q15</f>
        <v>0.5</v>
      </c>
      <c r="S15" s="392">
        <f t="shared" ref="S15:S17" si="10">R15</f>
        <v>0.5</v>
      </c>
      <c r="T15" s="375"/>
    </row>
    <row r="16" spans="1:22" x14ac:dyDescent="0.35">
      <c r="B16" s="373" t="s">
        <v>439</v>
      </c>
      <c r="C16" s="975"/>
      <c r="D16" s="373"/>
      <c r="E16" s="975"/>
      <c r="F16" s="975"/>
      <c r="G16" s="975"/>
      <c r="H16" s="975"/>
      <c r="I16" s="975"/>
      <c r="J16" s="982">
        <f t="shared" si="5"/>
        <v>0.20006213109661389</v>
      </c>
      <c r="K16" s="982">
        <f t="shared" si="5"/>
        <v>0.20017108639863129</v>
      </c>
      <c r="L16" s="982">
        <f t="shared" si="5"/>
        <v>0.2</v>
      </c>
      <c r="M16" s="982">
        <f t="shared" si="5"/>
        <v>0.19976635514018695</v>
      </c>
      <c r="N16" s="982">
        <f t="shared" si="5"/>
        <v>0.19924812030075187</v>
      </c>
      <c r="O16" s="985">
        <f t="shared" ref="O16" si="11">O12/O$14</f>
        <v>0.20053475935828877</v>
      </c>
      <c r="P16" s="392">
        <f t="shared" si="7"/>
        <v>0.20053475935828877</v>
      </c>
      <c r="Q16" s="392">
        <f t="shared" si="8"/>
        <v>0.20053475935828877</v>
      </c>
      <c r="R16" s="392">
        <f t="shared" si="9"/>
        <v>0.20053475935828877</v>
      </c>
      <c r="S16" s="392">
        <f t="shared" si="10"/>
        <v>0.20053475935828877</v>
      </c>
      <c r="T16" s="375"/>
    </row>
    <row r="17" spans="2:20" x14ac:dyDescent="0.35">
      <c r="B17" s="393" t="s">
        <v>440</v>
      </c>
      <c r="C17" s="843"/>
      <c r="D17" s="393"/>
      <c r="E17" s="843"/>
      <c r="F17" s="843"/>
      <c r="G17" s="843"/>
      <c r="H17" s="843"/>
      <c r="I17" s="843"/>
      <c r="J17" s="280">
        <f t="shared" si="5"/>
        <v>0.30009319664492079</v>
      </c>
      <c r="K17" s="280">
        <f t="shared" si="5"/>
        <v>0.30025662959794697</v>
      </c>
      <c r="L17" s="280">
        <f t="shared" si="5"/>
        <v>0.3</v>
      </c>
      <c r="M17" s="280">
        <f t="shared" si="5"/>
        <v>0.30023364485981308</v>
      </c>
      <c r="N17" s="280">
        <f t="shared" si="5"/>
        <v>0.3007518796992481</v>
      </c>
      <c r="O17" s="986">
        <f t="shared" ref="O17" si="12">O13/O$14</f>
        <v>0.29946524064171121</v>
      </c>
      <c r="P17" s="394">
        <f t="shared" si="7"/>
        <v>0.29946524064171121</v>
      </c>
      <c r="Q17" s="394">
        <f t="shared" si="8"/>
        <v>0.29946524064171121</v>
      </c>
      <c r="R17" s="394">
        <f t="shared" si="9"/>
        <v>0.29946524064171121</v>
      </c>
      <c r="S17" s="394">
        <f t="shared" si="10"/>
        <v>0.29946524064171121</v>
      </c>
      <c r="T17" s="395"/>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01"/>
  <sheetViews>
    <sheetView topLeftCell="A25" zoomScale="59" zoomScaleNormal="80" workbookViewId="0">
      <selection activeCell="B18" sqref="B18"/>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33" t="s">
        <v>236</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523"/>
      <c r="AA1" s="523"/>
      <c r="AB1" s="523"/>
      <c r="AC1" s="523"/>
      <c r="AD1" s="180"/>
      <c r="AE1" s="180"/>
    </row>
    <row r="2" spans="2:34" ht="14.15" customHeight="1" x14ac:dyDescent="0.3">
      <c r="B2" s="1134" t="s">
        <v>464</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c r="AD2" s="219"/>
      <c r="AE2" s="219"/>
    </row>
    <row r="3" spans="2:34" ht="50.5" customHeight="1" x14ac:dyDescent="0.3">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c r="AD3" s="219"/>
      <c r="AE3" s="219"/>
    </row>
    <row r="4" spans="2:34" ht="5.15" customHeight="1" x14ac:dyDescent="0.3">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c r="AD4" s="219"/>
      <c r="AE4" s="219"/>
    </row>
    <row r="5" spans="2:34" x14ac:dyDescent="0.3">
      <c r="B5" s="133" t="s">
        <v>465</v>
      </c>
    </row>
    <row r="6" spans="2:34" ht="14.5" customHeight="1" x14ac:dyDescent="0.3">
      <c r="B6" s="1138" t="s">
        <v>466</v>
      </c>
      <c r="C6" s="1139"/>
      <c r="D6" s="1145" t="s">
        <v>401</v>
      </c>
      <c r="E6" s="1146"/>
      <c r="F6" s="1146"/>
      <c r="G6" s="1146"/>
      <c r="H6" s="1146"/>
      <c r="I6" s="1146"/>
      <c r="J6" s="1146"/>
      <c r="K6" s="1146"/>
      <c r="L6" s="1146"/>
      <c r="M6" s="1186"/>
      <c r="N6" s="1187"/>
      <c r="O6" s="1148" t="s">
        <v>402</v>
      </c>
      <c r="P6" s="1149"/>
      <c r="Q6" s="1149"/>
      <c r="R6" s="1149"/>
      <c r="S6" s="1149"/>
      <c r="T6" s="1149"/>
      <c r="U6" s="1149"/>
      <c r="V6" s="1149"/>
      <c r="W6" s="1149"/>
      <c r="X6" s="1149"/>
      <c r="Y6" s="1149"/>
      <c r="Z6" s="1149"/>
      <c r="AA6" s="1149"/>
      <c r="AB6" s="1149"/>
      <c r="AC6" s="1150"/>
      <c r="AD6" s="1180" t="s">
        <v>467</v>
      </c>
      <c r="AE6" s="1183" t="s">
        <v>468</v>
      </c>
    </row>
    <row r="7" spans="2:34" ht="24" customHeight="1" x14ac:dyDescent="0.3">
      <c r="B7" s="1140"/>
      <c r="C7" s="1141"/>
      <c r="D7" s="524">
        <v>2018</v>
      </c>
      <c r="E7" s="1135">
        <v>2019</v>
      </c>
      <c r="F7" s="1136"/>
      <c r="G7" s="1136"/>
      <c r="H7" s="1137"/>
      <c r="I7" s="1135">
        <v>2020</v>
      </c>
      <c r="J7" s="1136"/>
      <c r="K7" s="1136"/>
      <c r="L7" s="1136"/>
      <c r="M7" s="1135">
        <v>2021</v>
      </c>
      <c r="N7" s="1136"/>
      <c r="O7" s="1137"/>
      <c r="P7" s="557">
        <v>2021</v>
      </c>
      <c r="Q7" s="1142">
        <v>2022</v>
      </c>
      <c r="R7" s="1143"/>
      <c r="S7" s="1143"/>
      <c r="T7" s="1144"/>
      <c r="U7" s="1142">
        <v>2023</v>
      </c>
      <c r="V7" s="1143"/>
      <c r="W7" s="1143"/>
      <c r="X7" s="1143"/>
      <c r="Y7" s="1142">
        <v>2024</v>
      </c>
      <c r="Z7" s="1143"/>
      <c r="AA7" s="1143"/>
      <c r="AB7" s="1144"/>
      <c r="AC7" s="329">
        <v>2025</v>
      </c>
      <c r="AD7" s="1181"/>
      <c r="AE7" s="1184"/>
    </row>
    <row r="8" spans="2:34" ht="14.15" customHeight="1" x14ac:dyDescent="0.3">
      <c r="B8" s="1178"/>
      <c r="C8" s="1179"/>
      <c r="D8" s="166" t="s">
        <v>403</v>
      </c>
      <c r="E8" s="166" t="s">
        <v>404</v>
      </c>
      <c r="F8" s="147" t="s">
        <v>405</v>
      </c>
      <c r="G8" s="147" t="s">
        <v>290</v>
      </c>
      <c r="H8" s="154" t="s">
        <v>403</v>
      </c>
      <c r="I8" s="148" t="s">
        <v>404</v>
      </c>
      <c r="J8" s="148" t="s">
        <v>405</v>
      </c>
      <c r="K8" s="148" t="s">
        <v>290</v>
      </c>
      <c r="L8" s="148" t="s">
        <v>403</v>
      </c>
      <c r="M8" s="35" t="s">
        <v>404</v>
      </c>
      <c r="N8" s="36" t="s">
        <v>405</v>
      </c>
      <c r="O8" s="37"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c r="AD8" s="1182"/>
      <c r="AE8" s="1185"/>
    </row>
    <row r="9" spans="2:34" ht="23.5" customHeight="1" x14ac:dyDescent="0.3">
      <c r="B9" s="253" t="s">
        <v>469</v>
      </c>
      <c r="C9" s="856" t="s">
        <v>470</v>
      </c>
      <c r="D9" s="993">
        <f>'Haver Pivoted'!GO32</f>
        <v>588.9</v>
      </c>
      <c r="E9" s="743">
        <f>'Haver Pivoted'!GP32</f>
        <v>593.79999999999995</v>
      </c>
      <c r="F9" s="743">
        <f>'Haver Pivoted'!GQ32</f>
        <v>610.5</v>
      </c>
      <c r="G9" s="743">
        <f>'Haver Pivoted'!GR32</f>
        <v>610.4</v>
      </c>
      <c r="H9" s="743">
        <f>'Haver Pivoted'!GS32</f>
        <v>622.4</v>
      </c>
      <c r="I9" s="743">
        <f>'Haver Pivoted'!GT32</f>
        <v>640.6</v>
      </c>
      <c r="J9" s="743">
        <f>'Haver Pivoted'!GU32</f>
        <v>1400</v>
      </c>
      <c r="K9" s="743">
        <f>'Haver Pivoted'!GV32</f>
        <v>738.5</v>
      </c>
      <c r="L9" s="743">
        <f>'Haver Pivoted'!GW32</f>
        <v>743</v>
      </c>
      <c r="M9" s="295">
        <f>'Haver Pivoted'!GX32</f>
        <v>781.5</v>
      </c>
      <c r="N9" s="295">
        <f>'Haver Pivoted'!GY32</f>
        <v>1632.2</v>
      </c>
      <c r="O9" s="916">
        <f>'Haver Pivoted'!GZ32</f>
        <v>1057.0999999999999</v>
      </c>
      <c r="P9" s="252">
        <f>P10+P11</f>
        <v>827.28855154988548</v>
      </c>
      <c r="Q9" s="252">
        <f>Q10+Q11</f>
        <v>1495.3133431956478</v>
      </c>
      <c r="R9" s="252">
        <f t="shared" ref="R9:AC9" si="0">R10+R11</f>
        <v>842.70113274872733</v>
      </c>
      <c r="S9" s="252">
        <f t="shared" si="0"/>
        <v>817.61339315923772</v>
      </c>
      <c r="T9" s="252">
        <f t="shared" si="0"/>
        <v>841.72792294891951</v>
      </c>
      <c r="U9" s="252">
        <f t="shared" si="0"/>
        <v>836.89547110535011</v>
      </c>
      <c r="V9" s="252">
        <f t="shared" si="0"/>
        <v>832.17515789717027</v>
      </c>
      <c r="W9" s="252">
        <f t="shared" si="0"/>
        <v>827.56597448702905</v>
      </c>
      <c r="X9" s="252">
        <f t="shared" si="0"/>
        <v>811.37562640765304</v>
      </c>
      <c r="Y9" s="252">
        <f t="shared" si="0"/>
        <v>795.55968464774935</v>
      </c>
      <c r="Z9" s="252">
        <f t="shared" si="0"/>
        <v>785.86166867728252</v>
      </c>
      <c r="AA9" s="252">
        <f t="shared" si="0"/>
        <v>795.28311806528257</v>
      </c>
      <c r="AB9" s="252">
        <f t="shared" si="0"/>
        <v>790.94959274846474</v>
      </c>
      <c r="AC9" s="377">
        <f t="shared" si="0"/>
        <v>800.61467330346682</v>
      </c>
      <c r="AD9" s="556"/>
      <c r="AE9" s="917"/>
    </row>
    <row r="10" spans="2:34" s="80" customFormat="1" ht="28" x14ac:dyDescent="0.3">
      <c r="B10" s="94" t="s">
        <v>176</v>
      </c>
      <c r="C10" s="88" t="s">
        <v>471</v>
      </c>
      <c r="D10" s="994">
        <f>'Haver Pivoted'!GO40</f>
        <v>390.86599999999999</v>
      </c>
      <c r="E10" s="550">
        <f>'Haver Pivoted'!GP40</f>
        <v>408.75599999999997</v>
      </c>
      <c r="F10" s="550">
        <f>'Haver Pivoted'!GQ40</f>
        <v>413.34399999999999</v>
      </c>
      <c r="G10" s="550">
        <f>'Haver Pivoted'!GR40</f>
        <v>418.529</v>
      </c>
      <c r="H10" s="550">
        <f>'Haver Pivoted'!GS40</f>
        <v>413.80599999999998</v>
      </c>
      <c r="I10" s="550">
        <f>'Haver Pivoted'!GT40</f>
        <v>428.11799999999999</v>
      </c>
      <c r="J10" s="550">
        <f>'Haver Pivoted'!GU40</f>
        <v>502.49</v>
      </c>
      <c r="K10" s="550">
        <f>'Haver Pivoted'!GV40</f>
        <v>481.71699999999998</v>
      </c>
      <c r="L10" s="550">
        <f>'Haver Pivoted'!GW40</f>
        <v>507.83699999999999</v>
      </c>
      <c r="M10" s="550">
        <f>'Haver Pivoted'!GX40</f>
        <v>511.34500000000003</v>
      </c>
      <c r="N10" s="550">
        <f>'Haver Pivoted'!GY40</f>
        <v>520.72900000000004</v>
      </c>
      <c r="O10" s="918">
        <f>'Haver Pivoted'!GZ40</f>
        <v>530.82100000000003</v>
      </c>
      <c r="P10" s="389">
        <f>Medicaid!L26</f>
        <v>538.19018291204748</v>
      </c>
      <c r="Q10" s="389">
        <f>Medicaid!M26</f>
        <v>551.80044706412866</v>
      </c>
      <c r="R10" s="389">
        <f>Medicaid!N26</f>
        <v>559.46087953640301</v>
      </c>
      <c r="S10" s="389">
        <f>Medicaid!O26</f>
        <v>532.32580649257125</v>
      </c>
      <c r="T10" s="389">
        <f>Medicaid!P26</f>
        <v>523.02182961904396</v>
      </c>
      <c r="U10" s="389">
        <f>Medicaid!Q26</f>
        <v>516.10149912857014</v>
      </c>
      <c r="V10" s="389">
        <f>Medicaid!R26</f>
        <v>509.27273455635293</v>
      </c>
      <c r="W10" s="389">
        <f>Medicaid!S26</f>
        <v>502.53432435369587</v>
      </c>
      <c r="X10" s="389">
        <f>Medicaid!T26</f>
        <v>509.45176934458243</v>
      </c>
      <c r="Y10" s="389">
        <f>Medicaid!U26</f>
        <v>516.46443379189816</v>
      </c>
      <c r="Z10" s="389">
        <f>Medicaid!V26</f>
        <v>523.57362840283258</v>
      </c>
      <c r="AA10" s="389">
        <f>Medicaid!W26</f>
        <v>530.78068192661613</v>
      </c>
      <c r="AB10" s="389">
        <f>Medicaid!X26</f>
        <v>538.08694140287128</v>
      </c>
      <c r="AC10" s="390">
        <f>Medicaid!Y26</f>
        <v>545.49377241338152</v>
      </c>
      <c r="AD10" s="607"/>
      <c r="AE10" s="437"/>
    </row>
    <row r="11" spans="2:34" s="80" customFormat="1" ht="17.149999999999999" customHeight="1" x14ac:dyDescent="0.3">
      <c r="B11" s="49" t="s">
        <v>472</v>
      </c>
      <c r="C11" s="88"/>
      <c r="D11" s="994">
        <f t="shared" ref="D11:G11" si="1">D9-D10</f>
        <v>198.03399999999999</v>
      </c>
      <c r="E11" s="550">
        <f t="shared" si="1"/>
        <v>185.04399999999998</v>
      </c>
      <c r="F11" s="550">
        <f t="shared" si="1"/>
        <v>197.15600000000001</v>
      </c>
      <c r="G11" s="550">
        <f t="shared" si="1"/>
        <v>191.87099999999998</v>
      </c>
      <c r="H11" s="550">
        <f>H9-H10</f>
        <v>208.59399999999999</v>
      </c>
      <c r="I11" s="550">
        <f t="shared" ref="I11:N11" si="2">I9-I10</f>
        <v>212.48200000000003</v>
      </c>
      <c r="J11" s="550">
        <f t="shared" si="2"/>
        <v>897.51</v>
      </c>
      <c r="K11" s="550">
        <f t="shared" si="2"/>
        <v>256.78300000000002</v>
      </c>
      <c r="L11" s="550">
        <f t="shared" si="2"/>
        <v>235.16300000000001</v>
      </c>
      <c r="M11" s="550">
        <f t="shared" si="2"/>
        <v>270.15499999999997</v>
      </c>
      <c r="N11" s="550">
        <f t="shared" si="2"/>
        <v>1111.471</v>
      </c>
      <c r="O11" s="918">
        <f>O9-O10</f>
        <v>526.27899999999988</v>
      </c>
      <c r="P11" s="389">
        <f>SUM(P12:P20)</f>
        <v>289.09836863783801</v>
      </c>
      <c r="Q11" s="389">
        <f t="shared" ref="Q11:AC11" si="3">SUM(Q12:Q20)</f>
        <v>943.51289613151914</v>
      </c>
      <c r="R11" s="389">
        <f t="shared" si="3"/>
        <v>283.24025321232432</v>
      </c>
      <c r="S11" s="389">
        <f t="shared" si="3"/>
        <v>285.28758666666647</v>
      </c>
      <c r="T11" s="389">
        <f t="shared" si="3"/>
        <v>318.70609332987556</v>
      </c>
      <c r="U11" s="389">
        <f t="shared" si="3"/>
        <v>320.79397197677997</v>
      </c>
      <c r="V11" s="389">
        <f t="shared" si="3"/>
        <v>322.90242334081728</v>
      </c>
      <c r="W11" s="389">
        <f t="shared" si="3"/>
        <v>325.03165013333313</v>
      </c>
      <c r="X11" s="389">
        <f t="shared" si="3"/>
        <v>301.92385706307061</v>
      </c>
      <c r="Y11" s="389">
        <f t="shared" si="3"/>
        <v>279.09525085585119</v>
      </c>
      <c r="Z11" s="389">
        <f t="shared" si="3"/>
        <v>262.28804027444994</v>
      </c>
      <c r="AA11" s="389">
        <f t="shared" si="3"/>
        <v>264.50243613866644</v>
      </c>
      <c r="AB11" s="389">
        <f t="shared" si="3"/>
        <v>252.86265134559343</v>
      </c>
      <c r="AC11" s="390">
        <f t="shared" si="3"/>
        <v>255.12090089008524</v>
      </c>
      <c r="AD11" s="607"/>
      <c r="AE11" s="437"/>
    </row>
    <row r="12" spans="2:34" s="80" customFormat="1" ht="16" customHeight="1" x14ac:dyDescent="0.3">
      <c r="B12" s="81" t="s">
        <v>192</v>
      </c>
      <c r="C12" s="259" t="s">
        <v>473</v>
      </c>
      <c r="D12" s="565"/>
      <c r="E12" s="259"/>
      <c r="F12" s="259"/>
      <c r="G12" s="259"/>
      <c r="H12" s="263"/>
      <c r="I12" s="263"/>
      <c r="J12" s="263">
        <f>'Haver Pivoted'!GU56</f>
        <v>597.9</v>
      </c>
      <c r="K12" s="263"/>
      <c r="L12" s="263"/>
      <c r="M12" s="263"/>
      <c r="N12" s="263"/>
      <c r="O12" s="607">
        <v>0</v>
      </c>
      <c r="P12" s="389">
        <v>0</v>
      </c>
      <c r="Q12" s="389">
        <v>0</v>
      </c>
      <c r="R12" s="389">
        <v>0</v>
      </c>
      <c r="S12" s="389">
        <v>0</v>
      </c>
      <c r="T12" s="389">
        <v>0</v>
      </c>
      <c r="U12" s="389">
        <v>0</v>
      </c>
      <c r="V12" s="389">
        <v>0</v>
      </c>
      <c r="W12" s="389">
        <v>0</v>
      </c>
      <c r="X12" s="389">
        <v>0</v>
      </c>
      <c r="Y12" s="389">
        <v>0</v>
      </c>
      <c r="Z12" s="389">
        <v>0</v>
      </c>
      <c r="AA12" s="389">
        <v>0</v>
      </c>
      <c r="AB12" s="389">
        <v>0</v>
      </c>
      <c r="AC12" s="390">
        <v>0</v>
      </c>
      <c r="AD12" s="607">
        <f>SUM(I12:Y12)/4</f>
        <v>149.47499999999999</v>
      </c>
      <c r="AE12" s="437">
        <f>AD30</f>
        <v>150</v>
      </c>
    </row>
    <row r="13" spans="2:34" s="80" customFormat="1" x14ac:dyDescent="0.3">
      <c r="B13" s="81" t="s">
        <v>193</v>
      </c>
      <c r="C13" s="259" t="s">
        <v>474</v>
      </c>
      <c r="D13" s="565"/>
      <c r="E13" s="259"/>
      <c r="F13" s="259"/>
      <c r="G13" s="259"/>
      <c r="H13" s="263"/>
      <c r="I13" s="263"/>
      <c r="J13" s="263">
        <f>'Haver Pivoted'!GU57</f>
        <v>28.4</v>
      </c>
      <c r="K13" s="263">
        <f>'Haver Pivoted'!GV57</f>
        <v>15.8</v>
      </c>
      <c r="L13" s="263">
        <f>'Haver Pivoted'!GW57</f>
        <v>15.2</v>
      </c>
      <c r="M13" s="263">
        <f>'Haver Pivoted'!GX57</f>
        <v>28.9</v>
      </c>
      <c r="N13" s="263">
        <f>'Haver Pivoted'!GY57</f>
        <v>67.599999999999994</v>
      </c>
      <c r="O13" s="919">
        <f>'Haver Pivoted'!GZ57</f>
        <v>80.7</v>
      </c>
      <c r="P13" s="389">
        <f t="shared" ref="P13:AC13" si="4">P31+P35+P41</f>
        <v>74.123333333333335</v>
      </c>
      <c r="Q13" s="389">
        <f t="shared" si="4"/>
        <v>69.123333333333306</v>
      </c>
      <c r="R13" s="389">
        <f t="shared" si="4"/>
        <v>69.123333333333306</v>
      </c>
      <c r="S13" s="389">
        <f t="shared" si="4"/>
        <v>69.123333333333306</v>
      </c>
      <c r="T13" s="389">
        <f t="shared" si="4"/>
        <v>60.929333333333297</v>
      </c>
      <c r="U13" s="389">
        <f t="shared" si="4"/>
        <v>60.929333333333297</v>
      </c>
      <c r="V13" s="389">
        <f t="shared" si="4"/>
        <v>60.929333333333297</v>
      </c>
      <c r="W13" s="389">
        <f t="shared" si="4"/>
        <v>60.929333333333297</v>
      </c>
      <c r="X13" s="389">
        <f t="shared" si="4"/>
        <v>54.244333333333302</v>
      </c>
      <c r="Y13" s="389">
        <f t="shared" si="4"/>
        <v>50.911000000000001</v>
      </c>
      <c r="Z13" s="389">
        <f t="shared" si="4"/>
        <v>31.911000000000001</v>
      </c>
      <c r="AA13" s="389">
        <f t="shared" si="4"/>
        <v>31.911000000000001</v>
      </c>
      <c r="AB13" s="389">
        <f t="shared" si="4"/>
        <v>23.099</v>
      </c>
      <c r="AC13" s="390">
        <f t="shared" si="4"/>
        <v>23.099</v>
      </c>
      <c r="AD13" s="607">
        <f t="shared" ref="AD13:AD19" si="5">SUM(I13:Y13)/4</f>
        <v>216.74149999999992</v>
      </c>
      <c r="AE13" s="437">
        <f>AD31+AD35+AD41</f>
        <v>218.26349999999994</v>
      </c>
    </row>
    <row r="14" spans="2:34" s="80" customFormat="1" x14ac:dyDescent="0.3">
      <c r="B14" s="81" t="s">
        <v>195</v>
      </c>
      <c r="C14" s="96" t="s">
        <v>432</v>
      </c>
      <c r="D14" s="564"/>
      <c r="E14" s="96"/>
      <c r="F14" s="96"/>
      <c r="G14" s="96"/>
      <c r="H14" s="263"/>
      <c r="I14" s="263"/>
      <c r="J14" s="263">
        <f>'Haver Pivoted'!GU58</f>
        <v>64.400000000000006</v>
      </c>
      <c r="K14" s="263">
        <f>'Haver Pivoted'!GV58</f>
        <v>23.4</v>
      </c>
      <c r="L14" s="263">
        <f>'Haver Pivoted'!GW58</f>
        <v>13.8</v>
      </c>
      <c r="M14" s="263">
        <f>'Haver Pivoted'!GX58</f>
        <v>17.100000000000001</v>
      </c>
      <c r="N14" s="263">
        <f>'Haver Pivoted'!GY58</f>
        <v>10.6</v>
      </c>
      <c r="O14" s="919">
        <f>'Haver Pivoted'!GZ58</f>
        <v>15</v>
      </c>
      <c r="P14" s="389">
        <f>'Provider Relief'!P12</f>
        <v>4.8930481283422456</v>
      </c>
      <c r="Q14" s="389">
        <f>'Provider Relief'!Q12</f>
        <v>0</v>
      </c>
      <c r="R14" s="389">
        <f>'Provider Relief'!R12</f>
        <v>0</v>
      </c>
      <c r="S14" s="389">
        <f>'Provider Relief'!S12</f>
        <v>0</v>
      </c>
      <c r="T14" s="389">
        <f>'Provider Relief'!T12</f>
        <v>0</v>
      </c>
      <c r="U14" s="389">
        <f>'Provider Relief'!U12</f>
        <v>0</v>
      </c>
      <c r="V14" s="389">
        <f>'Provider Relief'!V12</f>
        <v>0</v>
      </c>
      <c r="W14" s="389">
        <f>'Provider Relief'!W12</f>
        <v>0</v>
      </c>
      <c r="X14" s="389">
        <f>'Provider Relief'!X12</f>
        <v>0</v>
      </c>
      <c r="Y14" s="389">
        <f>'Provider Relief'!Y12</f>
        <v>0</v>
      </c>
      <c r="Z14" s="389">
        <f>'Provider Relief'!Z12</f>
        <v>0</v>
      </c>
      <c r="AA14" s="389">
        <f>'Provider Relief'!AA12</f>
        <v>0</v>
      </c>
      <c r="AB14" s="389">
        <f>'Provider Relief'!AB12</f>
        <v>0</v>
      </c>
      <c r="AC14" s="390">
        <f>'Provider Relief'!AC12</f>
        <v>0</v>
      </c>
      <c r="AD14" s="607">
        <f>SUM(I14:Y14)/4</f>
        <v>37.298262032085567</v>
      </c>
      <c r="AE14" s="437">
        <f>AD32+AD36+AD42</f>
        <v>34.125000000000007</v>
      </c>
    </row>
    <row r="15" spans="2:34" s="80" customFormat="1" ht="15.65" customHeight="1" x14ac:dyDescent="0.3">
      <c r="B15" s="81" t="s">
        <v>475</v>
      </c>
      <c r="C15" s="96"/>
      <c r="D15" s="564"/>
      <c r="E15" s="96"/>
      <c r="F15" s="96"/>
      <c r="G15" s="96"/>
      <c r="H15" s="263"/>
      <c r="I15" s="263"/>
      <c r="J15" s="263"/>
      <c r="K15" s="263"/>
      <c r="L15" s="263"/>
      <c r="M15" s="263">
        <f>M34</f>
        <v>9.6666666666666661</v>
      </c>
      <c r="N15" s="107">
        <f t="shared" ref="N15:AC15" si="6">N34</f>
        <v>9.6666666666666661</v>
      </c>
      <c r="O15" s="607">
        <f t="shared" si="6"/>
        <v>9.6666666666666661</v>
      </c>
      <c r="P15" s="389">
        <f t="shared" si="6"/>
        <v>9.6666666666666661</v>
      </c>
      <c r="Q15" s="389">
        <f t="shared" si="6"/>
        <v>9.6666666666666661</v>
      </c>
      <c r="R15" s="389">
        <f t="shared" si="6"/>
        <v>9.6666666666666661</v>
      </c>
      <c r="S15" s="389">
        <f t="shared" si="6"/>
        <v>9.6666666666666661</v>
      </c>
      <c r="T15" s="389">
        <f t="shared" si="6"/>
        <v>9.6666666666666661</v>
      </c>
      <c r="U15" s="389">
        <f t="shared" si="6"/>
        <v>9.6666666666666661</v>
      </c>
      <c r="V15" s="389">
        <f t="shared" si="6"/>
        <v>9.6666666666666661</v>
      </c>
      <c r="W15" s="389">
        <f t="shared" si="6"/>
        <v>9.6666666666666661</v>
      </c>
      <c r="X15" s="389">
        <f t="shared" si="6"/>
        <v>9.6666666666666661</v>
      </c>
      <c r="Y15" s="389">
        <f t="shared" si="6"/>
        <v>0</v>
      </c>
      <c r="Z15" s="389">
        <f t="shared" si="6"/>
        <v>0</v>
      </c>
      <c r="AA15" s="389">
        <f t="shared" si="6"/>
        <v>0</v>
      </c>
      <c r="AB15" s="389">
        <f t="shared" si="6"/>
        <v>0</v>
      </c>
      <c r="AC15" s="390">
        <f t="shared" si="6"/>
        <v>0</v>
      </c>
      <c r="AD15" s="607">
        <f>SUM(I15:Y15)/4</f>
        <v>29.000000000000004</v>
      </c>
      <c r="AE15" s="438">
        <f>AD34</f>
        <v>29.000000000000004</v>
      </c>
      <c r="AF15" s="108" t="s">
        <v>476</v>
      </c>
      <c r="AG15" s="108"/>
      <c r="AH15" s="108"/>
    </row>
    <row r="16" spans="2:34" s="80" customFormat="1" ht="31" customHeight="1" x14ac:dyDescent="0.3">
      <c r="B16" s="81" t="s">
        <v>477</v>
      </c>
      <c r="C16" s="96"/>
      <c r="D16" s="564"/>
      <c r="E16" s="96"/>
      <c r="F16" s="96"/>
      <c r="G16" s="96"/>
      <c r="H16" s="263"/>
      <c r="I16" s="263"/>
      <c r="J16" s="263"/>
      <c r="K16" s="263"/>
      <c r="L16" s="263"/>
      <c r="M16" s="263">
        <f>M38+M37</f>
        <v>12</v>
      </c>
      <c r="N16" s="107">
        <f>N38+N37</f>
        <v>12</v>
      </c>
      <c r="O16" s="607">
        <f t="shared" ref="O16:AC16" si="7">O38+O37</f>
        <v>12</v>
      </c>
      <c r="P16" s="389">
        <f t="shared" si="7"/>
        <v>12</v>
      </c>
      <c r="Q16" s="389">
        <f t="shared" si="7"/>
        <v>12</v>
      </c>
      <c r="R16" s="389">
        <f t="shared" si="7"/>
        <v>12</v>
      </c>
      <c r="S16" s="389">
        <f t="shared" si="7"/>
        <v>12</v>
      </c>
      <c r="T16" s="389">
        <f t="shared" si="7"/>
        <v>12</v>
      </c>
      <c r="U16" s="389">
        <f t="shared" si="7"/>
        <v>12</v>
      </c>
      <c r="V16" s="389">
        <f t="shared" si="7"/>
        <v>12</v>
      </c>
      <c r="W16" s="389">
        <f t="shared" si="7"/>
        <v>12</v>
      </c>
      <c r="X16" s="389">
        <f t="shared" si="7"/>
        <v>12</v>
      </c>
      <c r="Y16" s="389">
        <f t="shared" si="7"/>
        <v>0</v>
      </c>
      <c r="Z16" s="389">
        <f t="shared" si="7"/>
        <v>0</v>
      </c>
      <c r="AA16" s="389">
        <f t="shared" si="7"/>
        <v>0</v>
      </c>
      <c r="AB16" s="389">
        <f t="shared" si="7"/>
        <v>0</v>
      </c>
      <c r="AC16" s="390">
        <f t="shared" si="7"/>
        <v>0</v>
      </c>
      <c r="AD16" s="607">
        <f>SUM(I16:Y16)/4</f>
        <v>36</v>
      </c>
      <c r="AE16" s="437">
        <f>SUM(AD37:AD38)+AD43</f>
        <v>130.3365</v>
      </c>
      <c r="AF16" s="108" t="s">
        <v>478</v>
      </c>
      <c r="AG16" s="108"/>
      <c r="AH16" s="108"/>
    </row>
    <row r="17" spans="1:34" s="80" customFormat="1" x14ac:dyDescent="0.3">
      <c r="B17" s="81" t="s">
        <v>479</v>
      </c>
      <c r="C17" s="96"/>
      <c r="D17" s="564"/>
      <c r="E17" s="96"/>
      <c r="F17" s="96"/>
      <c r="G17" s="96"/>
      <c r="H17" s="263"/>
      <c r="I17" s="263"/>
      <c r="J17" s="263"/>
      <c r="K17" s="263"/>
      <c r="L17" s="263"/>
      <c r="M17" s="263"/>
      <c r="N17" s="107">
        <f>N43</f>
        <v>59.256</v>
      </c>
      <c r="O17" s="607">
        <f t="shared" ref="O17:AC17" si="8">O43</f>
        <v>59.256</v>
      </c>
      <c r="P17" s="389">
        <f t="shared" si="8"/>
        <v>35.671000000000006</v>
      </c>
      <c r="Q17" s="389">
        <f t="shared" si="8"/>
        <v>35.671000000000006</v>
      </c>
      <c r="R17" s="389">
        <f t="shared" si="8"/>
        <v>35.671000000000006</v>
      </c>
      <c r="S17" s="389">
        <f t="shared" si="8"/>
        <v>35.671000000000006</v>
      </c>
      <c r="T17" s="389">
        <f t="shared" si="8"/>
        <v>24.216000000000001</v>
      </c>
      <c r="U17" s="389">
        <f t="shared" si="8"/>
        <v>24.216000000000001</v>
      </c>
      <c r="V17" s="389">
        <f t="shared" si="8"/>
        <v>24.216000000000001</v>
      </c>
      <c r="W17" s="389">
        <f t="shared" si="8"/>
        <v>24.216000000000001</v>
      </c>
      <c r="X17" s="389">
        <f t="shared" si="8"/>
        <v>9.6430000000000007</v>
      </c>
      <c r="Y17" s="389">
        <f t="shared" si="8"/>
        <v>9.6430000000000007</v>
      </c>
      <c r="Z17" s="389">
        <f t="shared" si="8"/>
        <v>9.6430000000000007</v>
      </c>
      <c r="AA17" s="389">
        <f t="shared" si="8"/>
        <v>9.6430000000000007</v>
      </c>
      <c r="AB17" s="389">
        <f t="shared" si="8"/>
        <v>4.5789999999999997</v>
      </c>
      <c r="AC17" s="390">
        <f t="shared" si="8"/>
        <v>4.5789999999999997</v>
      </c>
      <c r="AD17" s="607">
        <f>SUM(I17:Y17)/4</f>
        <v>94.336500000000001</v>
      </c>
      <c r="AE17" s="437"/>
      <c r="AF17" s="108"/>
      <c r="AG17" s="108"/>
      <c r="AH17" s="108"/>
    </row>
    <row r="18" spans="1:34" s="80" customFormat="1" ht="42" x14ac:dyDescent="0.3">
      <c r="B18" s="638" t="s">
        <v>1293</v>
      </c>
      <c r="C18" s="96"/>
      <c r="D18" s="564"/>
      <c r="E18" s="96"/>
      <c r="F18" s="96"/>
      <c r="G18" s="96"/>
      <c r="H18" s="263"/>
      <c r="I18" s="263"/>
      <c r="J18" s="263"/>
      <c r="K18" s="263"/>
      <c r="L18" s="263"/>
      <c r="M18" s="263"/>
      <c r="N18" s="991">
        <v>-40</v>
      </c>
      <c r="O18" s="992">
        <v>-40</v>
      </c>
      <c r="P18" s="389">
        <f>-51</f>
        <v>-51</v>
      </c>
      <c r="Q18" s="389">
        <f>-51</f>
        <v>-51</v>
      </c>
      <c r="R18" s="389">
        <f>-51</f>
        <v>-51</v>
      </c>
      <c r="S18" s="389">
        <f>-51</f>
        <v>-51</v>
      </c>
      <c r="T18" s="389">
        <v>0</v>
      </c>
      <c r="U18" s="389">
        <v>0</v>
      </c>
      <c r="V18" s="389">
        <v>0</v>
      </c>
      <c r="W18" s="389">
        <v>0</v>
      </c>
      <c r="X18" s="389">
        <v>-4</v>
      </c>
      <c r="Y18" s="389">
        <v>-4</v>
      </c>
      <c r="Z18" s="389">
        <v>-4</v>
      </c>
      <c r="AA18" s="389">
        <v>-4</v>
      </c>
      <c r="AB18" s="389">
        <v>-4</v>
      </c>
      <c r="AC18" s="390">
        <v>-4</v>
      </c>
      <c r="AD18" s="607"/>
      <c r="AE18" s="437"/>
      <c r="AF18" s="108"/>
      <c r="AG18" s="108"/>
      <c r="AH18" s="108"/>
    </row>
    <row r="19" spans="1:34" s="80" customFormat="1" ht="15.65" customHeight="1" x14ac:dyDescent="0.3">
      <c r="B19" s="81" t="s">
        <v>480</v>
      </c>
      <c r="C19" s="259" t="s">
        <v>481</v>
      </c>
      <c r="D19" s="564"/>
      <c r="E19" s="96"/>
      <c r="F19" s="96"/>
      <c r="G19" s="96"/>
      <c r="H19" s="263"/>
      <c r="I19" s="263"/>
      <c r="J19" s="263"/>
      <c r="K19" s="263">
        <f>'Haver Pivoted'!GV56</f>
        <v>0</v>
      </c>
      <c r="L19" s="263">
        <f>'Haver Pivoted'!GW56</f>
        <v>0</v>
      </c>
      <c r="M19" s="263">
        <f>'Haver Pivoted'!GX56</f>
        <v>0</v>
      </c>
      <c r="N19" s="263">
        <f>'Haver Pivoted'!GY56</f>
        <v>785.9</v>
      </c>
      <c r="O19" s="919">
        <f>'Haver Pivoted'!GZ56</f>
        <v>187.9</v>
      </c>
      <c r="P19" s="74">
        <f t="shared" ref="P19:AC19" si="9">P40</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07">
        <f t="shared" si="5"/>
        <v>409.02499999999998</v>
      </c>
      <c r="AE19" s="437">
        <f>AD40</f>
        <v>362.04999999999995</v>
      </c>
      <c r="AF19" s="128"/>
      <c r="AH19" s="108"/>
    </row>
    <row r="20" spans="1:34" s="80" customFormat="1" ht="15.65" customHeight="1" x14ac:dyDescent="0.3">
      <c r="A20" s="112"/>
      <c r="B20" s="109" t="s">
        <v>482</v>
      </c>
      <c r="C20" s="262"/>
      <c r="D20" s="995">
        <f t="shared" ref="D20:G20" si="10">D11-SUM(D12:D19)</f>
        <v>198.03399999999999</v>
      </c>
      <c r="E20" s="608">
        <f t="shared" si="10"/>
        <v>185.04399999999998</v>
      </c>
      <c r="F20" s="608">
        <f t="shared" si="10"/>
        <v>197.15600000000001</v>
      </c>
      <c r="G20" s="608">
        <f t="shared" si="10"/>
        <v>191.87099999999998</v>
      </c>
      <c r="H20" s="608">
        <f>H11-SUM(H12:H19)</f>
        <v>208.59399999999999</v>
      </c>
      <c r="I20" s="608">
        <f t="shared" ref="I20:M20" si="11">I11-SUM(I12:I19)</f>
        <v>212.48200000000003</v>
      </c>
      <c r="J20" s="608">
        <f t="shared" si="11"/>
        <v>206.81000000000006</v>
      </c>
      <c r="K20" s="608">
        <f t="shared" si="11"/>
        <v>217.58300000000003</v>
      </c>
      <c r="L20" s="608">
        <f t="shared" si="11"/>
        <v>206.16300000000001</v>
      </c>
      <c r="M20" s="608">
        <f t="shared" si="11"/>
        <v>202.48833333333332</v>
      </c>
      <c r="N20" s="608">
        <f>N11-SUM(N12:N19)</f>
        <v>206.44833333333338</v>
      </c>
      <c r="O20" s="857">
        <f>O11-SUM(O12:O19)</f>
        <v>201.7563333333332</v>
      </c>
      <c r="P20" s="391">
        <f>O20*(1+$E25)^0.25</f>
        <v>203.74432050949579</v>
      </c>
      <c r="Q20" s="391">
        <f t="shared" ref="Q20:S20" si="12">P20*(1+$E25)^0.25</f>
        <v>205.75189613151926</v>
      </c>
      <c r="R20" s="391">
        <f t="shared" si="12"/>
        <v>207.77925321232433</v>
      </c>
      <c r="S20" s="391">
        <f t="shared" si="12"/>
        <v>209.82658666666651</v>
      </c>
      <c r="T20" s="391">
        <f>S20*(1+$F25)^0.25</f>
        <v>211.89409332987563</v>
      </c>
      <c r="U20" s="391">
        <f t="shared" ref="U20:W20" si="13">T20*(1+$F25)^0.25</f>
        <v>213.98197197678004</v>
      </c>
      <c r="V20" s="391">
        <f t="shared" si="13"/>
        <v>216.09042334081732</v>
      </c>
      <c r="W20" s="391">
        <f t="shared" si="13"/>
        <v>218.21965013333318</v>
      </c>
      <c r="X20" s="391">
        <f>W20*(1+$G25)^0.25</f>
        <v>220.36985706307064</v>
      </c>
      <c r="Y20" s="391">
        <f t="shared" ref="Y20:AA20" si="14">X20*(1+$G25)^0.25</f>
        <v>222.54125085585122</v>
      </c>
      <c r="Z20" s="391">
        <f t="shared" si="14"/>
        <v>224.73404027444997</v>
      </c>
      <c r="AA20" s="391">
        <f t="shared" si="14"/>
        <v>226.94843613866647</v>
      </c>
      <c r="AB20" s="391">
        <f>AA20*(1+$G25)^0.25</f>
        <v>229.18465134559344</v>
      </c>
      <c r="AC20" s="391">
        <f>AB20*(1+$G25)^0.25</f>
        <v>231.44290089008524</v>
      </c>
      <c r="AD20" s="609"/>
      <c r="AE20" s="439"/>
      <c r="AF20" s="108" t="s">
        <v>483</v>
      </c>
      <c r="AG20" s="108"/>
      <c r="AH20" s="108"/>
    </row>
    <row r="21" spans="1:34" s="80" customFormat="1" ht="15.65" customHeight="1" x14ac:dyDescent="0.3">
      <c r="A21" s="1036"/>
      <c r="B21" s="1037" t="s">
        <v>1291</v>
      </c>
      <c r="C21" s="1038"/>
      <c r="D21" s="1039">
        <v>2021</v>
      </c>
      <c r="E21" s="1039">
        <v>2022</v>
      </c>
      <c r="F21" s="1039">
        <v>2023</v>
      </c>
      <c r="G21" s="1039">
        <v>2024</v>
      </c>
      <c r="H21" s="1039"/>
      <c r="I21" s="1039"/>
      <c r="J21" s="1039"/>
      <c r="K21" s="1039"/>
      <c r="L21" s="1039"/>
      <c r="M21" s="1039"/>
      <c r="N21" s="1039"/>
      <c r="O21" s="1039"/>
      <c r="P21" s="1040"/>
      <c r="Q21" s="1040"/>
      <c r="R21" s="1040"/>
      <c r="S21" s="1040"/>
      <c r="T21" s="1040"/>
      <c r="U21" s="1040"/>
      <c r="V21" s="1040"/>
      <c r="W21" s="1040"/>
      <c r="X21" s="1040"/>
      <c r="Y21" s="1040"/>
      <c r="Z21" s="1040"/>
      <c r="AA21" s="1040"/>
      <c r="AB21" s="1040"/>
      <c r="AC21" s="1040"/>
      <c r="AD21" s="1041"/>
      <c r="AE21" s="1042"/>
      <c r="AF21" s="108"/>
      <c r="AG21" s="108"/>
      <c r="AH21" s="108"/>
    </row>
    <row r="22" spans="1:34" s="80" customFormat="1" ht="15.65" customHeight="1" x14ac:dyDescent="0.3">
      <c r="A22" s="1036"/>
      <c r="B22" s="1037" t="s">
        <v>1292</v>
      </c>
      <c r="C22" s="1038"/>
      <c r="D22" s="1039">
        <f>AVERAGE(L9:O9)</f>
        <v>1053.4499999999998</v>
      </c>
      <c r="E22" s="1039">
        <f>AVERAGE(P9:S9)</f>
        <v>995.72910516337447</v>
      </c>
      <c r="F22" s="1039">
        <f>AVERAGE(T9:W9)</f>
        <v>834.59113160961726</v>
      </c>
      <c r="G22" s="1039">
        <f>AVERAGE(X9:AA9)</f>
        <v>797.02002444949187</v>
      </c>
      <c r="K22" s="1039"/>
      <c r="L22" s="1039"/>
      <c r="M22" s="1039"/>
      <c r="N22" s="1039"/>
      <c r="O22" s="1039"/>
      <c r="P22" s="1040"/>
      <c r="Q22" s="1040"/>
      <c r="R22" s="1040"/>
      <c r="S22" s="1040"/>
      <c r="T22" s="1040"/>
      <c r="U22" s="1040"/>
      <c r="V22" s="1040"/>
      <c r="W22" s="1040"/>
      <c r="X22" s="1040"/>
      <c r="Y22" s="1040"/>
      <c r="Z22" s="1040"/>
      <c r="AA22" s="1040"/>
      <c r="AB22" s="1040"/>
      <c r="AC22" s="1040"/>
      <c r="AD22" s="1041"/>
      <c r="AE22" s="1042"/>
      <c r="AF22" s="108"/>
      <c r="AG22" s="108"/>
      <c r="AH22" s="108"/>
    </row>
    <row r="23" spans="1:34" s="80" customFormat="1" ht="15.65" customHeight="1" x14ac:dyDescent="0.3">
      <c r="A23" s="1036"/>
      <c r="B23" s="1037" t="s">
        <v>1257</v>
      </c>
      <c r="C23" s="1038"/>
      <c r="D23" s="165">
        <v>1053</v>
      </c>
      <c r="E23" s="1039">
        <v>996</v>
      </c>
      <c r="F23" s="1039">
        <v>835</v>
      </c>
      <c r="G23" s="1039">
        <v>797</v>
      </c>
      <c r="H23" s="1039"/>
      <c r="I23" s="1039"/>
      <c r="J23" s="1039"/>
      <c r="K23" s="1039"/>
      <c r="L23" s="1039"/>
      <c r="M23" s="1039"/>
      <c r="N23" s="1039"/>
      <c r="O23" s="1039"/>
      <c r="P23" s="1040"/>
      <c r="Q23" s="1040"/>
      <c r="R23" s="1040"/>
      <c r="S23" s="1040"/>
      <c r="T23" s="1040"/>
      <c r="U23" s="1040"/>
      <c r="V23" s="1040"/>
      <c r="W23" s="1040"/>
      <c r="X23" s="1040"/>
      <c r="Y23" s="1040"/>
      <c r="Z23" s="1040"/>
      <c r="AA23" s="1040"/>
      <c r="AB23" s="1040"/>
      <c r="AC23" s="1040"/>
      <c r="AD23" s="1041"/>
      <c r="AE23" s="1042"/>
      <c r="AF23" s="108"/>
      <c r="AG23" s="108"/>
      <c r="AH23" s="108"/>
    </row>
    <row r="24" spans="1:34" s="80" customFormat="1" ht="15.65" customHeight="1" x14ac:dyDescent="0.3">
      <c r="A24" s="1036"/>
      <c r="B24" s="1037"/>
      <c r="C24" s="1038"/>
      <c r="D24" s="1039"/>
      <c r="E24" s="1043"/>
      <c r="F24" s="1043"/>
      <c r="G24" s="1043"/>
      <c r="H24" s="1039"/>
      <c r="I24" s="1039"/>
      <c r="J24" s="1039"/>
      <c r="K24" s="1039"/>
      <c r="L24" s="1039"/>
      <c r="M24" s="1039"/>
      <c r="N24" s="1039"/>
      <c r="O24" s="1039"/>
      <c r="P24" s="1040"/>
      <c r="Q24" s="1040"/>
      <c r="R24" s="1040"/>
      <c r="S24" s="1040"/>
      <c r="T24" s="1040"/>
      <c r="U24" s="1040"/>
      <c r="V24" s="1040"/>
      <c r="W24" s="1040"/>
      <c r="X24" s="1040"/>
      <c r="Y24" s="1040"/>
      <c r="Z24" s="1040"/>
      <c r="AA24" s="1040"/>
      <c r="AB24" s="1040"/>
      <c r="AC24" s="1040"/>
      <c r="AD24" s="1041"/>
      <c r="AE24" s="1042"/>
      <c r="AF24" s="108"/>
      <c r="AG24" s="108"/>
      <c r="AH24" s="108"/>
    </row>
    <row r="25" spans="1:34" s="80" customFormat="1" ht="15.65" customHeight="1" x14ac:dyDescent="0.3">
      <c r="A25" s="1036"/>
      <c r="B25" s="1037" t="s">
        <v>1294</v>
      </c>
      <c r="C25" s="1038"/>
      <c r="D25" s="1039"/>
      <c r="E25" s="1043">
        <v>0.04</v>
      </c>
      <c r="F25" s="1043">
        <v>0.04</v>
      </c>
      <c r="G25" s="1043">
        <v>0.04</v>
      </c>
      <c r="H25" s="1039"/>
      <c r="I25" s="1039"/>
      <c r="J25" s="1039"/>
      <c r="K25" s="1039"/>
      <c r="L25" s="1039"/>
      <c r="M25" s="1039"/>
      <c r="N25" s="1039"/>
      <c r="O25" s="1039"/>
      <c r="P25" s="1040"/>
      <c r="Q25" s="1040"/>
      <c r="R25" s="1040"/>
      <c r="S25" s="1040"/>
      <c r="T25" s="1040"/>
      <c r="U25" s="1040"/>
      <c r="V25" s="1040"/>
      <c r="W25" s="1040"/>
      <c r="X25" s="1040"/>
      <c r="Y25" s="1040"/>
      <c r="Z25" s="1040"/>
      <c r="AA25" s="1040"/>
      <c r="AB25" s="1040"/>
      <c r="AC25" s="1040"/>
      <c r="AD25" s="1041"/>
      <c r="AE25" s="1042"/>
      <c r="AF25" s="108"/>
      <c r="AG25" s="108"/>
      <c r="AH25" s="108"/>
    </row>
    <row r="26" spans="1:34" s="80" customFormat="1" x14ac:dyDescent="0.35">
      <c r="C26" s="96"/>
      <c r="D26" s="96"/>
      <c r="E26" s="996"/>
      <c r="F26" s="96"/>
      <c r="G26" s="96"/>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4" s="80" customFormat="1" x14ac:dyDescent="0.35">
      <c r="B27" s="254" t="s">
        <v>484</v>
      </c>
      <c r="C27" s="96"/>
      <c r="D27" s="96"/>
      <c r="E27" s="96"/>
      <c r="F27" s="96"/>
      <c r="G27" s="96"/>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4" s="80" customFormat="1" ht="27" customHeight="1" x14ac:dyDescent="0.35">
      <c r="B28" s="1188" t="s">
        <v>485</v>
      </c>
      <c r="C28" s="1189"/>
      <c r="D28" s="1190"/>
      <c r="E28" s="1190"/>
      <c r="F28" s="1190"/>
      <c r="G28" s="1190"/>
      <c r="H28" s="1190"/>
      <c r="I28" s="1190"/>
      <c r="J28" s="1190"/>
      <c r="K28" s="1190"/>
      <c r="L28" s="1190"/>
      <c r="M28" s="1190"/>
      <c r="N28" s="1190"/>
      <c r="O28" s="1190"/>
      <c r="P28" s="1190"/>
      <c r="Q28" s="1190"/>
      <c r="R28" s="1190"/>
      <c r="S28" s="1190"/>
      <c r="T28" s="1190"/>
      <c r="U28" s="1190"/>
      <c r="V28" s="1190"/>
      <c r="W28" s="1190"/>
      <c r="X28" s="1190"/>
      <c r="Y28" s="1190"/>
      <c r="Z28" s="1190"/>
      <c r="AA28" s="1190"/>
      <c r="AB28" s="1190"/>
      <c r="AC28" s="1191"/>
      <c r="AD28" s="441" t="s">
        <v>467</v>
      </c>
      <c r="AE28" s="440"/>
    </row>
    <row r="29" spans="1:34" s="80" customFormat="1" ht="17.5" customHeight="1" x14ac:dyDescent="0.3">
      <c r="B29" s="73" t="s">
        <v>486</v>
      </c>
      <c r="C29" s="96"/>
      <c r="D29" s="852"/>
      <c r="E29" s="853"/>
      <c r="F29" s="853"/>
      <c r="G29" s="853"/>
      <c r="H29" s="640"/>
      <c r="I29" s="640"/>
      <c r="J29" s="854">
        <f>SUM(J30:J32)</f>
        <v>692.8</v>
      </c>
      <c r="K29" s="854">
        <f t="shared" ref="K29:P29" si="15">SUM(K30:K32)</f>
        <v>39.200000000000003</v>
      </c>
      <c r="L29" s="854">
        <f t="shared" si="15"/>
        <v>29</v>
      </c>
      <c r="M29" s="854">
        <f t="shared" si="15"/>
        <v>27</v>
      </c>
      <c r="N29" s="854">
        <f t="shared" si="15"/>
        <v>18</v>
      </c>
      <c r="O29" s="855">
        <f t="shared" si="15"/>
        <v>0</v>
      </c>
      <c r="P29" s="619">
        <f t="shared" si="15"/>
        <v>0</v>
      </c>
      <c r="Q29" s="619"/>
      <c r="R29" s="619"/>
      <c r="S29" s="619"/>
      <c r="T29" s="619"/>
      <c r="U29" s="619"/>
      <c r="V29" s="619"/>
      <c r="W29" s="619"/>
      <c r="X29" s="619"/>
      <c r="Y29" s="619"/>
      <c r="Z29" s="619"/>
      <c r="AA29" s="619"/>
      <c r="AB29" s="619"/>
      <c r="AC29" s="135"/>
      <c r="AD29" s="607">
        <f t="shared" ref="AD29:AD43" si="16">SUM(I29:Y29)/4</f>
        <v>201.5</v>
      </c>
      <c r="AE29" s="1177" t="s">
        <v>487</v>
      </c>
      <c r="AF29" s="1152"/>
    </row>
    <row r="30" spans="1:34" s="80" customFormat="1" x14ac:dyDescent="0.3">
      <c r="B30" s="113" t="s">
        <v>192</v>
      </c>
      <c r="C30" s="96"/>
      <c r="D30" s="564"/>
      <c r="E30" s="96"/>
      <c r="F30" s="96"/>
      <c r="G30" s="96"/>
      <c r="H30" s="107"/>
      <c r="I30" s="107"/>
      <c r="J30" s="132">
        <f>C50*4</f>
        <v>600</v>
      </c>
      <c r="K30" s="132"/>
      <c r="L30" s="132"/>
      <c r="M30" s="132"/>
      <c r="N30" s="132"/>
      <c r="O30" s="920"/>
      <c r="P30" s="74"/>
      <c r="Q30" s="74"/>
      <c r="R30" s="74"/>
      <c r="S30" s="74"/>
      <c r="T30" s="74"/>
      <c r="U30" s="74"/>
      <c r="V30" s="74"/>
      <c r="W30" s="74"/>
      <c r="X30" s="74"/>
      <c r="Y30" s="74"/>
      <c r="Z30" s="74"/>
      <c r="AA30" s="74"/>
      <c r="AB30" s="74"/>
      <c r="AC30" s="75"/>
      <c r="AD30" s="607">
        <f t="shared" si="16"/>
        <v>150</v>
      </c>
      <c r="AE30" s="132"/>
    </row>
    <row r="31" spans="1:34" s="80" customFormat="1" ht="15" customHeight="1" x14ac:dyDescent="0.3">
      <c r="B31" s="113" t="s">
        <v>193</v>
      </c>
      <c r="C31" s="96"/>
      <c r="D31" s="564"/>
      <c r="E31" s="96"/>
      <c r="F31" s="96"/>
      <c r="G31" s="96"/>
      <c r="H31" s="107"/>
      <c r="I31" s="107"/>
      <c r="J31" s="132">
        <v>28.4</v>
      </c>
      <c r="K31" s="132">
        <v>15.8</v>
      </c>
      <c r="L31" s="132">
        <v>15.2</v>
      </c>
      <c r="M31" s="132">
        <v>10.9</v>
      </c>
      <c r="N31" s="132">
        <v>18</v>
      </c>
      <c r="O31" s="920"/>
      <c r="P31" s="74"/>
      <c r="Q31" s="74"/>
      <c r="R31" s="74"/>
      <c r="S31" s="74"/>
      <c r="T31" s="74"/>
      <c r="U31" s="74"/>
      <c r="V31" s="74"/>
      <c r="W31" s="74"/>
      <c r="X31" s="74"/>
      <c r="Y31" s="74"/>
      <c r="Z31" s="74"/>
      <c r="AA31" s="74"/>
      <c r="AB31" s="74"/>
      <c r="AC31" s="75"/>
      <c r="AD31" s="607">
        <f t="shared" si="16"/>
        <v>22.075000000000003</v>
      </c>
      <c r="AE31" s="132"/>
    </row>
    <row r="32" spans="1:34" s="80" customFormat="1" x14ac:dyDescent="0.3">
      <c r="B32" s="113" t="s">
        <v>195</v>
      </c>
      <c r="C32" s="96"/>
      <c r="D32" s="564"/>
      <c r="E32" s="96"/>
      <c r="F32" s="96"/>
      <c r="G32" s="96"/>
      <c r="H32" s="107"/>
      <c r="I32" s="107"/>
      <c r="J32" s="88">
        <v>64.400000000000006</v>
      </c>
      <c r="K32" s="88">
        <v>23.4</v>
      </c>
      <c r="L32" s="88">
        <v>13.8</v>
      </c>
      <c r="M32" s="88">
        <v>16.100000000000001</v>
      </c>
      <c r="N32" s="132"/>
      <c r="O32" s="920"/>
      <c r="P32" s="74"/>
      <c r="Q32" s="74"/>
      <c r="R32" s="74"/>
      <c r="S32" s="74"/>
      <c r="T32" s="74"/>
      <c r="U32" s="74"/>
      <c r="V32" s="74"/>
      <c r="W32" s="74"/>
      <c r="X32" s="74"/>
      <c r="Y32" s="74"/>
      <c r="Z32" s="74"/>
      <c r="AA32" s="74"/>
      <c r="AB32" s="74"/>
      <c r="AC32" s="75"/>
      <c r="AD32" s="607">
        <f t="shared" si="16"/>
        <v>29.425000000000004</v>
      </c>
      <c r="AE32" s="132"/>
    </row>
    <row r="33" spans="1:88" s="80" customFormat="1" ht="16.5" customHeight="1" x14ac:dyDescent="0.3">
      <c r="B33" s="73" t="s">
        <v>488</v>
      </c>
      <c r="C33" s="96"/>
      <c r="D33" s="564"/>
      <c r="E33" s="96"/>
      <c r="F33" s="96"/>
      <c r="G33" s="96"/>
      <c r="H33" s="107"/>
      <c r="I33" s="107"/>
      <c r="J33" s="107"/>
      <c r="K33" s="107"/>
      <c r="L33" s="107"/>
      <c r="M33" s="132">
        <f>SUM(M34:M38)</f>
        <v>43</v>
      </c>
      <c r="N33" s="132">
        <f t="shared" ref="N33:AC33" si="17">SUM(N34:N38)</f>
        <v>70</v>
      </c>
      <c r="O33" s="920">
        <f t="shared" si="17"/>
        <v>59.999999999999964</v>
      </c>
      <c r="P33" s="74">
        <f t="shared" si="17"/>
        <v>50</v>
      </c>
      <c r="Q33" s="74">
        <f t="shared" si="17"/>
        <v>44.999999999999964</v>
      </c>
      <c r="R33" s="74">
        <f t="shared" si="17"/>
        <v>44.999999999999964</v>
      </c>
      <c r="S33" s="74">
        <f t="shared" si="17"/>
        <v>44.999999999999964</v>
      </c>
      <c r="T33" s="74">
        <f t="shared" si="17"/>
        <v>44.999999999999964</v>
      </c>
      <c r="U33" s="74">
        <f t="shared" si="17"/>
        <v>44.999999999999964</v>
      </c>
      <c r="V33" s="74">
        <f t="shared" si="17"/>
        <v>44.999999999999964</v>
      </c>
      <c r="W33" s="74">
        <f t="shared" si="17"/>
        <v>44.999999999999964</v>
      </c>
      <c r="X33" s="74">
        <f t="shared" si="17"/>
        <v>44.999999999999964</v>
      </c>
      <c r="Y33" s="74">
        <f t="shared" si="17"/>
        <v>19</v>
      </c>
      <c r="Z33" s="74">
        <f t="shared" si="17"/>
        <v>0</v>
      </c>
      <c r="AA33" s="74">
        <f t="shared" si="17"/>
        <v>0</v>
      </c>
      <c r="AB33" s="74">
        <f t="shared" si="17"/>
        <v>0</v>
      </c>
      <c r="AC33" s="75">
        <f t="shared" si="17"/>
        <v>0</v>
      </c>
      <c r="AD33" s="607">
        <f t="shared" si="16"/>
        <v>150.49999999999991</v>
      </c>
      <c r="AE33" s="1177" t="s">
        <v>489</v>
      </c>
      <c r="AF33" s="1152"/>
    </row>
    <row r="34" spans="1:88" s="80" customFormat="1" x14ac:dyDescent="0.3">
      <c r="B34" s="113" t="s">
        <v>475</v>
      </c>
      <c r="C34" s="96"/>
      <c r="D34" s="564"/>
      <c r="E34" s="96"/>
      <c r="F34" s="96"/>
      <c r="G34" s="96"/>
      <c r="H34" s="107"/>
      <c r="I34" s="107"/>
      <c r="J34" s="107"/>
      <c r="K34" s="107"/>
      <c r="L34" s="107"/>
      <c r="M34" s="132">
        <f>C53/12*4</f>
        <v>9.6666666666666661</v>
      </c>
      <c r="N34" s="132">
        <f>M34</f>
        <v>9.6666666666666661</v>
      </c>
      <c r="O34" s="920">
        <f t="shared" ref="O34:X34" si="18">N34</f>
        <v>9.6666666666666661</v>
      </c>
      <c r="P34" s="74">
        <f t="shared" si="18"/>
        <v>9.6666666666666661</v>
      </c>
      <c r="Q34" s="74">
        <f t="shared" si="18"/>
        <v>9.6666666666666661</v>
      </c>
      <c r="R34" s="74">
        <f t="shared" si="18"/>
        <v>9.6666666666666661</v>
      </c>
      <c r="S34" s="74">
        <f t="shared" si="18"/>
        <v>9.6666666666666661</v>
      </c>
      <c r="T34" s="74">
        <f t="shared" si="18"/>
        <v>9.6666666666666661</v>
      </c>
      <c r="U34" s="74">
        <f t="shared" si="18"/>
        <v>9.6666666666666661</v>
      </c>
      <c r="V34" s="74">
        <f t="shared" si="18"/>
        <v>9.6666666666666661</v>
      </c>
      <c r="W34" s="74">
        <f t="shared" si="18"/>
        <v>9.6666666666666661</v>
      </c>
      <c r="X34" s="74">
        <f t="shared" si="18"/>
        <v>9.6666666666666661</v>
      </c>
      <c r="Y34" s="381"/>
      <c r="Z34" s="381"/>
      <c r="AA34" s="381"/>
      <c r="AB34" s="381"/>
      <c r="AC34" s="77"/>
      <c r="AD34" s="607">
        <f t="shared" si="16"/>
        <v>29.000000000000004</v>
      </c>
      <c r="AE34" s="1177"/>
      <c r="AF34" s="1152"/>
    </row>
    <row r="35" spans="1:88" s="80" customFormat="1" ht="42" x14ac:dyDescent="0.3">
      <c r="B35" s="113" t="s">
        <v>193</v>
      </c>
      <c r="C35" s="96"/>
      <c r="D35" s="564"/>
      <c r="E35" s="96"/>
      <c r="F35" s="96"/>
      <c r="G35" s="96"/>
      <c r="H35" s="107"/>
      <c r="I35" s="107"/>
      <c r="J35" s="107"/>
      <c r="K35" s="107"/>
      <c r="L35" s="107"/>
      <c r="M35" s="603">
        <f>C64/12*4 - 7</f>
        <v>20.333333333333332</v>
      </c>
      <c r="N35" s="603">
        <f>C64/12*4 + 20</f>
        <v>47.333333333333329</v>
      </c>
      <c r="O35" s="921">
        <v>37.3333333333333</v>
      </c>
      <c r="P35" s="78">
        <v>27.333333333333332</v>
      </c>
      <c r="Q35" s="78">
        <v>22.3333333333333</v>
      </c>
      <c r="R35" s="78">
        <v>22.3333333333333</v>
      </c>
      <c r="S35" s="78">
        <v>22.3333333333333</v>
      </c>
      <c r="T35" s="78">
        <v>22.3333333333333</v>
      </c>
      <c r="U35" s="78">
        <v>22.3333333333333</v>
      </c>
      <c r="V35" s="78">
        <v>22.3333333333333</v>
      </c>
      <c r="W35" s="78">
        <v>22.3333333333333</v>
      </c>
      <c r="X35" s="78">
        <v>22.3333333333333</v>
      </c>
      <c r="Y35" s="78">
        <v>19</v>
      </c>
      <c r="Z35" s="78"/>
      <c r="AA35" s="78"/>
      <c r="AB35" s="78"/>
      <c r="AC35" s="79"/>
      <c r="AD35" s="607">
        <f>SUM(I35:Y35)/4</f>
        <v>82.499999999999943</v>
      </c>
      <c r="AE35" s="89" t="s">
        <v>490</v>
      </c>
    </row>
    <row r="36" spans="1:88" s="80" customFormat="1" x14ac:dyDescent="0.3">
      <c r="B36" s="113" t="s">
        <v>195</v>
      </c>
      <c r="C36" s="96"/>
      <c r="D36" s="564"/>
      <c r="E36" s="96"/>
      <c r="F36" s="96"/>
      <c r="G36" s="96"/>
      <c r="H36" s="107"/>
      <c r="I36" s="107"/>
      <c r="J36" s="107"/>
      <c r="K36" s="107"/>
      <c r="L36" s="107"/>
      <c r="M36" s="132">
        <f>C65/12*4</f>
        <v>1</v>
      </c>
      <c r="N36" s="132">
        <f>C65/12*4</f>
        <v>1</v>
      </c>
      <c r="O36" s="920">
        <f t="shared" ref="O36:X36" si="19">$C$65/12*4</f>
        <v>1</v>
      </c>
      <c r="P36" s="74">
        <f t="shared" si="19"/>
        <v>1</v>
      </c>
      <c r="Q36" s="74">
        <f t="shared" si="19"/>
        <v>1</v>
      </c>
      <c r="R36" s="74">
        <f t="shared" si="19"/>
        <v>1</v>
      </c>
      <c r="S36" s="74">
        <f t="shared" si="19"/>
        <v>1</v>
      </c>
      <c r="T36" s="74">
        <f t="shared" si="19"/>
        <v>1</v>
      </c>
      <c r="U36" s="74">
        <f t="shared" si="19"/>
        <v>1</v>
      </c>
      <c r="V36" s="74">
        <f t="shared" si="19"/>
        <v>1</v>
      </c>
      <c r="W36" s="74">
        <f t="shared" si="19"/>
        <v>1</v>
      </c>
      <c r="X36" s="74">
        <f t="shared" si="19"/>
        <v>1</v>
      </c>
      <c r="Y36" s="381"/>
      <c r="Z36" s="381"/>
      <c r="AA36" s="381"/>
      <c r="AB36" s="381"/>
      <c r="AC36" s="77"/>
      <c r="AD36" s="607">
        <f t="shared" si="16"/>
        <v>3</v>
      </c>
      <c r="AE36" s="107"/>
    </row>
    <row r="37" spans="1:88" s="80" customFormat="1" ht="13" customHeight="1" x14ac:dyDescent="0.3">
      <c r="B37" s="113" t="s">
        <v>491</v>
      </c>
      <c r="C37" s="96"/>
      <c r="D37" s="564"/>
      <c r="E37" s="96"/>
      <c r="F37" s="96"/>
      <c r="G37" s="96"/>
      <c r="H37" s="107"/>
      <c r="I37" s="107"/>
      <c r="J37" s="107"/>
      <c r="K37" s="107"/>
      <c r="L37" s="107"/>
      <c r="M37" s="132">
        <f t="shared" ref="M37:X37" si="20">$C$66/12*4</f>
        <v>11.333333333333334</v>
      </c>
      <c r="N37" s="132">
        <f t="shared" si="20"/>
        <v>11.333333333333334</v>
      </c>
      <c r="O37" s="920">
        <f t="shared" si="20"/>
        <v>11.333333333333334</v>
      </c>
      <c r="P37" s="74">
        <f t="shared" si="20"/>
        <v>11.333333333333334</v>
      </c>
      <c r="Q37" s="74">
        <f t="shared" si="20"/>
        <v>11.333333333333334</v>
      </c>
      <c r="R37" s="74">
        <f t="shared" si="20"/>
        <v>11.333333333333334</v>
      </c>
      <c r="S37" s="74">
        <f t="shared" si="20"/>
        <v>11.333333333333334</v>
      </c>
      <c r="T37" s="74">
        <f t="shared" si="20"/>
        <v>11.333333333333334</v>
      </c>
      <c r="U37" s="74">
        <f t="shared" si="20"/>
        <v>11.333333333333334</v>
      </c>
      <c r="V37" s="74">
        <f t="shared" si="20"/>
        <v>11.333333333333334</v>
      </c>
      <c r="W37" s="74">
        <f t="shared" si="20"/>
        <v>11.333333333333334</v>
      </c>
      <c r="X37" s="74">
        <f t="shared" si="20"/>
        <v>11.333333333333334</v>
      </c>
      <c r="Y37" s="381"/>
      <c r="Z37" s="381"/>
      <c r="AA37" s="381"/>
      <c r="AB37" s="381"/>
      <c r="AC37" s="77"/>
      <c r="AD37" s="607">
        <f t="shared" si="16"/>
        <v>33.999999999999993</v>
      </c>
      <c r="AE37" s="107"/>
    </row>
    <row r="38" spans="1:88" s="80" customFormat="1" x14ac:dyDescent="0.3">
      <c r="B38" s="113" t="s">
        <v>492</v>
      </c>
      <c r="C38" s="96"/>
      <c r="D38" s="564"/>
      <c r="E38" s="96"/>
      <c r="F38" s="96"/>
      <c r="G38" s="96"/>
      <c r="H38" s="107"/>
      <c r="I38" s="107"/>
      <c r="J38" s="107"/>
      <c r="K38" s="107"/>
      <c r="L38" s="107"/>
      <c r="M38" s="132">
        <f t="shared" ref="M38:X38" si="21">$C$67/12*4</f>
        <v>0.66666666666666663</v>
      </c>
      <c r="N38" s="132">
        <f t="shared" si="21"/>
        <v>0.66666666666666663</v>
      </c>
      <c r="O38" s="920">
        <f t="shared" si="21"/>
        <v>0.66666666666666663</v>
      </c>
      <c r="P38" s="74">
        <f t="shared" si="21"/>
        <v>0.66666666666666663</v>
      </c>
      <c r="Q38" s="74">
        <f t="shared" si="21"/>
        <v>0.66666666666666663</v>
      </c>
      <c r="R38" s="74">
        <f t="shared" si="21"/>
        <v>0.66666666666666663</v>
      </c>
      <c r="S38" s="74">
        <f t="shared" si="21"/>
        <v>0.66666666666666663</v>
      </c>
      <c r="T38" s="74">
        <f t="shared" si="21"/>
        <v>0.66666666666666663</v>
      </c>
      <c r="U38" s="74">
        <f t="shared" si="21"/>
        <v>0.66666666666666663</v>
      </c>
      <c r="V38" s="74">
        <f t="shared" si="21"/>
        <v>0.66666666666666663</v>
      </c>
      <c r="W38" s="74">
        <f t="shared" si="21"/>
        <v>0.66666666666666663</v>
      </c>
      <c r="X38" s="74">
        <f t="shared" si="21"/>
        <v>0.66666666666666663</v>
      </c>
      <c r="Y38" s="381"/>
      <c r="Z38" s="381"/>
      <c r="AA38" s="381"/>
      <c r="AB38" s="381"/>
      <c r="AC38" s="77"/>
      <c r="AD38" s="607">
        <f t="shared" si="16"/>
        <v>2</v>
      </c>
      <c r="AE38" s="107"/>
    </row>
    <row r="39" spans="1:88" s="80" customFormat="1" ht="44.15" customHeight="1" x14ac:dyDescent="0.3">
      <c r="B39" s="73" t="s">
        <v>493</v>
      </c>
      <c r="C39" s="96"/>
      <c r="D39" s="564"/>
      <c r="E39" s="96"/>
      <c r="F39" s="96"/>
      <c r="G39" s="96"/>
      <c r="H39" s="107"/>
      <c r="I39" s="107"/>
      <c r="J39" s="107"/>
      <c r="K39" s="107"/>
      <c r="L39" s="107"/>
      <c r="M39" s="132"/>
      <c r="N39" s="132">
        <f t="shared" ref="N39:AC39" si="22">SUM(N40:N44)</f>
        <v>953.63159999999982</v>
      </c>
      <c r="O39" s="920">
        <f t="shared" si="22"/>
        <v>85.9084</v>
      </c>
      <c r="P39" s="74">
        <f t="shared" si="22"/>
        <v>83.481000000000009</v>
      </c>
      <c r="Q39" s="74">
        <f t="shared" si="22"/>
        <v>662.76099999999997</v>
      </c>
      <c r="R39" s="74">
        <f t="shared" si="22"/>
        <v>83.481000000000009</v>
      </c>
      <c r="S39" s="74">
        <f t="shared" si="22"/>
        <v>83.481000000000009</v>
      </c>
      <c r="T39" s="74">
        <f t="shared" si="22"/>
        <v>62.811999999999998</v>
      </c>
      <c r="U39" s="74">
        <f t="shared" si="22"/>
        <v>62.811999999999998</v>
      </c>
      <c r="V39" s="74">
        <f t="shared" si="22"/>
        <v>62.811999999999998</v>
      </c>
      <c r="W39" s="74">
        <f t="shared" si="22"/>
        <v>62.811999999999998</v>
      </c>
      <c r="X39" s="74">
        <f t="shared" si="22"/>
        <v>41.554000000000002</v>
      </c>
      <c r="Y39" s="74">
        <f t="shared" si="22"/>
        <v>41.554000000000002</v>
      </c>
      <c r="Z39" s="74">
        <f t="shared" si="22"/>
        <v>41.554000000000002</v>
      </c>
      <c r="AA39" s="74">
        <f t="shared" si="22"/>
        <v>41.554000000000002</v>
      </c>
      <c r="AB39" s="74">
        <f t="shared" si="22"/>
        <v>27.678000000000001</v>
      </c>
      <c r="AC39" s="75">
        <f t="shared" si="22"/>
        <v>27.678000000000001</v>
      </c>
      <c r="AD39" s="607">
        <f t="shared" si="16"/>
        <v>571.77499999999986</v>
      </c>
      <c r="AE39" s="1177" t="s">
        <v>494</v>
      </c>
      <c r="AF39" s="1152"/>
    </row>
    <row r="40" spans="1:88" s="80" customFormat="1" ht="17.5" customHeight="1" x14ac:dyDescent="0.3">
      <c r="B40" s="113" t="s">
        <v>480</v>
      </c>
      <c r="C40" s="96"/>
      <c r="D40" s="564"/>
      <c r="E40" s="96"/>
      <c r="F40" s="96"/>
      <c r="G40" s="96"/>
      <c r="H40" s="107"/>
      <c r="I40" s="107"/>
      <c r="J40" s="107"/>
      <c r="K40" s="107"/>
      <c r="L40" s="107"/>
      <c r="M40" s="132"/>
      <c r="N40" s="132">
        <f>0.6*C69*4</f>
        <v>868.91999999999985</v>
      </c>
      <c r="O40" s="920"/>
      <c r="P40" s="74"/>
      <c r="Q40" s="74">
        <f>0.4*C69*4</f>
        <v>579.28</v>
      </c>
      <c r="R40" s="74"/>
      <c r="S40" s="74"/>
      <c r="T40" s="74"/>
      <c r="U40" s="74"/>
      <c r="V40" s="74"/>
      <c r="W40" s="74"/>
      <c r="X40" s="74"/>
      <c r="Y40" s="74"/>
      <c r="Z40" s="74"/>
      <c r="AA40" s="74"/>
      <c r="AB40" s="74"/>
      <c r="AC40" s="75"/>
      <c r="AD40" s="607">
        <f t="shared" si="16"/>
        <v>362.04999999999995</v>
      </c>
      <c r="AE40" s="128" t="s">
        <v>495</v>
      </c>
      <c r="AF40" s="128"/>
    </row>
    <row r="41" spans="1:88" s="80" customFormat="1" x14ac:dyDescent="0.3">
      <c r="B41" s="113" t="s">
        <v>193</v>
      </c>
      <c r="C41" s="96"/>
      <c r="D41" s="564"/>
      <c r="E41" s="96"/>
      <c r="F41" s="96"/>
      <c r="G41" s="96"/>
      <c r="H41" s="107"/>
      <c r="I41" s="107"/>
      <c r="J41" s="107"/>
      <c r="K41" s="107"/>
      <c r="L41" s="107"/>
      <c r="M41" s="132"/>
      <c r="N41" s="132">
        <f>'ARP Quarterly'!D9</f>
        <v>24.693999999999999</v>
      </c>
      <c r="O41" s="920">
        <f>'ARP Quarterly'!E9</f>
        <v>24.693999999999999</v>
      </c>
      <c r="P41" s="74">
        <f>'ARP Quarterly'!F9</f>
        <v>46.79</v>
      </c>
      <c r="Q41" s="74">
        <f>'ARP Quarterly'!G9</f>
        <v>46.79</v>
      </c>
      <c r="R41" s="74">
        <f>'ARP Quarterly'!H9</f>
        <v>46.79</v>
      </c>
      <c r="S41" s="74">
        <f>'ARP Quarterly'!I9</f>
        <v>46.79</v>
      </c>
      <c r="T41" s="74">
        <f>'ARP Quarterly'!J9</f>
        <v>38.595999999999997</v>
      </c>
      <c r="U41" s="74">
        <f>'ARP Quarterly'!K9</f>
        <v>38.595999999999997</v>
      </c>
      <c r="V41" s="74">
        <f>'ARP Quarterly'!L9</f>
        <v>38.595999999999997</v>
      </c>
      <c r="W41" s="74">
        <f>'ARP Quarterly'!M9</f>
        <v>38.595999999999997</v>
      </c>
      <c r="X41" s="74">
        <f>'ARP Quarterly'!N9</f>
        <v>31.911000000000001</v>
      </c>
      <c r="Y41" s="74">
        <f>'ARP Quarterly'!O9</f>
        <v>31.911000000000001</v>
      </c>
      <c r="Z41" s="74">
        <f>'ARP Quarterly'!P9</f>
        <v>31.911000000000001</v>
      </c>
      <c r="AA41" s="74">
        <f>'ARP Quarterly'!Q9</f>
        <v>31.911000000000001</v>
      </c>
      <c r="AB41" s="74">
        <f>'ARP Quarterly'!R9</f>
        <v>23.099</v>
      </c>
      <c r="AC41" s="75">
        <f>'ARP Quarterly'!S9</f>
        <v>23.099</v>
      </c>
      <c r="AD41" s="607">
        <f t="shared" si="16"/>
        <v>113.68849999999999</v>
      </c>
      <c r="AE41" s="132"/>
    </row>
    <row r="42" spans="1:88" s="80" customFormat="1" x14ac:dyDescent="0.3">
      <c r="B42" s="113" t="s">
        <v>195</v>
      </c>
      <c r="C42" s="96"/>
      <c r="D42" s="564"/>
      <c r="E42" s="96"/>
      <c r="F42" s="96"/>
      <c r="G42" s="96"/>
      <c r="H42" s="107"/>
      <c r="I42" s="107"/>
      <c r="J42" s="107"/>
      <c r="K42" s="107"/>
      <c r="L42" s="107"/>
      <c r="M42" s="132"/>
      <c r="N42" s="132">
        <f>'ARP Quarterly'!D14</f>
        <v>0.76160000000000005</v>
      </c>
      <c r="O42" s="920">
        <f>'ARP Quarterly'!E14</f>
        <v>1.9584000000000001</v>
      </c>
      <c r="P42" s="74">
        <f>'ARP Quarterly'!F14</f>
        <v>1.02</v>
      </c>
      <c r="Q42" s="74">
        <f>'ARP Quarterly'!G14</f>
        <v>1.02</v>
      </c>
      <c r="R42" s="74">
        <f>'ARP Quarterly'!H14</f>
        <v>1.02</v>
      </c>
      <c r="S42" s="74">
        <f>'ARP Quarterly'!I14</f>
        <v>1.02</v>
      </c>
      <c r="T42" s="74">
        <f>'ARP Quarterly'!J14</f>
        <v>0</v>
      </c>
      <c r="U42" s="74">
        <f>'ARP Quarterly'!K14</f>
        <v>0</v>
      </c>
      <c r="V42" s="74">
        <f>'ARP Quarterly'!L14</f>
        <v>0</v>
      </c>
      <c r="W42" s="74">
        <f>'ARP Quarterly'!M14</f>
        <v>0</v>
      </c>
      <c r="X42" s="74">
        <f>'ARP Quarterly'!N14</f>
        <v>0</v>
      </c>
      <c r="Y42" s="74">
        <f>'ARP Quarterly'!O14</f>
        <v>0</v>
      </c>
      <c r="Z42" s="74">
        <f>'ARP Quarterly'!P14</f>
        <v>0</v>
      </c>
      <c r="AA42" s="74">
        <f>'ARP Quarterly'!Q14</f>
        <v>0</v>
      </c>
      <c r="AB42" s="74">
        <f>'ARP Quarterly'!R14</f>
        <v>0</v>
      </c>
      <c r="AC42" s="75">
        <f>'ARP Quarterly'!S14</f>
        <v>0</v>
      </c>
      <c r="AD42" s="607">
        <f t="shared" si="16"/>
        <v>1.6999999999999997</v>
      </c>
      <c r="AE42" s="132"/>
    </row>
    <row r="43" spans="1:88" s="80" customFormat="1" x14ac:dyDescent="0.3">
      <c r="B43" s="113" t="s">
        <v>496</v>
      </c>
      <c r="C43" s="96"/>
      <c r="D43" s="564"/>
      <c r="E43" s="96"/>
      <c r="F43" s="96"/>
      <c r="G43" s="96"/>
      <c r="H43" s="107"/>
      <c r="I43" s="107"/>
      <c r="J43" s="107"/>
      <c r="K43" s="107"/>
      <c r="L43" s="107"/>
      <c r="M43" s="132"/>
      <c r="N43" s="132">
        <f>'ARP Quarterly'!D10</f>
        <v>59.256</v>
      </c>
      <c r="O43" s="920">
        <f>'ARP Quarterly'!E10</f>
        <v>59.256</v>
      </c>
      <c r="P43" s="74">
        <f>'ARP Quarterly'!F10</f>
        <v>35.671000000000006</v>
      </c>
      <c r="Q43" s="74">
        <f>'ARP Quarterly'!G10</f>
        <v>35.671000000000006</v>
      </c>
      <c r="R43" s="74">
        <f>'ARP Quarterly'!H10</f>
        <v>35.671000000000006</v>
      </c>
      <c r="S43" s="74">
        <f>'ARP Quarterly'!I10</f>
        <v>35.671000000000006</v>
      </c>
      <c r="T43" s="74">
        <f>'ARP Quarterly'!J10</f>
        <v>24.216000000000001</v>
      </c>
      <c r="U43" s="74">
        <f>'ARP Quarterly'!K10</f>
        <v>24.216000000000001</v>
      </c>
      <c r="V43" s="74">
        <f>'ARP Quarterly'!L10</f>
        <v>24.216000000000001</v>
      </c>
      <c r="W43" s="74">
        <f>'ARP Quarterly'!M10</f>
        <v>24.216000000000001</v>
      </c>
      <c r="X43" s="74">
        <f>'ARP Quarterly'!N10</f>
        <v>9.6430000000000007</v>
      </c>
      <c r="Y43" s="74">
        <f>'ARP Quarterly'!O10</f>
        <v>9.6430000000000007</v>
      </c>
      <c r="Z43" s="74">
        <f>'ARP Quarterly'!P10</f>
        <v>9.6430000000000007</v>
      </c>
      <c r="AA43" s="74">
        <f>'ARP Quarterly'!Q10</f>
        <v>9.6430000000000007</v>
      </c>
      <c r="AB43" s="74">
        <f>'ARP Quarterly'!R10</f>
        <v>4.5789999999999997</v>
      </c>
      <c r="AC43" s="75">
        <f>'ARP Quarterly'!S10</f>
        <v>4.5789999999999997</v>
      </c>
      <c r="AD43" s="607">
        <f t="shared" si="16"/>
        <v>94.336500000000001</v>
      </c>
      <c r="AE43" s="132"/>
    </row>
    <row r="44" spans="1:88" s="110" customFormat="1" x14ac:dyDescent="0.3">
      <c r="A44" s="80"/>
      <c r="B44" s="122"/>
      <c r="C44" s="262"/>
      <c r="D44" s="566"/>
      <c r="E44" s="262"/>
      <c r="F44" s="262"/>
      <c r="G44" s="262"/>
      <c r="H44" s="604"/>
      <c r="I44" s="604"/>
      <c r="J44" s="604"/>
      <c r="K44" s="604"/>
      <c r="L44" s="604"/>
      <c r="M44" s="606"/>
      <c r="N44" s="606"/>
      <c r="O44" s="605"/>
      <c r="P44" s="130"/>
      <c r="Q44" s="130"/>
      <c r="R44" s="130"/>
      <c r="S44" s="130"/>
      <c r="T44" s="130"/>
      <c r="U44" s="130"/>
      <c r="V44" s="130"/>
      <c r="W44" s="130"/>
      <c r="X44" s="130"/>
      <c r="Y44" s="130"/>
      <c r="Z44" s="130"/>
      <c r="AA44" s="130"/>
      <c r="AB44" s="130"/>
      <c r="AC44" s="131"/>
      <c r="AD44" s="605"/>
      <c r="AE44" s="132"/>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row>
    <row r="45" spans="1:88" s="80" customFormat="1" x14ac:dyDescent="0.35">
      <c r="B45" s="111"/>
      <c r="C45" s="96"/>
      <c r="D45" s="96"/>
      <c r="E45" s="96"/>
      <c r="F45" s="96"/>
      <c r="G45" s="96"/>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row>
    <row r="46" spans="1:88" s="80" customFormat="1" x14ac:dyDescent="0.35">
      <c r="B46" s="111"/>
      <c r="C46" s="96"/>
      <c r="D46" s="96"/>
      <c r="E46" s="96"/>
      <c r="F46" s="96"/>
      <c r="G46" s="96"/>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row>
    <row r="47" spans="1:88" s="39" customFormat="1" ht="17.5" customHeight="1" x14ac:dyDescent="0.3">
      <c r="B47" s="133" t="s">
        <v>497</v>
      </c>
      <c r="H47" s="76"/>
      <c r="I47" s="76"/>
      <c r="J47" s="76"/>
      <c r="K47" s="76"/>
      <c r="L47" s="76"/>
      <c r="M47" s="76"/>
      <c r="N47" s="107"/>
      <c r="O47" s="107"/>
      <c r="P47" s="107"/>
      <c r="Q47" s="107"/>
      <c r="R47" s="107"/>
      <c r="S47" s="107"/>
      <c r="T47" s="107"/>
      <c r="U47" s="107"/>
      <c r="V47" s="107"/>
      <c r="W47" s="107"/>
      <c r="X47" s="107"/>
      <c r="Y47" s="107"/>
      <c r="Z47" s="107"/>
      <c r="AA47" s="107"/>
      <c r="AB47" s="107"/>
      <c r="AC47" s="107"/>
      <c r="AD47" s="107"/>
      <c r="AE47" s="107"/>
    </row>
    <row r="48" spans="1:88" s="39" customFormat="1" ht="29.5" customHeight="1" x14ac:dyDescent="0.3">
      <c r="B48" s="922" t="s">
        <v>498</v>
      </c>
      <c r="C48" s="923" t="s">
        <v>499</v>
      </c>
      <c r="D48" s="924" t="s">
        <v>500</v>
      </c>
      <c r="E48" s="423" t="s">
        <v>501</v>
      </c>
      <c r="F48" s="76"/>
      <c r="G48" s="76"/>
      <c r="H48" s="76"/>
      <c r="I48" s="76"/>
      <c r="J48" s="107"/>
      <c r="K48" s="107"/>
      <c r="L48" s="107"/>
      <c r="M48" s="107"/>
      <c r="N48" s="107"/>
      <c r="O48" s="107"/>
      <c r="P48" s="107"/>
      <c r="Q48" s="107"/>
      <c r="R48" s="107"/>
      <c r="S48" s="107"/>
      <c r="T48" s="107"/>
      <c r="U48" s="107"/>
      <c r="V48" s="107"/>
      <c r="W48" s="107"/>
    </row>
    <row r="49" spans="2:34" s="39" customFormat="1" ht="18.649999999999999" customHeight="1" x14ac:dyDescent="0.3">
      <c r="B49" s="97" t="s">
        <v>502</v>
      </c>
      <c r="C49" s="126">
        <f>SUM(C50:C55)</f>
        <v>898.11599999999999</v>
      </c>
      <c r="D49" s="76">
        <f>SUM(D50:D54)</f>
        <v>203.64166666666668</v>
      </c>
      <c r="E49" s="48">
        <f>SUM(E50:E54)</f>
        <v>649.07733333333329</v>
      </c>
      <c r="F49" s="76"/>
      <c r="G49" s="76"/>
      <c r="H49" s="76"/>
      <c r="I49" s="76"/>
      <c r="J49" s="107"/>
      <c r="K49" s="107"/>
      <c r="L49" s="107"/>
      <c r="M49" s="107"/>
      <c r="N49" s="107"/>
      <c r="O49" s="107"/>
      <c r="P49" s="107"/>
      <c r="Q49" s="107"/>
      <c r="R49" s="107"/>
      <c r="S49" s="107"/>
      <c r="T49" s="107"/>
      <c r="U49" s="107"/>
      <c r="V49" s="107"/>
      <c r="W49" s="107"/>
    </row>
    <row r="50" spans="2:34" s="39" customFormat="1" x14ac:dyDescent="0.3">
      <c r="B50" s="94" t="s">
        <v>192</v>
      </c>
      <c r="C50" s="126">
        <f>C59</f>
        <v>150</v>
      </c>
      <c r="D50" s="76">
        <f>SUM(H12:M12)/4</f>
        <v>149.47499999999999</v>
      </c>
      <c r="E50" s="115">
        <f>C50-D50</f>
        <v>0.52500000000000568</v>
      </c>
      <c r="F50" s="76"/>
      <c r="G50" s="76"/>
      <c r="H50" s="76"/>
      <c r="I50" s="136"/>
      <c r="J50" s="136"/>
      <c r="K50" s="136"/>
      <c r="L50" s="136"/>
      <c r="M50" s="136"/>
      <c r="N50" s="136"/>
      <c r="O50" s="136"/>
      <c r="P50" s="136"/>
      <c r="Q50" s="107"/>
      <c r="R50" s="107"/>
      <c r="S50" s="107"/>
      <c r="T50" s="107"/>
      <c r="U50" s="107"/>
      <c r="V50" s="107"/>
      <c r="W50" s="107"/>
    </row>
    <row r="51" spans="2:34" s="39" customFormat="1" x14ac:dyDescent="0.3">
      <c r="B51" s="94" t="s">
        <v>193</v>
      </c>
      <c r="C51" s="106">
        <f>C60+C64+C70</f>
        <v>273.16899999999998</v>
      </c>
      <c r="D51" s="76">
        <f>SUM(H13:M13)/4</f>
        <v>22.075000000000003</v>
      </c>
      <c r="E51" s="115">
        <f>C51-D51</f>
        <v>251.09399999999999</v>
      </c>
      <c r="F51" s="76"/>
      <c r="G51" s="76"/>
      <c r="H51" s="76"/>
      <c r="I51" s="136"/>
      <c r="J51" s="136"/>
      <c r="K51" s="136"/>
      <c r="L51" s="136"/>
      <c r="M51" s="136"/>
      <c r="N51" s="136"/>
      <c r="O51" s="136"/>
      <c r="P51" s="136"/>
      <c r="Q51" s="107"/>
      <c r="R51" s="107"/>
      <c r="S51" s="107"/>
      <c r="T51" s="107"/>
      <c r="U51" s="107"/>
      <c r="V51" s="107"/>
      <c r="W51" s="107"/>
    </row>
    <row r="52" spans="2:34" s="39" customFormat="1" x14ac:dyDescent="0.3">
      <c r="B52" s="94" t="s">
        <v>195</v>
      </c>
      <c r="C52" s="124">
        <f>C61+C71+C65</f>
        <v>38.5</v>
      </c>
      <c r="D52" s="76">
        <f>SUM(H14:M14)/4</f>
        <v>29.675000000000004</v>
      </c>
      <c r="E52" s="115">
        <f>C52-D52</f>
        <v>8.8249999999999957</v>
      </c>
      <c r="F52" s="76"/>
      <c r="G52" s="76"/>
      <c r="H52" s="76"/>
      <c r="I52" s="136"/>
      <c r="J52" s="136"/>
      <c r="K52" s="136"/>
      <c r="L52" s="136"/>
      <c r="M52" s="136"/>
      <c r="N52" s="136"/>
      <c r="O52" s="136"/>
      <c r="P52" s="136"/>
      <c r="Q52" s="1193"/>
      <c r="R52" s="1193"/>
      <c r="S52" s="1193"/>
      <c r="T52" s="1193"/>
      <c r="U52" s="1193"/>
      <c r="V52" s="1193"/>
      <c r="W52" s="1193"/>
      <c r="X52" s="1193"/>
      <c r="Y52" s="1193"/>
      <c r="Z52" s="1193"/>
      <c r="AA52" s="1193"/>
      <c r="AB52" s="1193"/>
      <c r="AC52" s="1193"/>
      <c r="AD52" s="1193"/>
      <c r="AE52" s="1193"/>
      <c r="AF52" s="1193"/>
      <c r="AG52" s="1193"/>
      <c r="AH52" s="1193"/>
    </row>
    <row r="53" spans="2:34" s="39" customFormat="1" ht="17.149999999999999" customHeight="1" x14ac:dyDescent="0.3">
      <c r="B53" s="94" t="s">
        <v>503</v>
      </c>
      <c r="C53" s="124">
        <f>C63</f>
        <v>29</v>
      </c>
      <c r="D53" s="76">
        <f>SUM(H15:M15)/4</f>
        <v>2.4166666666666665</v>
      </c>
      <c r="E53" s="115">
        <f>C53-D53</f>
        <v>26.583333333333332</v>
      </c>
      <c r="F53" s="76"/>
      <c r="G53" s="76"/>
      <c r="H53" s="76"/>
      <c r="I53" s="136"/>
      <c r="J53" s="136"/>
      <c r="K53" s="136"/>
      <c r="L53" s="136"/>
      <c r="M53" s="136"/>
      <c r="N53" s="136"/>
      <c r="O53" s="136"/>
      <c r="P53" s="136"/>
      <c r="Q53" s="1151"/>
      <c r="R53" s="1151"/>
      <c r="S53" s="1151"/>
      <c r="T53" s="1151"/>
      <c r="U53" s="1151"/>
      <c r="V53" s="1151"/>
      <c r="W53" s="1151"/>
      <c r="X53" s="1151"/>
      <c r="Y53" s="1151"/>
      <c r="Z53" s="43"/>
      <c r="AA53" s="43"/>
      <c r="AB53" s="43"/>
      <c r="AC53" s="43"/>
      <c r="AD53" s="1151"/>
      <c r="AE53" s="1151"/>
      <c r="AF53" s="1151"/>
      <c r="AG53" s="1151"/>
      <c r="AH53" s="43"/>
    </row>
    <row r="54" spans="2:34" s="39" customFormat="1" ht="15.65" customHeight="1" x14ac:dyDescent="0.3">
      <c r="B54" s="94" t="s">
        <v>480</v>
      </c>
      <c r="C54" s="124">
        <f>C69</f>
        <v>362.04999999999995</v>
      </c>
      <c r="D54" s="76">
        <v>0</v>
      </c>
      <c r="E54" s="115">
        <f>C54-D54</f>
        <v>362.04999999999995</v>
      </c>
      <c r="F54" s="76"/>
      <c r="G54" s="76"/>
      <c r="H54" s="76"/>
      <c r="I54" s="136"/>
      <c r="J54" s="136"/>
      <c r="K54" s="136"/>
      <c r="L54" s="136"/>
      <c r="M54" s="136"/>
      <c r="N54" s="136"/>
      <c r="O54" s="136"/>
      <c r="P54" s="136"/>
      <c r="Q54" s="43"/>
      <c r="R54" s="43"/>
      <c r="S54" s="43"/>
      <c r="T54" s="43"/>
      <c r="U54" s="43"/>
      <c r="V54" s="43"/>
      <c r="W54" s="43"/>
      <c r="X54" s="43"/>
      <c r="Y54" s="43"/>
      <c r="Z54" s="43"/>
      <c r="AA54" s="43"/>
      <c r="AB54" s="43"/>
      <c r="AC54" s="43"/>
      <c r="AD54" s="43"/>
      <c r="AE54" s="43"/>
      <c r="AF54" s="43"/>
      <c r="AG54" s="43"/>
      <c r="AH54" s="43"/>
    </row>
    <row r="55" spans="2:34" s="39" customFormat="1" ht="15" customHeight="1" x14ac:dyDescent="0.3">
      <c r="B55" s="91" t="s">
        <v>504</v>
      </c>
      <c r="C55" s="126">
        <f>C72+C73+C66+C67</f>
        <v>45.396999999999998</v>
      </c>
      <c r="D55" s="76"/>
      <c r="E55" s="115"/>
      <c r="F55" s="76"/>
      <c r="G55" s="76"/>
      <c r="H55" s="76"/>
      <c r="I55" s="136"/>
      <c r="J55" s="136"/>
      <c r="K55" s="136"/>
      <c r="L55" s="136"/>
      <c r="M55" s="136"/>
      <c r="N55" s="136"/>
      <c r="O55" s="136"/>
      <c r="P55" s="136"/>
      <c r="Q55" s="107"/>
      <c r="R55" s="107"/>
      <c r="S55" s="107"/>
      <c r="T55" s="107"/>
      <c r="U55" s="107"/>
      <c r="V55" s="107"/>
      <c r="W55" s="107"/>
    </row>
    <row r="56" spans="2:34" s="39" customFormat="1" ht="5.15" customHeight="1" x14ac:dyDescent="0.3">
      <c r="B56" s="91"/>
      <c r="C56" s="126"/>
      <c r="D56" s="76"/>
      <c r="E56" s="115"/>
      <c r="F56" s="76"/>
      <c r="G56" s="76"/>
      <c r="H56" s="76"/>
      <c r="I56" s="136"/>
      <c r="J56" s="136"/>
      <c r="K56" s="136"/>
      <c r="L56" s="136"/>
      <c r="M56" s="136"/>
      <c r="N56" s="136"/>
      <c r="O56" s="136"/>
      <c r="P56" s="136"/>
      <c r="Q56" s="107"/>
      <c r="R56" s="107"/>
      <c r="S56" s="107"/>
      <c r="T56" s="107"/>
      <c r="U56" s="107"/>
      <c r="V56" s="107"/>
      <c r="W56" s="107"/>
    </row>
    <row r="57" spans="2:34" s="39" customFormat="1" ht="18.649999999999999" customHeight="1" x14ac:dyDescent="0.3">
      <c r="B57" s="97" t="s">
        <v>505</v>
      </c>
      <c r="C57" s="124">
        <f>C58+C62+C68</f>
        <v>898.11599999999999</v>
      </c>
      <c r="D57" s="76"/>
      <c r="E57" s="115"/>
      <c r="F57" s="76"/>
      <c r="G57" s="76"/>
      <c r="H57" s="76"/>
      <c r="I57" s="136"/>
      <c r="J57" s="136"/>
      <c r="K57" s="136"/>
      <c r="L57" s="136"/>
      <c r="M57" s="136"/>
      <c r="N57" s="136"/>
      <c r="O57" s="136"/>
      <c r="P57" s="136"/>
      <c r="Q57" s="107"/>
      <c r="R57" s="107"/>
      <c r="S57" s="107"/>
      <c r="T57" s="107"/>
      <c r="U57" s="107"/>
      <c r="V57" s="107"/>
      <c r="W57" s="107"/>
    </row>
    <row r="58" spans="2:34" s="39" customFormat="1" ht="16" customHeight="1" x14ac:dyDescent="0.3">
      <c r="B58" s="73" t="s">
        <v>486</v>
      </c>
      <c r="C58" s="124">
        <f>SUM(C59:C61)</f>
        <v>199</v>
      </c>
      <c r="D58" s="76"/>
      <c r="E58" s="115"/>
      <c r="F58" s="76"/>
      <c r="G58" s="76"/>
      <c r="H58" s="76"/>
      <c r="I58" s="136"/>
      <c r="J58" s="136"/>
      <c r="K58" s="136"/>
      <c r="L58" s="136"/>
      <c r="M58" s="136"/>
      <c r="N58" s="136"/>
      <c r="O58" s="136"/>
      <c r="P58" s="136"/>
      <c r="Q58" s="107"/>
      <c r="R58" s="107"/>
      <c r="S58" s="107"/>
      <c r="T58" s="107"/>
      <c r="U58" s="107"/>
      <c r="V58" s="107"/>
      <c r="W58" s="107"/>
    </row>
    <row r="59" spans="2:34" s="39" customFormat="1" ht="20.5" customHeight="1" x14ac:dyDescent="0.3">
      <c r="B59" s="113" t="s">
        <v>192</v>
      </c>
      <c r="C59" s="124">
        <v>150</v>
      </c>
      <c r="D59" s="76"/>
      <c r="E59" s="115"/>
      <c r="F59" s="76"/>
      <c r="G59" s="76"/>
      <c r="H59" s="76"/>
      <c r="I59" s="136"/>
      <c r="J59" s="136"/>
      <c r="K59" s="136"/>
      <c r="L59" s="136"/>
      <c r="M59" s="136"/>
      <c r="N59" s="136"/>
      <c r="O59" s="136"/>
      <c r="P59" s="136"/>
      <c r="Q59" s="107"/>
      <c r="R59" s="107"/>
      <c r="S59" s="107"/>
      <c r="T59" s="107"/>
      <c r="U59" s="107"/>
      <c r="V59" s="107"/>
      <c r="W59" s="107"/>
    </row>
    <row r="60" spans="2:34" s="39" customFormat="1" ht="16.5" customHeight="1" x14ac:dyDescent="0.3">
      <c r="B60" s="113" t="s">
        <v>193</v>
      </c>
      <c r="C60" s="105">
        <v>22</v>
      </c>
      <c r="D60" s="88"/>
      <c r="E60" s="115"/>
      <c r="F60" s="76"/>
      <c r="G60" s="76"/>
      <c r="H60" s="76"/>
      <c r="I60" s="136"/>
      <c r="J60" s="136"/>
      <c r="K60" s="136"/>
      <c r="L60" s="136"/>
      <c r="M60" s="136"/>
      <c r="N60" s="136"/>
      <c r="O60" s="136"/>
      <c r="P60" s="136"/>
      <c r="Q60" s="107"/>
      <c r="R60" s="107"/>
      <c r="S60" s="107"/>
      <c r="T60" s="107"/>
      <c r="U60" s="107"/>
      <c r="V60" s="107"/>
      <c r="W60" s="107"/>
    </row>
    <row r="61" spans="2:34" s="39" customFormat="1" x14ac:dyDescent="0.3">
      <c r="B61" s="113" t="s">
        <v>195</v>
      </c>
      <c r="C61" s="124">
        <v>27</v>
      </c>
      <c r="D61" s="76"/>
      <c r="E61" s="115"/>
      <c r="F61" s="96"/>
      <c r="G61" s="76"/>
      <c r="H61" s="76"/>
      <c r="I61" s="136"/>
      <c r="J61" s="136"/>
      <c r="K61" s="136"/>
      <c r="L61" s="136"/>
      <c r="M61" s="136"/>
      <c r="N61" s="136"/>
      <c r="P61" s="136"/>
      <c r="Q61" s="107"/>
      <c r="R61" s="107"/>
      <c r="S61" s="107"/>
      <c r="T61" s="107"/>
      <c r="U61" s="107"/>
      <c r="V61" s="107"/>
      <c r="W61" s="107"/>
    </row>
    <row r="62" spans="2:34" s="39" customFormat="1" ht="15" customHeight="1" x14ac:dyDescent="0.3">
      <c r="B62" s="73" t="s">
        <v>488</v>
      </c>
      <c r="C62" s="124">
        <f>SUM(C63:C67)</f>
        <v>150</v>
      </c>
      <c r="D62" s="76"/>
      <c r="E62" s="115"/>
      <c r="F62" s="76"/>
      <c r="G62" s="76"/>
      <c r="H62" s="76"/>
      <c r="I62" s="76"/>
      <c r="J62" s="107"/>
      <c r="K62" s="107"/>
      <c r="L62" s="107"/>
      <c r="M62" s="107"/>
      <c r="N62" s="107"/>
      <c r="P62" s="107"/>
      <c r="Q62" s="107"/>
      <c r="R62" s="107"/>
      <c r="S62" s="107"/>
      <c r="T62" s="107"/>
      <c r="U62" s="107"/>
      <c r="V62" s="107"/>
      <c r="W62" s="107"/>
    </row>
    <row r="63" spans="2:34" s="39" customFormat="1" ht="17.149999999999999" customHeight="1" x14ac:dyDescent="0.3">
      <c r="B63" s="113" t="s">
        <v>475</v>
      </c>
      <c r="C63" s="124">
        <f>'Response and Relief Act Score'!F7</f>
        <v>29</v>
      </c>
      <c r="D63" s="76"/>
      <c r="E63" s="115"/>
      <c r="F63" s="76"/>
      <c r="G63" s="76"/>
      <c r="H63" s="76"/>
      <c r="I63" s="76"/>
    </row>
    <row r="64" spans="2:34" s="39" customFormat="1" x14ac:dyDescent="0.3">
      <c r="B64" s="113" t="s">
        <v>193</v>
      </c>
      <c r="C64" s="124">
        <f>'Response and Relief Act Score'!F5</f>
        <v>82</v>
      </c>
      <c r="D64" s="76"/>
      <c r="E64" s="115"/>
      <c r="F64" s="76"/>
      <c r="G64" s="76"/>
      <c r="H64" s="76"/>
      <c r="I64" s="76"/>
      <c r="J64" s="107"/>
      <c r="K64" s="107"/>
      <c r="L64" s="107"/>
      <c r="M64" s="107"/>
      <c r="N64" s="107"/>
      <c r="P64" s="107"/>
      <c r="Q64" s="107"/>
      <c r="R64" s="107"/>
      <c r="S64" s="107"/>
      <c r="T64" s="107"/>
      <c r="U64" s="107"/>
      <c r="V64" s="107"/>
      <c r="W64" s="107"/>
    </row>
    <row r="65" spans="1:31" s="39" customFormat="1" x14ac:dyDescent="0.3">
      <c r="B65" s="113" t="s">
        <v>195</v>
      </c>
      <c r="C65" s="124">
        <f>'Response and Relief Act Score'!F6</f>
        <v>3</v>
      </c>
      <c r="D65" s="76"/>
      <c r="E65" s="115"/>
      <c r="F65" s="76"/>
      <c r="G65" s="76"/>
      <c r="H65" s="76"/>
      <c r="I65" s="76"/>
      <c r="J65" s="107"/>
      <c r="K65" s="107"/>
      <c r="L65" s="107"/>
      <c r="M65" s="107"/>
      <c r="N65" s="107"/>
      <c r="P65" s="107"/>
      <c r="Q65" s="107"/>
      <c r="R65" s="107"/>
      <c r="S65" s="107"/>
      <c r="T65" s="107"/>
      <c r="U65" s="107"/>
      <c r="V65" s="107"/>
      <c r="W65" s="107"/>
    </row>
    <row r="66" spans="1:31" s="39" customFormat="1" x14ac:dyDescent="0.3">
      <c r="B66" s="113" t="s">
        <v>491</v>
      </c>
      <c r="C66" s="124">
        <f>'Response and Relief Act Score'!F9</f>
        <v>34</v>
      </c>
      <c r="D66" s="76"/>
      <c r="E66" s="115"/>
      <c r="F66" s="76"/>
      <c r="G66" s="76"/>
      <c r="H66" s="76"/>
      <c r="I66" s="134"/>
      <c r="J66" s="107"/>
      <c r="K66" s="107"/>
      <c r="L66" s="107"/>
      <c r="M66" s="107"/>
      <c r="N66" s="107"/>
      <c r="O66" s="136"/>
      <c r="P66" s="107"/>
      <c r="Q66" s="107"/>
      <c r="R66" s="107"/>
      <c r="S66" s="107"/>
      <c r="T66" s="107"/>
      <c r="U66" s="107"/>
      <c r="V66" s="107"/>
      <c r="W66" s="107"/>
    </row>
    <row r="67" spans="1:31" s="39" customFormat="1" ht="12.65" customHeight="1" x14ac:dyDescent="0.3">
      <c r="B67" s="113" t="s">
        <v>492</v>
      </c>
      <c r="C67" s="124">
        <f>'Response and Relief Act Score'!F8</f>
        <v>2</v>
      </c>
      <c r="D67" s="76"/>
      <c r="E67" s="115"/>
      <c r="F67" s="76"/>
      <c r="G67" s="76"/>
      <c r="H67" s="76"/>
      <c r="I67" s="76"/>
      <c r="J67" s="107"/>
      <c r="K67" s="107"/>
      <c r="L67" s="107"/>
      <c r="M67" s="107"/>
      <c r="N67" s="107"/>
      <c r="O67" s="107"/>
      <c r="P67" s="107"/>
      <c r="Q67" s="107"/>
      <c r="R67" s="107"/>
      <c r="S67" s="107"/>
      <c r="T67" s="107"/>
      <c r="U67" s="107"/>
      <c r="V67" s="107"/>
      <c r="W67" s="107"/>
    </row>
    <row r="68" spans="1:31" s="39" customFormat="1" x14ac:dyDescent="0.3">
      <c r="A68" s="121"/>
      <c r="B68" s="119" t="s">
        <v>493</v>
      </c>
      <c r="C68" s="126">
        <f>SUM(C69:C73)</f>
        <v>549.11599999999999</v>
      </c>
      <c r="D68" s="76"/>
      <c r="E68" s="115"/>
      <c r="F68" s="76"/>
      <c r="G68" s="76"/>
      <c r="H68" s="76"/>
      <c r="I68" s="76"/>
      <c r="J68" s="107"/>
      <c r="K68" s="107"/>
      <c r="L68" s="107"/>
      <c r="M68" s="107"/>
      <c r="N68" s="107"/>
      <c r="P68" s="107"/>
      <c r="Q68" s="107"/>
      <c r="R68" s="107"/>
      <c r="S68" s="107"/>
      <c r="T68" s="107"/>
      <c r="U68" s="107"/>
      <c r="V68" s="107"/>
      <c r="W68" s="107"/>
    </row>
    <row r="69" spans="1:31" s="39" customFormat="1" ht="16" customHeight="1" x14ac:dyDescent="0.3">
      <c r="A69" s="121"/>
      <c r="B69" s="120" t="s">
        <v>480</v>
      </c>
      <c r="C69" s="126">
        <f>'ARP Score'!AJ16</f>
        <v>362.04999999999995</v>
      </c>
      <c r="D69" s="76"/>
      <c r="E69" s="115"/>
      <c r="F69" s="76"/>
      <c r="G69" s="76"/>
      <c r="H69" s="76"/>
      <c r="I69" s="76"/>
      <c r="J69" s="107"/>
      <c r="K69" s="107"/>
      <c r="L69" s="107"/>
      <c r="M69" s="107"/>
      <c r="N69" s="107"/>
      <c r="O69" s="107"/>
      <c r="P69" s="107"/>
      <c r="Q69" s="107"/>
      <c r="R69" s="107"/>
      <c r="S69" s="107"/>
      <c r="T69" s="107"/>
      <c r="U69" s="107"/>
      <c r="V69" s="107"/>
      <c r="W69" s="107"/>
    </row>
    <row r="70" spans="1:31" s="39" customFormat="1" ht="15" customHeight="1" x14ac:dyDescent="0.3">
      <c r="A70" s="1192"/>
      <c r="B70" s="120" t="s">
        <v>193</v>
      </c>
      <c r="C70" s="126">
        <f>'ARP Score'!AL16</f>
        <v>169.16899999999998</v>
      </c>
      <c r="D70" s="76"/>
      <c r="E70" s="115"/>
      <c r="F70" s="76"/>
      <c r="G70" s="76"/>
      <c r="H70" s="76"/>
      <c r="I70" s="76"/>
      <c r="J70" s="107"/>
      <c r="K70" s="107"/>
      <c r="L70" s="107"/>
      <c r="M70" s="107"/>
      <c r="N70" s="107"/>
      <c r="O70" s="107"/>
      <c r="P70" s="107"/>
      <c r="Q70" s="107"/>
      <c r="R70" s="107"/>
      <c r="S70" s="107"/>
      <c r="T70" s="107"/>
      <c r="U70" s="107"/>
      <c r="V70" s="107"/>
      <c r="W70" s="107"/>
    </row>
    <row r="71" spans="1:31" s="39" customFormat="1" x14ac:dyDescent="0.3">
      <c r="A71" s="1192"/>
      <c r="B71" s="120" t="s">
        <v>195</v>
      </c>
      <c r="C71" s="126">
        <f>'ARP Score'!AK16</f>
        <v>8.5</v>
      </c>
      <c r="D71" s="76"/>
      <c r="E71" s="115"/>
      <c r="F71" s="76"/>
      <c r="G71" s="76"/>
      <c r="H71" s="76"/>
      <c r="I71" s="76"/>
      <c r="J71" s="107"/>
      <c r="K71" s="107"/>
      <c r="L71" s="107"/>
      <c r="M71" s="107"/>
      <c r="N71" s="107"/>
      <c r="O71" s="107"/>
      <c r="P71" s="107"/>
      <c r="Q71" s="107"/>
      <c r="R71" s="107"/>
      <c r="S71" s="107"/>
      <c r="T71" s="107"/>
      <c r="U71" s="107"/>
      <c r="V71" s="107"/>
      <c r="W71" s="107"/>
    </row>
    <row r="72" spans="1:31" s="39" customFormat="1" ht="17.149999999999999" customHeight="1" x14ac:dyDescent="0.3">
      <c r="A72" s="121"/>
      <c r="B72" s="120" t="s">
        <v>496</v>
      </c>
      <c r="C72" s="126">
        <f>'ARP Score'!AM16</f>
        <v>0.79700000000000004</v>
      </c>
      <c r="D72" s="76"/>
      <c r="E72" s="115"/>
      <c r="F72" s="76"/>
      <c r="G72" s="76"/>
      <c r="H72" s="76"/>
      <c r="I72" s="76"/>
      <c r="J72" s="107"/>
      <c r="K72" s="107"/>
      <c r="L72" s="107"/>
      <c r="M72" s="107"/>
      <c r="N72" s="107"/>
      <c r="O72" s="107"/>
      <c r="P72" s="107"/>
      <c r="Q72" s="107"/>
      <c r="R72" s="107"/>
      <c r="S72" s="107"/>
      <c r="T72" s="107"/>
      <c r="U72" s="107"/>
      <c r="V72" s="107"/>
      <c r="W72" s="107"/>
    </row>
    <row r="73" spans="1:31" s="39" customFormat="1" ht="17.149999999999999" customHeight="1" x14ac:dyDescent="0.3">
      <c r="A73" s="121"/>
      <c r="B73" s="122" t="s">
        <v>506</v>
      </c>
      <c r="C73" s="127">
        <f>'ARP Score'!AN16</f>
        <v>8.6</v>
      </c>
      <c r="D73" s="123"/>
      <c r="E73" s="116"/>
      <c r="F73" s="76"/>
      <c r="G73" s="76"/>
      <c r="H73" s="76"/>
      <c r="I73" s="76"/>
      <c r="J73" s="107"/>
      <c r="K73" s="107"/>
      <c r="L73" s="107"/>
      <c r="M73" s="107"/>
      <c r="N73" s="107"/>
      <c r="O73" s="107"/>
      <c r="P73" s="107"/>
      <c r="Q73" s="107"/>
      <c r="R73" s="107"/>
      <c r="S73" s="107"/>
      <c r="T73" s="107"/>
      <c r="U73" s="107"/>
      <c r="V73" s="107"/>
      <c r="W73" s="107"/>
    </row>
    <row r="74" spans="1:31" s="39" customFormat="1" ht="17.149999999999999" customHeight="1" x14ac:dyDescent="0.3">
      <c r="B74" s="120"/>
      <c r="C74" s="95"/>
      <c r="D74" s="95"/>
      <c r="E74" s="95"/>
      <c r="F74" s="95"/>
      <c r="G74" s="95"/>
      <c r="H74" s="76"/>
      <c r="I74" s="76"/>
      <c r="J74" s="76"/>
      <c r="K74" s="76"/>
      <c r="L74" s="76"/>
      <c r="M74" s="76"/>
      <c r="N74" s="107"/>
      <c r="O74" s="107"/>
      <c r="P74" s="107"/>
      <c r="Q74" s="107"/>
      <c r="R74" s="107"/>
      <c r="S74" s="107"/>
      <c r="T74" s="107"/>
      <c r="U74" s="107"/>
      <c r="V74" s="107"/>
      <c r="W74" s="107"/>
      <c r="X74" s="107"/>
      <c r="Y74" s="107"/>
      <c r="Z74" s="107"/>
      <c r="AA74" s="107"/>
      <c r="AB74" s="107"/>
      <c r="AC74" s="107"/>
      <c r="AD74" s="107"/>
      <c r="AE74" s="107"/>
    </row>
    <row r="75" spans="1:31" s="39" customFormat="1" ht="17.149999999999999" customHeight="1" x14ac:dyDescent="0.3">
      <c r="B75" s="114" t="s">
        <v>507</v>
      </c>
      <c r="C75" s="95"/>
      <c r="D75" s="95"/>
      <c r="E75" s="95"/>
      <c r="F75" s="95"/>
      <c r="G75" s="95"/>
      <c r="H75" s="76"/>
      <c r="I75" s="76"/>
      <c r="J75" s="76"/>
      <c r="K75" s="76"/>
      <c r="L75" s="76"/>
      <c r="M75" s="76"/>
      <c r="N75" s="107"/>
      <c r="O75" s="107"/>
      <c r="P75" s="107"/>
      <c r="Q75" s="107"/>
      <c r="R75" s="107"/>
      <c r="S75" s="107"/>
      <c r="T75" s="107"/>
      <c r="U75" s="107"/>
      <c r="V75" s="107"/>
      <c r="W75" s="107"/>
      <c r="X75" s="107"/>
      <c r="Y75" s="107"/>
      <c r="Z75" s="107"/>
      <c r="AA75" s="107"/>
      <c r="AB75" s="107"/>
      <c r="AC75" s="107"/>
      <c r="AD75" s="107"/>
      <c r="AE75" s="107"/>
    </row>
    <row r="76" spans="1:31" s="39" customFormat="1" ht="14.5" customHeight="1" x14ac:dyDescent="0.3">
      <c r="B76" s="1138" t="s">
        <v>508</v>
      </c>
      <c r="C76" s="1139"/>
      <c r="D76" s="1145" t="s">
        <v>401</v>
      </c>
      <c r="E76" s="1146"/>
      <c r="F76" s="1146"/>
      <c r="G76" s="1146"/>
      <c r="H76" s="1146"/>
      <c r="I76" s="1146"/>
      <c r="J76" s="1146"/>
      <c r="K76" s="1146"/>
      <c r="L76" s="1146"/>
      <c r="M76" s="1146"/>
      <c r="N76" s="1146"/>
      <c r="O76" s="1147"/>
      <c r="P76" s="1174" t="s">
        <v>402</v>
      </c>
      <c r="Q76" s="1175"/>
      <c r="R76" s="1175"/>
      <c r="S76" s="1175"/>
      <c r="T76" s="1175"/>
      <c r="U76" s="1175"/>
      <c r="V76" s="1175"/>
      <c r="W76" s="1175"/>
      <c r="X76" s="1175"/>
      <c r="Y76" s="1175"/>
      <c r="Z76" s="1175"/>
      <c r="AA76" s="1175"/>
      <c r="AB76" s="1175"/>
      <c r="AC76" s="1176"/>
      <c r="AD76" s="180"/>
      <c r="AE76" s="180"/>
    </row>
    <row r="77" spans="1:31" s="39" customFormat="1" x14ac:dyDescent="0.3">
      <c r="B77" s="1140"/>
      <c r="C77" s="1141"/>
      <c r="D77" s="524">
        <v>2018</v>
      </c>
      <c r="E77" s="1135">
        <v>2019</v>
      </c>
      <c r="F77" s="1136"/>
      <c r="G77" s="1136"/>
      <c r="H77" s="1137"/>
      <c r="I77" s="1135">
        <v>2020</v>
      </c>
      <c r="J77" s="1136"/>
      <c r="K77" s="1136"/>
      <c r="L77" s="1137"/>
      <c r="M77" s="1135">
        <v>2021</v>
      </c>
      <c r="N77" s="1136"/>
      <c r="O77" s="1137"/>
      <c r="P77" s="557">
        <v>2021</v>
      </c>
      <c r="Q77" s="1142">
        <v>2022</v>
      </c>
      <c r="R77" s="1143"/>
      <c r="S77" s="1143"/>
      <c r="T77" s="1144"/>
      <c r="U77" s="1142">
        <v>2023</v>
      </c>
      <c r="V77" s="1143"/>
      <c r="W77" s="1143"/>
      <c r="X77" s="1143"/>
      <c r="Y77" s="1142">
        <v>2024</v>
      </c>
      <c r="Z77" s="1143"/>
      <c r="AA77" s="1143"/>
      <c r="AB77" s="1144"/>
      <c r="AC77" s="329">
        <v>2025</v>
      </c>
      <c r="AD77" s="43"/>
      <c r="AE77" s="43"/>
    </row>
    <row r="78" spans="1:31" s="39" customFormat="1" x14ac:dyDescent="0.3">
      <c r="B78" s="1178"/>
      <c r="C78" s="1179"/>
      <c r="D78" s="166" t="s">
        <v>403</v>
      </c>
      <c r="E78" s="166" t="s">
        <v>404</v>
      </c>
      <c r="F78" s="147" t="s">
        <v>405</v>
      </c>
      <c r="G78" s="147" t="s">
        <v>290</v>
      </c>
      <c r="H78" s="154" t="s">
        <v>403</v>
      </c>
      <c r="I78" s="148" t="s">
        <v>404</v>
      </c>
      <c r="J78" s="148" t="s">
        <v>405</v>
      </c>
      <c r="K78" s="148" t="s">
        <v>290</v>
      </c>
      <c r="L78" s="148" t="s">
        <v>403</v>
      </c>
      <c r="M78" s="161" t="s">
        <v>404</v>
      </c>
      <c r="N78" s="148" t="s">
        <v>405</v>
      </c>
      <c r="O78" s="154" t="s">
        <v>290</v>
      </c>
      <c r="P78" s="420" t="s">
        <v>403</v>
      </c>
      <c r="Q78" s="418" t="s">
        <v>404</v>
      </c>
      <c r="R78" s="419" t="s">
        <v>405</v>
      </c>
      <c r="S78" s="419" t="s">
        <v>290</v>
      </c>
      <c r="T78" s="419" t="s">
        <v>403</v>
      </c>
      <c r="U78" s="418" t="s">
        <v>404</v>
      </c>
      <c r="V78" s="419" t="s">
        <v>405</v>
      </c>
      <c r="W78" s="419" t="s">
        <v>290</v>
      </c>
      <c r="X78" s="419" t="s">
        <v>403</v>
      </c>
      <c r="Y78" s="418" t="s">
        <v>404</v>
      </c>
      <c r="Z78" s="384" t="s">
        <v>405</v>
      </c>
      <c r="AA78" s="419" t="s">
        <v>290</v>
      </c>
      <c r="AB78" s="420" t="s">
        <v>403</v>
      </c>
      <c r="AC78" s="71" t="s">
        <v>404</v>
      </c>
      <c r="AD78" s="43"/>
      <c r="AE78" s="43"/>
    </row>
    <row r="79" spans="1:31" s="39" customFormat="1" ht="29.15" customHeight="1" x14ac:dyDescent="0.35">
      <c r="B79" s="436" t="s">
        <v>509</v>
      </c>
      <c r="C79" s="860"/>
      <c r="D79" s="858"/>
      <c r="E79" s="860"/>
      <c r="F79" s="860"/>
      <c r="G79" s="860"/>
      <c r="H79" s="861">
        <f t="shared" ref="H79:AC79" si="23">SUM(H81:H88)</f>
        <v>208.59399999999999</v>
      </c>
      <c r="I79" s="861">
        <f t="shared" si="23"/>
        <v>212.48200000000003</v>
      </c>
      <c r="J79" s="861">
        <f t="shared" si="23"/>
        <v>334.61</v>
      </c>
      <c r="K79" s="861">
        <f t="shared" si="23"/>
        <v>301.78300000000002</v>
      </c>
      <c r="L79" s="861">
        <f t="shared" si="23"/>
        <v>280.16300000000001</v>
      </c>
      <c r="M79" s="861">
        <f t="shared" si="23"/>
        <v>310.15499999999997</v>
      </c>
      <c r="N79" s="861">
        <f t="shared" si="23"/>
        <v>346.31500000000005</v>
      </c>
      <c r="O79" s="862">
        <f t="shared" si="23"/>
        <v>384.12299999999988</v>
      </c>
      <c r="P79" s="925">
        <f t="shared" si="23"/>
        <v>373.02054063783805</v>
      </c>
      <c r="Q79" s="925">
        <f t="shared" si="23"/>
        <v>370.5198109315192</v>
      </c>
      <c r="R79" s="925">
        <f t="shared" si="23"/>
        <v>384.94151421232431</v>
      </c>
      <c r="S79" s="925">
        <f t="shared" si="23"/>
        <v>395.97527266666646</v>
      </c>
      <c r="T79" s="925">
        <f t="shared" si="23"/>
        <v>408.95099832987557</v>
      </c>
      <c r="U79" s="925">
        <f t="shared" si="23"/>
        <v>421.28765117678</v>
      </c>
      <c r="V79" s="925">
        <f t="shared" si="23"/>
        <v>405.26806734081725</v>
      </c>
      <c r="W79" s="925">
        <f t="shared" si="23"/>
        <v>403.77230613333313</v>
      </c>
      <c r="X79" s="925">
        <f t="shared" si="23"/>
        <v>407.51224106307063</v>
      </c>
      <c r="Y79" s="925">
        <f t="shared" si="23"/>
        <v>386.27336285585125</v>
      </c>
      <c r="Z79" s="925">
        <f t="shared" si="23"/>
        <v>368.07914927444995</v>
      </c>
      <c r="AA79" s="925">
        <f t="shared" si="23"/>
        <v>372.20376613866648</v>
      </c>
      <c r="AB79" s="925">
        <f t="shared" si="23"/>
        <v>375.54597704559342</v>
      </c>
      <c r="AC79" s="435">
        <f t="shared" si="23"/>
        <v>370.87289789008526</v>
      </c>
      <c r="AD79" s="257"/>
      <c r="AE79" s="257"/>
    </row>
    <row r="80" spans="1:31" s="39" customFormat="1" ht="19" customHeight="1" x14ac:dyDescent="0.35">
      <c r="B80" s="97" t="s">
        <v>510</v>
      </c>
      <c r="C80" s="178"/>
      <c r="D80" s="859"/>
      <c r="E80" s="178"/>
      <c r="F80" s="178"/>
      <c r="G80" s="178"/>
      <c r="H80" s="257"/>
      <c r="I80" s="257"/>
      <c r="J80" s="257"/>
      <c r="K80" s="257"/>
      <c r="L80" s="257"/>
      <c r="M80" s="257"/>
      <c r="N80" s="257"/>
      <c r="O80" s="926"/>
      <c r="P80" s="255"/>
      <c r="Q80" s="255"/>
      <c r="R80" s="255"/>
      <c r="S80" s="255"/>
      <c r="T80" s="255"/>
      <c r="U80" s="255"/>
      <c r="V80" s="255"/>
      <c r="W80" s="255"/>
      <c r="X80" s="255"/>
      <c r="Y80" s="255"/>
      <c r="Z80" s="255"/>
      <c r="AA80" s="255"/>
      <c r="AB80" s="255"/>
      <c r="AC80" s="256"/>
      <c r="AD80" s="257"/>
      <c r="AE80" s="257"/>
    </row>
    <row r="81" spans="2:31" s="39" customFormat="1" x14ac:dyDescent="0.3">
      <c r="B81" s="81" t="s">
        <v>195</v>
      </c>
      <c r="C81" s="96"/>
      <c r="D81" s="564"/>
      <c r="E81" s="96"/>
      <c r="F81" s="96"/>
      <c r="G81" s="96"/>
      <c r="H81" s="132"/>
      <c r="I81" s="132"/>
      <c r="J81" s="132">
        <f t="shared" ref="J81:AC81" si="24">J14</f>
        <v>64.400000000000006</v>
      </c>
      <c r="K81" s="132">
        <f t="shared" si="24"/>
        <v>23.4</v>
      </c>
      <c r="L81" s="132">
        <f t="shared" si="24"/>
        <v>13.8</v>
      </c>
      <c r="M81" s="132">
        <f t="shared" si="24"/>
        <v>17.100000000000001</v>
      </c>
      <c r="N81" s="132">
        <f t="shared" si="24"/>
        <v>10.6</v>
      </c>
      <c r="O81" s="920">
        <f t="shared" si="24"/>
        <v>15</v>
      </c>
      <c r="P81" s="387">
        <f t="shared" si="24"/>
        <v>4.8930481283422456</v>
      </c>
      <c r="Q81" s="387">
        <f t="shared" si="24"/>
        <v>0</v>
      </c>
      <c r="R81" s="387">
        <f t="shared" si="24"/>
        <v>0</v>
      </c>
      <c r="S81" s="387">
        <f t="shared" si="24"/>
        <v>0</v>
      </c>
      <c r="T81" s="387">
        <f t="shared" si="24"/>
        <v>0</v>
      </c>
      <c r="U81" s="387">
        <f t="shared" si="24"/>
        <v>0</v>
      </c>
      <c r="V81" s="387">
        <f t="shared" si="24"/>
        <v>0</v>
      </c>
      <c r="W81" s="387">
        <f t="shared" si="24"/>
        <v>0</v>
      </c>
      <c r="X81" s="387">
        <f t="shared" si="24"/>
        <v>0</v>
      </c>
      <c r="Y81" s="387">
        <f t="shared" si="24"/>
        <v>0</v>
      </c>
      <c r="Z81" s="387">
        <f t="shared" si="24"/>
        <v>0</v>
      </c>
      <c r="AA81" s="387">
        <f t="shared" si="24"/>
        <v>0</v>
      </c>
      <c r="AB81" s="387">
        <f t="shared" si="24"/>
        <v>0</v>
      </c>
      <c r="AC81" s="388">
        <f t="shared" si="24"/>
        <v>0</v>
      </c>
      <c r="AD81" s="132"/>
      <c r="AE81" s="132"/>
    </row>
    <row r="82" spans="2:31" s="39" customFormat="1" x14ac:dyDescent="0.3">
      <c r="B82" s="81" t="s">
        <v>475</v>
      </c>
      <c r="C82" s="96"/>
      <c r="D82" s="564"/>
      <c r="E82" s="96"/>
      <c r="F82" s="96"/>
      <c r="G82" s="96"/>
      <c r="H82" s="132"/>
      <c r="I82" s="132"/>
      <c r="J82" s="132"/>
      <c r="K82" s="132"/>
      <c r="L82" s="132"/>
      <c r="M82" s="132">
        <f>M34</f>
        <v>9.6666666666666661</v>
      </c>
      <c r="N82" s="132">
        <f t="shared" ref="N82:AC82" si="25">N34</f>
        <v>9.6666666666666661</v>
      </c>
      <c r="O82" s="920">
        <f t="shared" si="25"/>
        <v>9.6666666666666661</v>
      </c>
      <c r="P82" s="387">
        <f t="shared" si="25"/>
        <v>9.6666666666666661</v>
      </c>
      <c r="Q82" s="387">
        <f t="shared" si="25"/>
        <v>9.6666666666666661</v>
      </c>
      <c r="R82" s="387">
        <f t="shared" si="25"/>
        <v>9.6666666666666661</v>
      </c>
      <c r="S82" s="387">
        <f t="shared" si="25"/>
        <v>9.6666666666666661</v>
      </c>
      <c r="T82" s="387">
        <f t="shared" si="25"/>
        <v>9.6666666666666661</v>
      </c>
      <c r="U82" s="387">
        <f t="shared" si="25"/>
        <v>9.6666666666666661</v>
      </c>
      <c r="V82" s="387">
        <f t="shared" si="25"/>
        <v>9.6666666666666661</v>
      </c>
      <c r="W82" s="387">
        <f t="shared" si="25"/>
        <v>9.6666666666666661</v>
      </c>
      <c r="X82" s="387">
        <f t="shared" si="25"/>
        <v>9.6666666666666661</v>
      </c>
      <c r="Y82" s="387">
        <f t="shared" si="25"/>
        <v>0</v>
      </c>
      <c r="Z82" s="387">
        <f t="shared" si="25"/>
        <v>0</v>
      </c>
      <c r="AA82" s="387">
        <f t="shared" si="25"/>
        <v>0</v>
      </c>
      <c r="AB82" s="387">
        <f t="shared" si="25"/>
        <v>0</v>
      </c>
      <c r="AC82" s="388">
        <f t="shared" si="25"/>
        <v>0</v>
      </c>
      <c r="AD82" s="132"/>
      <c r="AE82" s="132"/>
    </row>
    <row r="83" spans="2:31" s="39" customFormat="1" x14ac:dyDescent="0.3">
      <c r="B83" s="81" t="s">
        <v>511</v>
      </c>
      <c r="C83" s="96"/>
      <c r="D83" s="564"/>
      <c r="E83" s="96"/>
      <c r="F83" s="96"/>
      <c r="G83" s="96"/>
      <c r="H83" s="132"/>
      <c r="I83" s="132"/>
      <c r="J83" s="132"/>
      <c r="K83" s="132"/>
      <c r="L83" s="132"/>
      <c r="M83" s="132">
        <f t="shared" ref="M83:AC83" si="26">M16</f>
        <v>12</v>
      </c>
      <c r="N83" s="132">
        <f t="shared" si="26"/>
        <v>12</v>
      </c>
      <c r="O83" s="920">
        <f t="shared" si="26"/>
        <v>12</v>
      </c>
      <c r="P83" s="387">
        <f t="shared" si="26"/>
        <v>12</v>
      </c>
      <c r="Q83" s="387">
        <f t="shared" si="26"/>
        <v>12</v>
      </c>
      <c r="R83" s="387">
        <f t="shared" si="26"/>
        <v>12</v>
      </c>
      <c r="S83" s="387">
        <f t="shared" si="26"/>
        <v>12</v>
      </c>
      <c r="T83" s="387">
        <f t="shared" si="26"/>
        <v>12</v>
      </c>
      <c r="U83" s="387">
        <f t="shared" si="26"/>
        <v>12</v>
      </c>
      <c r="V83" s="387">
        <f t="shared" si="26"/>
        <v>12</v>
      </c>
      <c r="W83" s="387">
        <f t="shared" si="26"/>
        <v>12</v>
      </c>
      <c r="X83" s="387">
        <f t="shared" si="26"/>
        <v>12</v>
      </c>
      <c r="Y83" s="387">
        <f t="shared" si="26"/>
        <v>0</v>
      </c>
      <c r="Z83" s="387">
        <f t="shared" si="26"/>
        <v>0</v>
      </c>
      <c r="AA83" s="387">
        <f t="shared" si="26"/>
        <v>0</v>
      </c>
      <c r="AB83" s="387">
        <f t="shared" si="26"/>
        <v>0</v>
      </c>
      <c r="AC83" s="388">
        <f t="shared" si="26"/>
        <v>0</v>
      </c>
      <c r="AD83" s="132"/>
      <c r="AE83" s="132"/>
    </row>
    <row r="84" spans="2:31" s="39" customFormat="1" x14ac:dyDescent="0.3">
      <c r="B84" s="81" t="s">
        <v>512</v>
      </c>
      <c r="C84" s="96"/>
      <c r="D84" s="564"/>
      <c r="E84" s="96"/>
      <c r="F84" s="96"/>
      <c r="G84" s="96"/>
      <c r="H84" s="258">
        <f t="shared" ref="H84:AC84" si="27">H20</f>
        <v>208.59399999999999</v>
      </c>
      <c r="I84" s="258">
        <f t="shared" si="27"/>
        <v>212.48200000000003</v>
      </c>
      <c r="J84" s="258">
        <f t="shared" si="27"/>
        <v>206.81000000000006</v>
      </c>
      <c r="K84" s="258">
        <f t="shared" si="27"/>
        <v>217.58300000000003</v>
      </c>
      <c r="L84" s="258">
        <f t="shared" si="27"/>
        <v>206.16300000000001</v>
      </c>
      <c r="M84" s="258">
        <f t="shared" si="27"/>
        <v>202.48833333333332</v>
      </c>
      <c r="N84" s="258">
        <f t="shared" si="27"/>
        <v>206.44833333333338</v>
      </c>
      <c r="O84" s="927">
        <f>O20</f>
        <v>201.7563333333332</v>
      </c>
      <c r="P84" s="260">
        <f t="shared" si="27"/>
        <v>203.74432050949579</v>
      </c>
      <c r="Q84" s="260">
        <f t="shared" si="27"/>
        <v>205.75189613151926</v>
      </c>
      <c r="R84" s="260">
        <f t="shared" si="27"/>
        <v>207.77925321232433</v>
      </c>
      <c r="S84" s="260">
        <f t="shared" si="27"/>
        <v>209.82658666666651</v>
      </c>
      <c r="T84" s="260">
        <f t="shared" si="27"/>
        <v>211.89409332987563</v>
      </c>
      <c r="U84" s="260">
        <f t="shared" si="27"/>
        <v>213.98197197678004</v>
      </c>
      <c r="V84" s="260">
        <f t="shared" si="27"/>
        <v>216.09042334081732</v>
      </c>
      <c r="W84" s="260">
        <f t="shared" si="27"/>
        <v>218.21965013333318</v>
      </c>
      <c r="X84" s="260">
        <f t="shared" si="27"/>
        <v>220.36985706307064</v>
      </c>
      <c r="Y84" s="260">
        <f t="shared" si="27"/>
        <v>222.54125085585122</v>
      </c>
      <c r="Z84" s="260">
        <f t="shared" si="27"/>
        <v>224.73404027444997</v>
      </c>
      <c r="AA84" s="260">
        <f t="shared" si="27"/>
        <v>226.94843613866647</v>
      </c>
      <c r="AB84" s="260">
        <f t="shared" si="27"/>
        <v>229.18465134559344</v>
      </c>
      <c r="AC84" s="261">
        <f t="shared" si="27"/>
        <v>231.44290089008524</v>
      </c>
      <c r="AD84" s="258"/>
      <c r="AE84" s="258"/>
    </row>
    <row r="85" spans="2:31" s="39" customFormat="1" ht="14.5" customHeight="1" x14ac:dyDescent="0.3">
      <c r="B85" s="274" t="s">
        <v>513</v>
      </c>
      <c r="C85" s="96"/>
      <c r="D85" s="564"/>
      <c r="E85" s="96"/>
      <c r="F85" s="96"/>
      <c r="G85" s="96"/>
      <c r="H85" s="132"/>
      <c r="I85" s="132"/>
      <c r="J85" s="132"/>
      <c r="K85" s="132"/>
      <c r="L85" s="132"/>
      <c r="M85" s="132"/>
      <c r="N85" s="132"/>
      <c r="O85" s="920"/>
      <c r="P85" s="387"/>
      <c r="Q85" s="387"/>
      <c r="R85" s="387"/>
      <c r="S85" s="387"/>
      <c r="T85" s="387"/>
      <c r="U85" s="387"/>
      <c r="V85" s="387"/>
      <c r="W85" s="387"/>
      <c r="X85" s="387"/>
      <c r="Y85" s="387"/>
      <c r="Z85" s="387"/>
      <c r="AA85" s="387"/>
      <c r="AB85" s="387"/>
      <c r="AC85" s="388"/>
      <c r="AD85" s="132"/>
      <c r="AE85" s="132"/>
    </row>
    <row r="86" spans="2:31" s="39" customFormat="1" ht="14.5" customHeight="1" x14ac:dyDescent="0.3">
      <c r="B86" s="81" t="s">
        <v>193</v>
      </c>
      <c r="C86" s="96"/>
      <c r="D86" s="564"/>
      <c r="E86" s="96"/>
      <c r="F86" s="96"/>
      <c r="G86" s="96"/>
      <c r="H86" s="132"/>
      <c r="I86" s="132"/>
      <c r="J86" s="132">
        <f>J13</f>
        <v>28.4</v>
      </c>
      <c r="K86" s="132">
        <f t="shared" ref="K86:O86" si="28">K13</f>
        <v>15.8</v>
      </c>
      <c r="L86" s="132">
        <f t="shared" si="28"/>
        <v>15.2</v>
      </c>
      <c r="M86" s="132">
        <f t="shared" si="28"/>
        <v>28.9</v>
      </c>
      <c r="N86" s="132">
        <f t="shared" si="28"/>
        <v>67.599999999999994</v>
      </c>
      <c r="O86" s="920">
        <f t="shared" si="28"/>
        <v>80.7</v>
      </c>
      <c r="P86" s="387">
        <f>P31+P35+'ARP Quarterly'!F28</f>
        <v>43.095653333333331</v>
      </c>
      <c r="Q86" s="387">
        <f>Q31+Q35+'ARP Quarterly'!G28</f>
        <v>42.104973333333305</v>
      </c>
      <c r="R86" s="387">
        <f>R31+R35+'ARP Quarterly'!H28</f>
        <v>46.145562333333302</v>
      </c>
      <c r="S86" s="387">
        <f>S31+S35+'ARP Quarterly'!I28</f>
        <v>50.186151333333306</v>
      </c>
      <c r="T86" s="387">
        <f>T31+T35+'ARP Quarterly'!J28</f>
        <v>52.851310333333302</v>
      </c>
      <c r="U86" s="387">
        <f>U31+U35+'ARP Quarterly'!K28</f>
        <v>55.516469333333305</v>
      </c>
      <c r="V86" s="387">
        <f>V31+V35+'ARP Quarterly'!L28</f>
        <v>58.594257333333303</v>
      </c>
      <c r="W86" s="387">
        <f>W31+W35+'ARP Quarterly'!M28</f>
        <v>61.672045333333294</v>
      </c>
      <c r="X86" s="387">
        <f>X31+X35+'ARP Quarterly'!N28</f>
        <v>63.261773333333295</v>
      </c>
      <c r="Y86" s="387">
        <f>Y31+Y35+'ARP Quarterly'!O28</f>
        <v>61.518167999999996</v>
      </c>
      <c r="Z86" s="387">
        <f>Z31+Z35+'ARP Quarterly'!P28</f>
        <v>44.428388999999996</v>
      </c>
      <c r="AA86" s="387">
        <f>AA31+AA35+'ARP Quarterly'!Q28</f>
        <v>46.338610000000003</v>
      </c>
      <c r="AB86" s="387">
        <f>AB31+AB35+'ARP Quarterly'!R28</f>
        <v>47.279744500000007</v>
      </c>
      <c r="AC86" s="388">
        <f>AC31+AC35+'ARP Quarterly'!S28</f>
        <v>46.283419000000009</v>
      </c>
      <c r="AD86" s="132"/>
      <c r="AE86" s="132"/>
    </row>
    <row r="87" spans="2:31" s="39" customFormat="1" x14ac:dyDescent="0.3">
      <c r="B87" s="81" t="s">
        <v>192</v>
      </c>
      <c r="C87" s="259"/>
      <c r="D87" s="565"/>
      <c r="E87" s="259"/>
      <c r="F87" s="259"/>
      <c r="G87" s="259"/>
      <c r="H87" s="132"/>
      <c r="I87" s="132"/>
      <c r="J87" s="132">
        <v>35</v>
      </c>
      <c r="K87" s="132">
        <v>45</v>
      </c>
      <c r="L87" s="132">
        <v>45</v>
      </c>
      <c r="M87" s="132">
        <v>40</v>
      </c>
      <c r="N87" s="132">
        <v>40</v>
      </c>
      <c r="O87" s="920">
        <v>65</v>
      </c>
      <c r="P87" s="387">
        <v>65</v>
      </c>
      <c r="Q87" s="387">
        <v>55</v>
      </c>
      <c r="R87" s="387">
        <v>50</v>
      </c>
      <c r="S87" s="387">
        <v>50</v>
      </c>
      <c r="T87" s="387">
        <v>50</v>
      </c>
      <c r="U87" s="387">
        <v>50</v>
      </c>
      <c r="V87" s="387">
        <v>10</v>
      </c>
      <c r="W87" s="387"/>
      <c r="X87" s="387"/>
      <c r="Y87" s="387"/>
      <c r="Z87" s="387"/>
      <c r="AA87" s="387"/>
      <c r="AB87" s="387"/>
      <c r="AC87" s="388"/>
    </row>
    <row r="88" spans="2:31" s="39" customFormat="1" ht="28.5" customHeight="1" x14ac:dyDescent="0.3">
      <c r="B88" s="109" t="s">
        <v>514</v>
      </c>
      <c r="C88" s="262"/>
      <c r="D88" s="566"/>
      <c r="E88" s="262"/>
      <c r="F88" s="262"/>
      <c r="G88" s="262"/>
      <c r="H88" s="606"/>
      <c r="I88" s="606"/>
      <c r="J88" s="606"/>
      <c r="K88" s="606"/>
      <c r="L88" s="606"/>
      <c r="M88" s="606"/>
      <c r="N88" s="606">
        <f>'ARP Quarterly'!D47</f>
        <v>0</v>
      </c>
      <c r="O88" s="605">
        <f>'ARP Quarterly'!E47</f>
        <v>0</v>
      </c>
      <c r="P88" s="670">
        <f>'ARP Quarterly'!F47</f>
        <v>34.620851999999999</v>
      </c>
      <c r="Q88" s="670">
        <f>'ARP Quarterly'!G47</f>
        <v>45.996274799999995</v>
      </c>
      <c r="R88" s="670">
        <f>'ARP Quarterly'!H47</f>
        <v>59.350031999999992</v>
      </c>
      <c r="S88" s="670">
        <f>'ARP Quarterly'!I47</f>
        <v>64.295867999999999</v>
      </c>
      <c r="T88" s="670">
        <f>'ARP Quarterly'!J47</f>
        <v>72.538927999999999</v>
      </c>
      <c r="U88" s="670">
        <f>'ARP Quarterly'!K47</f>
        <v>80.122543199999996</v>
      </c>
      <c r="V88" s="670">
        <f>'ARP Quarterly'!L47</f>
        <v>98.916719999999998</v>
      </c>
      <c r="W88" s="670">
        <f>'ARP Quarterly'!M47</f>
        <v>102.213944</v>
      </c>
      <c r="X88" s="670">
        <f>'ARP Quarterly'!N47</f>
        <v>102.213944</v>
      </c>
      <c r="Y88" s="670">
        <f>'ARP Quarterly'!O47</f>
        <v>102.213944</v>
      </c>
      <c r="Z88" s="670">
        <f>'ARP Quarterly'!P47</f>
        <v>98.916719999999998</v>
      </c>
      <c r="AA88" s="670">
        <f>'ARP Quarterly'!Q47</f>
        <v>98.916719999999998</v>
      </c>
      <c r="AB88" s="670">
        <f>'ARP Quarterly'!R47</f>
        <v>99.081581199999988</v>
      </c>
      <c r="AC88" s="671">
        <f>'ARP Quarterly'!S47</f>
        <v>93.146578000000005</v>
      </c>
    </row>
    <row r="90" spans="2:31" ht="12.65" customHeight="1" x14ac:dyDescent="0.3">
      <c r="I90" s="668"/>
      <c r="J90" s="668"/>
      <c r="K90" s="668"/>
      <c r="L90" s="668"/>
      <c r="M90" s="668"/>
      <c r="N90" s="668"/>
      <c r="O90" s="668"/>
      <c r="P90" s="668"/>
      <c r="Q90" s="668"/>
      <c r="R90" s="668"/>
      <c r="S90" s="668"/>
      <c r="T90" s="668"/>
      <c r="U90" s="668"/>
      <c r="V90" s="668"/>
      <c r="W90" s="668"/>
      <c r="X90" s="668"/>
      <c r="Y90" s="668"/>
      <c r="Z90" s="668"/>
      <c r="AA90" s="668"/>
      <c r="AB90" s="668"/>
      <c r="AC90" s="668"/>
      <c r="AD90" s="66"/>
      <c r="AE90" s="66"/>
    </row>
    <row r="92" spans="2:31" x14ac:dyDescent="0.3">
      <c r="B92" s="1133" t="s">
        <v>177</v>
      </c>
      <c r="C92" s="1133"/>
      <c r="D92" s="1133"/>
      <c r="E92" s="1133"/>
      <c r="F92" s="1133"/>
      <c r="G92" s="1133"/>
      <c r="H92" s="1133"/>
      <c r="I92" s="1133"/>
      <c r="J92" s="1133"/>
      <c r="K92" s="1133"/>
      <c r="L92" s="1133"/>
      <c r="M92" s="1133"/>
      <c r="N92" s="1133"/>
      <c r="O92" s="1133"/>
      <c r="P92" s="1133"/>
      <c r="Q92" s="1133"/>
      <c r="R92" s="1133"/>
      <c r="S92" s="1133"/>
      <c r="T92" s="1133"/>
      <c r="U92" s="1133"/>
      <c r="V92" s="1133"/>
      <c r="W92" s="1133"/>
      <c r="X92" s="1133"/>
      <c r="Y92" s="1133"/>
      <c r="Z92" s="523"/>
      <c r="AA92" s="523"/>
      <c r="AB92" s="523"/>
      <c r="AC92" s="523"/>
      <c r="AD92" s="180"/>
      <c r="AE92" s="180"/>
    </row>
    <row r="93" spans="2:31" ht="19" customHeight="1" x14ac:dyDescent="0.3">
      <c r="B93" s="1134" t="s">
        <v>515</v>
      </c>
      <c r="C93" s="1134"/>
      <c r="D93" s="1134"/>
      <c r="E93" s="1134"/>
      <c r="F93" s="1134"/>
      <c r="G93" s="1134"/>
      <c r="H93" s="1134"/>
      <c r="I93" s="1134"/>
      <c r="J93" s="1134"/>
      <c r="K93" s="1134"/>
      <c r="L93" s="1134"/>
      <c r="M93" s="1134"/>
      <c r="N93" s="1134"/>
      <c r="O93" s="1134"/>
      <c r="P93" s="1134"/>
      <c r="Q93" s="1134"/>
      <c r="R93" s="1134"/>
      <c r="S93" s="1134"/>
      <c r="T93" s="1134"/>
      <c r="U93" s="1134"/>
      <c r="V93" s="1134"/>
      <c r="W93" s="1134"/>
      <c r="X93" s="1134"/>
      <c r="Y93" s="1134"/>
      <c r="Z93" s="1134"/>
      <c r="AA93" s="1134"/>
      <c r="AB93" s="1134"/>
      <c r="AC93" s="1134"/>
      <c r="AD93" s="219"/>
      <c r="AE93" s="219"/>
    </row>
    <row r="94" spans="2:31" ht="11.5" customHeight="1" x14ac:dyDescent="0.3">
      <c r="B94" s="66"/>
      <c r="C94" s="66"/>
      <c r="D94" s="66"/>
      <c r="E94" s="66"/>
      <c r="F94" s="66"/>
      <c r="G94" s="66"/>
      <c r="H94" s="66"/>
      <c r="I94" s="66"/>
      <c r="J94" s="66"/>
      <c r="K94" s="66"/>
      <c r="L94" s="66"/>
      <c r="M94" s="66"/>
      <c r="V94" s="43"/>
      <c r="W94" s="43"/>
      <c r="X94" s="43"/>
      <c r="Y94" s="43"/>
      <c r="Z94" s="43"/>
      <c r="AA94" s="43"/>
      <c r="AB94" s="43"/>
      <c r="AC94" s="43"/>
      <c r="AD94" s="43"/>
      <c r="AE94" s="43"/>
    </row>
    <row r="95" spans="2:31" ht="14.5" customHeight="1" x14ac:dyDescent="0.3">
      <c r="B95" s="1138" t="s">
        <v>400</v>
      </c>
      <c r="C95" s="1139"/>
      <c r="D95" s="1145" t="s">
        <v>401</v>
      </c>
      <c r="E95" s="1146"/>
      <c r="F95" s="1146"/>
      <c r="G95" s="1146"/>
      <c r="H95" s="1146"/>
      <c r="I95" s="1146"/>
      <c r="J95" s="1146"/>
      <c r="K95" s="1146"/>
      <c r="L95" s="1146"/>
      <c r="M95" s="1146"/>
      <c r="N95" s="1146"/>
      <c r="O95" s="1147"/>
      <c r="P95" s="1174" t="s">
        <v>402</v>
      </c>
      <c r="Q95" s="1175"/>
      <c r="R95" s="1175"/>
      <c r="S95" s="1175"/>
      <c r="T95" s="1175"/>
      <c r="U95" s="1175"/>
      <c r="V95" s="1175"/>
      <c r="W95" s="1175"/>
      <c r="X95" s="1175"/>
      <c r="Y95" s="1175"/>
      <c r="Z95" s="1175"/>
      <c r="AA95" s="1175"/>
      <c r="AB95" s="1175"/>
      <c r="AC95" s="1176"/>
      <c r="AD95" s="180"/>
      <c r="AE95" s="180"/>
    </row>
    <row r="96" spans="2:31" x14ac:dyDescent="0.3">
      <c r="B96" s="1140"/>
      <c r="C96" s="1141"/>
      <c r="D96" s="524">
        <v>2018</v>
      </c>
      <c r="E96" s="1135">
        <v>2019</v>
      </c>
      <c r="F96" s="1136"/>
      <c r="G96" s="1136"/>
      <c r="H96" s="1137"/>
      <c r="I96" s="1135">
        <v>2020</v>
      </c>
      <c r="J96" s="1136"/>
      <c r="K96" s="1136"/>
      <c r="L96" s="1137"/>
      <c r="M96" s="1135">
        <v>2021</v>
      </c>
      <c r="N96" s="1136"/>
      <c r="O96" s="1137"/>
      <c r="P96" s="557">
        <v>2021</v>
      </c>
      <c r="Q96" s="1142">
        <v>2022</v>
      </c>
      <c r="R96" s="1143"/>
      <c r="S96" s="1143"/>
      <c r="T96" s="1144"/>
      <c r="U96" s="1142">
        <v>2023</v>
      </c>
      <c r="V96" s="1143"/>
      <c r="W96" s="1143"/>
      <c r="X96" s="1143"/>
      <c r="Y96" s="1142">
        <v>2024</v>
      </c>
      <c r="Z96" s="1143"/>
      <c r="AA96" s="1143"/>
      <c r="AB96" s="1144"/>
      <c r="AC96" s="329">
        <v>2025</v>
      </c>
      <c r="AD96" s="43"/>
      <c r="AE96" s="43"/>
    </row>
    <row r="97" spans="2:31" x14ac:dyDescent="0.3">
      <c r="B97" s="1178"/>
      <c r="C97" s="1179"/>
      <c r="D97" s="166" t="s">
        <v>403</v>
      </c>
      <c r="E97" s="166" t="s">
        <v>404</v>
      </c>
      <c r="F97" s="147" t="s">
        <v>405</v>
      </c>
      <c r="G97" s="147" t="s">
        <v>290</v>
      </c>
      <c r="H97" s="154" t="s">
        <v>403</v>
      </c>
      <c r="I97" s="148" t="s">
        <v>404</v>
      </c>
      <c r="J97" s="148" t="s">
        <v>405</v>
      </c>
      <c r="K97" s="148" t="s">
        <v>290</v>
      </c>
      <c r="L97" s="148" t="s">
        <v>403</v>
      </c>
      <c r="M97" s="161" t="s">
        <v>404</v>
      </c>
      <c r="N97" s="148" t="s">
        <v>405</v>
      </c>
      <c r="O97" s="154" t="s">
        <v>290</v>
      </c>
      <c r="P97" s="420" t="s">
        <v>403</v>
      </c>
      <c r="Q97" s="418" t="s">
        <v>404</v>
      </c>
      <c r="R97" s="419" t="s">
        <v>405</v>
      </c>
      <c r="S97" s="419" t="s">
        <v>290</v>
      </c>
      <c r="T97" s="419" t="s">
        <v>403</v>
      </c>
      <c r="U97" s="418" t="s">
        <v>404</v>
      </c>
      <c r="V97" s="419" t="s">
        <v>405</v>
      </c>
      <c r="W97" s="419" t="s">
        <v>290</v>
      </c>
      <c r="X97" s="419" t="s">
        <v>403</v>
      </c>
      <c r="Y97" s="418" t="s">
        <v>404</v>
      </c>
      <c r="Z97" s="384" t="s">
        <v>405</v>
      </c>
      <c r="AA97" s="419" t="s">
        <v>290</v>
      </c>
      <c r="AB97" s="420" t="s">
        <v>403</v>
      </c>
      <c r="AC97" s="71" t="s">
        <v>404</v>
      </c>
      <c r="AD97" s="43"/>
      <c r="AE97" s="43"/>
    </row>
    <row r="98" spans="2:31" ht="14.5" x14ac:dyDescent="0.35">
      <c r="B98" s="431" t="s">
        <v>516</v>
      </c>
      <c r="C98" s="432" t="s">
        <v>517</v>
      </c>
      <c r="D98" s="433"/>
      <c r="E98" s="432"/>
      <c r="F98" s="432"/>
      <c r="G98" s="432"/>
      <c r="H98" s="434">
        <f>'Haver Pivoted'!GS41</f>
        <v>70.894000000000005</v>
      </c>
      <c r="I98" s="434">
        <f>'Haver Pivoted'!GT41</f>
        <v>72.774000000000001</v>
      </c>
      <c r="J98" s="434">
        <f>'Haver Pivoted'!GU41</f>
        <v>75.275000000000006</v>
      </c>
      <c r="K98" s="434">
        <f>'Haver Pivoted'!GV41</f>
        <v>78.766999999999996</v>
      </c>
      <c r="L98" s="434">
        <f>'Haver Pivoted'!GW41</f>
        <v>76.995000000000005</v>
      </c>
      <c r="M98" s="434">
        <f>'Haver Pivoted'!GX41</f>
        <v>75.03</v>
      </c>
      <c r="N98" s="434">
        <f>'Haver Pivoted'!GY41</f>
        <v>77.703999999999994</v>
      </c>
      <c r="O98" s="434">
        <f>'Haver Pivoted'!GZ41</f>
        <v>72.766999999999996</v>
      </c>
      <c r="P98" s="612">
        <f t="shared" ref="P98:AC98" si="29">AVERAGE($H$98:$N$98)</f>
        <v>75.34842857142857</v>
      </c>
      <c r="Q98" s="712">
        <f t="shared" si="29"/>
        <v>75.34842857142857</v>
      </c>
      <c r="R98" s="712">
        <f t="shared" si="29"/>
        <v>75.34842857142857</v>
      </c>
      <c r="S98" s="712">
        <f t="shared" si="29"/>
        <v>75.34842857142857</v>
      </c>
      <c r="T98" s="712">
        <f t="shared" si="29"/>
        <v>75.34842857142857</v>
      </c>
      <c r="U98" s="712">
        <f t="shared" si="29"/>
        <v>75.34842857142857</v>
      </c>
      <c r="V98" s="712">
        <f t="shared" si="29"/>
        <v>75.34842857142857</v>
      </c>
      <c r="W98" s="712">
        <f t="shared" si="29"/>
        <v>75.34842857142857</v>
      </c>
      <c r="X98" s="712">
        <f t="shared" si="29"/>
        <v>75.34842857142857</v>
      </c>
      <c r="Y98" s="712">
        <f t="shared" si="29"/>
        <v>75.34842857142857</v>
      </c>
      <c r="Z98" s="712">
        <f t="shared" si="29"/>
        <v>75.34842857142857</v>
      </c>
      <c r="AA98" s="712">
        <f t="shared" si="29"/>
        <v>75.34842857142857</v>
      </c>
      <c r="AB98" s="712">
        <f t="shared" si="29"/>
        <v>75.34842857142857</v>
      </c>
      <c r="AC98" s="713">
        <f t="shared" si="29"/>
        <v>75.34842857142857</v>
      </c>
      <c r="AD98" s="62"/>
      <c r="AE98" s="62"/>
    </row>
    <row r="100" spans="2:31" ht="11.15" customHeight="1" x14ac:dyDescent="0.3"/>
    <row r="101" spans="2:31" hidden="1" x14ac:dyDescent="0.3"/>
  </sheetData>
  <mergeCells count="42">
    <mergeCell ref="B95:C97"/>
    <mergeCell ref="I96:L96"/>
    <mergeCell ref="Q96:T96"/>
    <mergeCell ref="B2:AC4"/>
    <mergeCell ref="B93:AC93"/>
    <mergeCell ref="O6:AC6"/>
    <mergeCell ref="Y77:AB77"/>
    <mergeCell ref="B76:C78"/>
    <mergeCell ref="I77:L77"/>
    <mergeCell ref="Q77:T77"/>
    <mergeCell ref="U77:X77"/>
    <mergeCell ref="B92:Y92"/>
    <mergeCell ref="U96:X96"/>
    <mergeCell ref="E96:H96"/>
    <mergeCell ref="Y96:AB96"/>
    <mergeCell ref="M96:O96"/>
    <mergeCell ref="A70:A71"/>
    <mergeCell ref="Q52:AH52"/>
    <mergeCell ref="Q53:S53"/>
    <mergeCell ref="T53:Y53"/>
    <mergeCell ref="AD53:AG53"/>
    <mergeCell ref="AE29:AF29"/>
    <mergeCell ref="AE33:AF34"/>
    <mergeCell ref="AE39:AF39"/>
    <mergeCell ref="B1:Y1"/>
    <mergeCell ref="B6:C8"/>
    <mergeCell ref="I7:L7"/>
    <mergeCell ref="Q7:T7"/>
    <mergeCell ref="AD6:AD8"/>
    <mergeCell ref="AE6:AE8"/>
    <mergeCell ref="U7:X7"/>
    <mergeCell ref="E7:H7"/>
    <mergeCell ref="D6:N6"/>
    <mergeCell ref="B28:AC28"/>
    <mergeCell ref="Y7:AB7"/>
    <mergeCell ref="M7:O7"/>
    <mergeCell ref="M77:O77"/>
    <mergeCell ref="D76:O76"/>
    <mergeCell ref="P76:AC76"/>
    <mergeCell ref="D95:O95"/>
    <mergeCell ref="P95:AC95"/>
    <mergeCell ref="E77:H7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5"/>
  <sheetViews>
    <sheetView topLeftCell="B14" zoomScale="53" zoomScaleNormal="135" workbookViewId="0">
      <selection activeCell="S18" sqref="S18"/>
    </sheetView>
  </sheetViews>
  <sheetFormatPr defaultColWidth="8.54296875" defaultRowHeight="14" x14ac:dyDescent="0.3"/>
  <cols>
    <col min="1" max="1" width="8.54296875" style="34"/>
    <col min="2" max="2" width="47.72656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133" t="s">
        <v>518</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2:46" ht="14.15" customHeight="1" x14ac:dyDescent="0.3">
      <c r="B2" s="1152" t="s">
        <v>519</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46" ht="9" customHeight="1"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46" ht="27" customHeight="1"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138" t="s">
        <v>400</v>
      </c>
      <c r="C6" s="1139"/>
      <c r="D6" s="1145" t="s">
        <v>401</v>
      </c>
      <c r="E6" s="1146"/>
      <c r="F6" s="1146"/>
      <c r="G6" s="1146"/>
      <c r="H6" s="1146"/>
      <c r="I6" s="1146"/>
      <c r="J6" s="1146"/>
      <c r="K6" s="1146"/>
      <c r="L6" s="1146"/>
      <c r="M6" s="1146"/>
      <c r="N6" s="1146"/>
      <c r="O6" s="1147"/>
      <c r="P6" s="1174" t="s">
        <v>402</v>
      </c>
      <c r="Q6" s="1175"/>
      <c r="R6" s="1175"/>
      <c r="S6" s="1175"/>
      <c r="T6" s="1175"/>
      <c r="U6" s="1175"/>
      <c r="V6" s="1175"/>
      <c r="W6" s="1175"/>
      <c r="X6" s="1175"/>
      <c r="Y6" s="1175"/>
      <c r="Z6" s="1175"/>
      <c r="AA6" s="1175"/>
      <c r="AB6" s="1175"/>
      <c r="AC6" s="1176"/>
    </row>
    <row r="7" spans="2:46" ht="14.5" customHeight="1" x14ac:dyDescent="0.3">
      <c r="B7" s="1140"/>
      <c r="C7" s="1141"/>
      <c r="D7" s="524">
        <v>2018</v>
      </c>
      <c r="E7" s="1135">
        <v>2019</v>
      </c>
      <c r="F7" s="1136"/>
      <c r="G7" s="1136"/>
      <c r="H7" s="1137"/>
      <c r="I7" s="1135">
        <v>2020</v>
      </c>
      <c r="J7" s="1136"/>
      <c r="K7" s="1136"/>
      <c r="L7" s="1137"/>
      <c r="M7" s="1135">
        <v>2021</v>
      </c>
      <c r="N7" s="1136"/>
      <c r="O7" s="1137"/>
      <c r="P7" s="557">
        <v>2021</v>
      </c>
      <c r="Q7" s="1142">
        <v>2022</v>
      </c>
      <c r="R7" s="1143"/>
      <c r="S7" s="1143"/>
      <c r="T7" s="1144"/>
      <c r="U7" s="1142">
        <v>2023</v>
      </c>
      <c r="V7" s="1143"/>
      <c r="W7" s="1143"/>
      <c r="X7" s="1143"/>
      <c r="Y7" s="1142">
        <v>2024</v>
      </c>
      <c r="Z7" s="1143"/>
      <c r="AA7" s="1143"/>
      <c r="AB7" s="1144"/>
      <c r="AC7" s="329">
        <v>2025</v>
      </c>
    </row>
    <row r="8" spans="2:46" x14ac:dyDescent="0.3">
      <c r="B8" s="1178"/>
      <c r="C8" s="1179"/>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2:46" ht="29.15" customHeight="1" x14ac:dyDescent="0.3">
      <c r="B9" s="56" t="s">
        <v>520</v>
      </c>
      <c r="C9" s="55" t="s">
        <v>521</v>
      </c>
      <c r="D9" s="863"/>
      <c r="E9" s="865"/>
      <c r="F9" s="865"/>
      <c r="G9" s="865"/>
      <c r="H9" s="865">
        <f>'Haver Pivoted'!GS23</f>
        <v>1441.7</v>
      </c>
      <c r="I9" s="865">
        <f>'Haver Pivoted'!GT23</f>
        <v>1454.7</v>
      </c>
      <c r="J9" s="865">
        <f>'Haver Pivoted'!GU23</f>
        <v>1525</v>
      </c>
      <c r="K9" s="865">
        <f>'Haver Pivoted'!GV23</f>
        <v>1515.1</v>
      </c>
      <c r="L9" s="865">
        <f>'Haver Pivoted'!GW23</f>
        <v>1512.3</v>
      </c>
      <c r="M9" s="865">
        <f>'Haver Pivoted'!GX23</f>
        <v>1568.6</v>
      </c>
      <c r="N9" s="865">
        <f>'Haver Pivoted'!GY23</f>
        <v>1563.3</v>
      </c>
      <c r="O9" s="551">
        <f>'Haver Pivoted'!GZ23</f>
        <v>1562.1</v>
      </c>
      <c r="P9" s="928">
        <f t="shared" ref="P9:Y9" si="0">O9*((100 + P11)/100)^(0.25)</f>
        <v>1573.9267891323836</v>
      </c>
      <c r="Q9" s="928">
        <f t="shared" si="0"/>
        <v>1585.9354345503814</v>
      </c>
      <c r="R9" s="928">
        <f t="shared" si="0"/>
        <v>1587.9101975616902</v>
      </c>
      <c r="S9" s="928">
        <f t="shared" si="0"/>
        <v>1587.2547789253952</v>
      </c>
      <c r="T9" s="928">
        <f t="shared" si="0"/>
        <v>1587.4214144343857</v>
      </c>
      <c r="U9" s="928">
        <f t="shared" si="0"/>
        <v>1591.6665815728984</v>
      </c>
      <c r="V9" s="928">
        <f t="shared" si="0"/>
        <v>1597.5981128204228</v>
      </c>
      <c r="W9" s="928">
        <f t="shared" si="0"/>
        <v>1605.1922935912212</v>
      </c>
      <c r="X9" s="928">
        <f t="shared" si="0"/>
        <v>1614.118674329608</v>
      </c>
      <c r="Y9" s="928">
        <f t="shared" si="0"/>
        <v>1622.9240123392974</v>
      </c>
      <c r="Z9" s="928">
        <f t="shared" ref="Z9" si="1">Y9*((100 + Z11)/100)^(0.25)</f>
        <v>1631.7773852169912</v>
      </c>
      <c r="AA9" s="928">
        <f t="shared" ref="AA9" si="2">Z9*((100 + AA11)/100)^(0.25)</f>
        <v>1641.0802481012545</v>
      </c>
      <c r="AB9" s="928">
        <f t="shared" ref="AB9" si="3">AA9*((100 + AB11)/100)^(0.25)</f>
        <v>1650.0326668517271</v>
      </c>
      <c r="AC9" s="633">
        <f t="shared" ref="AC9" si="4">AB9*((100 + AC11)/100)^(0.25)</f>
        <v>1660.2500755702192</v>
      </c>
    </row>
    <row r="10" spans="2:46" ht="18" customHeight="1" x14ac:dyDescent="0.3">
      <c r="B10" s="56" t="s">
        <v>522</v>
      </c>
      <c r="C10" s="55"/>
      <c r="D10" s="864"/>
      <c r="E10" s="57"/>
      <c r="F10" s="57"/>
      <c r="G10" s="57"/>
      <c r="H10" s="57">
        <v>1447.9</v>
      </c>
      <c r="I10" s="57">
        <v>1452.6</v>
      </c>
      <c r="J10" s="57">
        <v>1504.8</v>
      </c>
      <c r="K10" s="57">
        <v>1487</v>
      </c>
      <c r="L10" s="57">
        <v>1493.4</v>
      </c>
      <c r="M10" s="57">
        <v>1557</v>
      </c>
      <c r="N10" s="57">
        <v>1546</v>
      </c>
      <c r="O10" s="48">
        <v>1557</v>
      </c>
      <c r="P10" s="386">
        <v>1568.8</v>
      </c>
      <c r="Q10" s="386">
        <v>1580.8</v>
      </c>
      <c r="R10" s="386">
        <v>1582.8</v>
      </c>
      <c r="S10" s="386">
        <v>1582.1</v>
      </c>
      <c r="T10" s="386">
        <v>1582.3</v>
      </c>
      <c r="U10" s="266">
        <v>1586.5</v>
      </c>
      <c r="V10" s="266">
        <v>1592.4</v>
      </c>
      <c r="W10" s="266">
        <v>1600</v>
      </c>
      <c r="X10" s="266">
        <v>1608.9</v>
      </c>
      <c r="Y10" s="266">
        <v>1618</v>
      </c>
      <c r="Z10" s="266">
        <v>1627</v>
      </c>
      <c r="AA10" s="419">
        <v>1636</v>
      </c>
      <c r="AB10" s="419">
        <v>1645</v>
      </c>
      <c r="AC10" s="420">
        <v>1655</v>
      </c>
    </row>
    <row r="11" spans="2:46" ht="14.5" customHeight="1" x14ac:dyDescent="0.3">
      <c r="B11" s="56" t="s">
        <v>523</v>
      </c>
      <c r="C11" s="354"/>
      <c r="D11" s="49"/>
      <c r="E11" s="354"/>
      <c r="F11" s="354"/>
      <c r="G11" s="354"/>
      <c r="H11" s="62">
        <v>5.3259999999999996</v>
      </c>
      <c r="I11" s="62">
        <v>1.278</v>
      </c>
      <c r="J11" s="62">
        <v>15.177</v>
      </c>
      <c r="K11" s="63">
        <v>-4.6340000000000003</v>
      </c>
      <c r="L11" s="63">
        <v>1.732</v>
      </c>
      <c r="M11" s="63">
        <v>18.143999999999998</v>
      </c>
      <c r="N11" s="63">
        <v>-2.7970000000000002</v>
      </c>
      <c r="O11" s="909">
        <v>2.8889999999999998</v>
      </c>
      <c r="P11" s="379">
        <v>3.0630000000000002</v>
      </c>
      <c r="Q11" s="379">
        <v>3.0870000000000002</v>
      </c>
      <c r="R11" s="379">
        <v>0.499</v>
      </c>
      <c r="S11" s="379">
        <v>-0.16500000000000001</v>
      </c>
      <c r="T11" s="379">
        <v>4.2000000000000003E-2</v>
      </c>
      <c r="U11" s="267">
        <v>1.0740000000000001</v>
      </c>
      <c r="V11" s="267">
        <v>1.4990000000000001</v>
      </c>
      <c r="W11" s="267">
        <v>1.915</v>
      </c>
      <c r="X11" s="267">
        <v>2.2429999999999999</v>
      </c>
      <c r="Y11" s="267">
        <v>2.2000000000000002</v>
      </c>
      <c r="Z11" s="267">
        <v>2.2000000000000002</v>
      </c>
      <c r="AA11" s="419">
        <v>2.2999999999999998</v>
      </c>
      <c r="AB11" s="419">
        <v>2.2000000000000002</v>
      </c>
      <c r="AC11" s="420">
        <v>2.5</v>
      </c>
    </row>
    <row r="12" spans="2:46" x14ac:dyDescent="0.3">
      <c r="B12" s="41" t="s">
        <v>524</v>
      </c>
      <c r="D12" s="41"/>
      <c r="H12" s="63"/>
      <c r="I12" s="63"/>
      <c r="J12" s="63"/>
      <c r="K12" s="63"/>
      <c r="L12" s="63"/>
      <c r="M12" s="63"/>
      <c r="N12" s="63"/>
      <c r="O12" s="909"/>
      <c r="P12" s="379"/>
      <c r="Q12" s="379"/>
      <c r="R12" s="379"/>
      <c r="S12" s="379"/>
      <c r="T12" s="379"/>
      <c r="U12" s="379"/>
      <c r="V12" s="379"/>
      <c r="W12" s="379"/>
      <c r="X12" s="379"/>
      <c r="Y12" s="379"/>
      <c r="Z12" s="379"/>
      <c r="AA12" s="379"/>
      <c r="AB12" s="379"/>
      <c r="AC12" s="380"/>
      <c r="AD12" s="34" t="s">
        <v>525</v>
      </c>
    </row>
    <row r="13" spans="2:46" x14ac:dyDescent="0.3">
      <c r="B13" s="545" t="s">
        <v>1295</v>
      </c>
      <c r="D13" s="41"/>
      <c r="H13" s="63"/>
      <c r="I13" s="63"/>
      <c r="J13" s="63"/>
      <c r="K13" s="63"/>
      <c r="L13" s="63"/>
      <c r="M13" s="63"/>
      <c r="N13" s="63"/>
      <c r="O13" s="909"/>
      <c r="P13" s="379">
        <v>3.5110000000000001</v>
      </c>
      <c r="Q13" s="379">
        <v>3.5110000000000001</v>
      </c>
      <c r="R13" s="379">
        <v>3.5110000000000001</v>
      </c>
      <c r="S13" s="379">
        <v>3.5110000000000001</v>
      </c>
      <c r="T13" s="379">
        <v>8.5</v>
      </c>
      <c r="U13" s="379">
        <v>8.5</v>
      </c>
      <c r="V13" s="379">
        <v>8.5</v>
      </c>
      <c r="W13" s="379">
        <v>8.5</v>
      </c>
      <c r="X13" s="379">
        <v>12.3</v>
      </c>
      <c r="Y13" s="379">
        <v>12.3</v>
      </c>
      <c r="Z13" s="379">
        <v>12.3</v>
      </c>
      <c r="AA13" s="379">
        <v>12.3</v>
      </c>
      <c r="AB13" s="1044">
        <v>15.3</v>
      </c>
      <c r="AC13" s="380">
        <v>15.3</v>
      </c>
    </row>
    <row r="14" spans="2:46" ht="29" x14ac:dyDescent="0.35">
      <c r="B14" s="50" t="s">
        <v>526</v>
      </c>
      <c r="C14" s="354"/>
      <c r="D14" s="49"/>
      <c r="E14" s="354"/>
      <c r="F14" s="354"/>
      <c r="G14" s="354"/>
      <c r="H14" s="57">
        <f t="shared" ref="H14:O14" si="5">H9</f>
        <v>1441.7</v>
      </c>
      <c r="I14" s="57">
        <f t="shared" si="5"/>
        <v>1454.7</v>
      </c>
      <c r="J14" s="57">
        <f t="shared" si="5"/>
        <v>1525</v>
      </c>
      <c r="K14" s="57">
        <f t="shared" si="5"/>
        <v>1515.1</v>
      </c>
      <c r="L14" s="57">
        <f t="shared" si="5"/>
        <v>1512.3</v>
      </c>
      <c r="M14" s="57">
        <f t="shared" si="5"/>
        <v>1568.6</v>
      </c>
      <c r="N14" s="57">
        <f t="shared" si="5"/>
        <v>1563.3</v>
      </c>
      <c r="O14" s="48">
        <f t="shared" si="5"/>
        <v>1562.1</v>
      </c>
      <c r="P14" s="384">
        <f t="shared" ref="P14:AC14" si="6">P9 +P12</f>
        <v>1573.9267891323836</v>
      </c>
      <c r="Q14" s="384">
        <f t="shared" si="6"/>
        <v>1585.9354345503814</v>
      </c>
      <c r="R14" s="384">
        <f t="shared" si="6"/>
        <v>1587.9101975616902</v>
      </c>
      <c r="S14" s="384">
        <f t="shared" si="6"/>
        <v>1587.2547789253952</v>
      </c>
      <c r="T14" s="384">
        <f t="shared" si="6"/>
        <v>1587.4214144343857</v>
      </c>
      <c r="U14" s="384">
        <f t="shared" si="6"/>
        <v>1591.6665815728984</v>
      </c>
      <c r="V14" s="384">
        <f t="shared" si="6"/>
        <v>1597.5981128204228</v>
      </c>
      <c r="W14" s="384">
        <f t="shared" si="6"/>
        <v>1605.1922935912212</v>
      </c>
      <c r="X14" s="384">
        <f t="shared" si="6"/>
        <v>1614.118674329608</v>
      </c>
      <c r="Y14" s="384">
        <f t="shared" si="6"/>
        <v>1622.9240123392974</v>
      </c>
      <c r="Z14" s="384">
        <f t="shared" si="6"/>
        <v>1631.7773852169912</v>
      </c>
      <c r="AA14" s="384">
        <f t="shared" si="6"/>
        <v>1641.0802481012545</v>
      </c>
      <c r="AB14" s="384">
        <f t="shared" si="6"/>
        <v>1650.0326668517271</v>
      </c>
      <c r="AC14" s="385">
        <f t="shared" si="6"/>
        <v>1660.2500755702192</v>
      </c>
      <c r="AD14" s="34" t="s">
        <v>527</v>
      </c>
    </row>
    <row r="15" spans="2:46" x14ac:dyDescent="0.3">
      <c r="B15" s="86" t="s">
        <v>528</v>
      </c>
      <c r="C15" s="525"/>
      <c r="D15" s="86"/>
      <c r="E15" s="525"/>
      <c r="F15" s="525"/>
      <c r="G15" s="525"/>
      <c r="H15" s="268">
        <f t="shared" ref="H15:AC15" si="7">H14+H51</f>
        <v>1721.1880000000001</v>
      </c>
      <c r="I15" s="268">
        <f t="shared" si="7"/>
        <v>1739.9560000000001</v>
      </c>
      <c r="J15" s="268">
        <f t="shared" si="7"/>
        <v>1934.885</v>
      </c>
      <c r="K15" s="268">
        <f t="shared" si="7"/>
        <v>1895.6499999999999</v>
      </c>
      <c r="L15" s="268">
        <f t="shared" si="7"/>
        <v>1869.4580000000001</v>
      </c>
      <c r="M15" s="268">
        <f t="shared" si="7"/>
        <v>1953.7849999999999</v>
      </c>
      <c r="N15" s="268">
        <f t="shared" si="7"/>
        <v>1987.319</v>
      </c>
      <c r="O15" s="448">
        <f t="shared" si="7"/>
        <v>2018.9899999999998</v>
      </c>
      <c r="P15" s="264">
        <f t="shared" si="7"/>
        <v>2022.2957583416503</v>
      </c>
      <c r="Q15" s="264">
        <f t="shared" si="7"/>
        <v>2031.8036740533291</v>
      </c>
      <c r="R15" s="264">
        <f t="shared" si="7"/>
        <v>2048.2001403454433</v>
      </c>
      <c r="S15" s="264">
        <f t="shared" si="7"/>
        <v>2058.57848016349</v>
      </c>
      <c r="T15" s="264">
        <f t="shared" si="7"/>
        <v>2071.7208413356898</v>
      </c>
      <c r="U15" s="264">
        <f t="shared" si="7"/>
        <v>2088.3026613211068</v>
      </c>
      <c r="V15" s="264">
        <f t="shared" si="7"/>
        <v>2078.2146087326687</v>
      </c>
      <c r="W15" s="264">
        <f t="shared" si="7"/>
        <v>2084.3130282959828</v>
      </c>
      <c r="X15" s="264">
        <f t="shared" si="7"/>
        <v>2096.9793439641071</v>
      </c>
      <c r="Y15" s="264">
        <f t="shared" si="7"/>
        <v>2084.5458037665771</v>
      </c>
      <c r="Z15" s="264">
        <f t="shared" si="7"/>
        <v>2075.2049630628699</v>
      </c>
      <c r="AA15" s="264">
        <f t="shared" si="7"/>
        <v>2088.6324428113494</v>
      </c>
      <c r="AB15" s="264">
        <f t="shared" si="7"/>
        <v>2100.927072468749</v>
      </c>
      <c r="AC15" s="265">
        <f t="shared" si="7"/>
        <v>2106.4714020317333</v>
      </c>
      <c r="AD15" s="34" t="s">
        <v>529</v>
      </c>
    </row>
    <row r="16" spans="2:46" ht="14.5" x14ac:dyDescent="0.35">
      <c r="M16"/>
    </row>
    <row r="17" spans="2:30" ht="14.5" x14ac:dyDescent="0.35">
      <c r="M17"/>
    </row>
    <row r="18" spans="2:30" ht="14.5" x14ac:dyDescent="0.35">
      <c r="M18"/>
      <c r="N18"/>
      <c r="O18"/>
      <c r="P18"/>
    </row>
    <row r="20" spans="2:30" ht="21.65" customHeight="1" x14ac:dyDescent="0.3">
      <c r="B20" s="1133" t="s">
        <v>208</v>
      </c>
      <c r="C20" s="1133"/>
      <c r="D20" s="1133"/>
      <c r="E20" s="1133"/>
      <c r="F20" s="1133"/>
      <c r="G20" s="1133"/>
      <c r="H20" s="1133"/>
      <c r="I20" s="1133"/>
      <c r="J20" s="1133"/>
      <c r="K20" s="1133"/>
      <c r="L20" s="1133"/>
      <c r="M20" s="1133"/>
      <c r="N20" s="1133"/>
      <c r="O20" s="1133"/>
      <c r="P20" s="1133"/>
      <c r="Q20" s="1133"/>
      <c r="R20" s="1133"/>
      <c r="S20" s="1133"/>
      <c r="T20" s="1133"/>
      <c r="U20" s="1133"/>
      <c r="V20" s="1133"/>
      <c r="W20" s="1133"/>
      <c r="X20" s="1133"/>
      <c r="Y20" s="1133"/>
      <c r="Z20" s="1133"/>
      <c r="AA20" s="1133"/>
      <c r="AB20" s="1133"/>
      <c r="AC20" s="1133"/>
    </row>
    <row r="21" spans="2:30" ht="14.15" customHeight="1" x14ac:dyDescent="0.3">
      <c r="B21" s="1134" t="s">
        <v>530</v>
      </c>
      <c r="C21" s="1134"/>
      <c r="D21" s="1134"/>
      <c r="E21" s="1134"/>
      <c r="F21" s="1134"/>
      <c r="G21" s="1134"/>
      <c r="H21" s="1134"/>
      <c r="I21" s="1134"/>
      <c r="J21" s="1134"/>
      <c r="K21" s="1134"/>
      <c r="L21" s="1134"/>
      <c r="M21" s="1134"/>
      <c r="N21" s="1134"/>
      <c r="O21" s="1134"/>
      <c r="P21" s="1134"/>
      <c r="Q21" s="1134"/>
      <c r="R21" s="1134"/>
      <c r="S21" s="1134"/>
      <c r="T21" s="1134"/>
      <c r="U21" s="1134"/>
      <c r="V21" s="1134"/>
      <c r="W21" s="1134"/>
      <c r="X21" s="1134"/>
      <c r="Y21" s="1134"/>
      <c r="Z21" s="1134"/>
      <c r="AA21" s="1134"/>
      <c r="AB21" s="1134"/>
      <c r="AC21" s="1134"/>
    </row>
    <row r="22" spans="2:30" x14ac:dyDescent="0.3">
      <c r="B22" s="1134"/>
      <c r="C22" s="1134"/>
      <c r="D22" s="1134"/>
      <c r="E22" s="1134"/>
      <c r="F22" s="1134"/>
      <c r="G22" s="1134"/>
      <c r="H22" s="1134"/>
      <c r="I22" s="1134"/>
      <c r="J22" s="1134"/>
      <c r="K22" s="1134"/>
      <c r="L22" s="1134"/>
      <c r="M22" s="1134"/>
      <c r="N22" s="1134"/>
      <c r="O22" s="1134"/>
      <c r="P22" s="1134"/>
      <c r="Q22" s="1134"/>
      <c r="R22" s="1134"/>
      <c r="S22" s="1134"/>
      <c r="T22" s="1134"/>
      <c r="U22" s="1134"/>
      <c r="V22" s="1134"/>
      <c r="W22" s="1134"/>
      <c r="X22" s="1134"/>
      <c r="Y22" s="1134"/>
      <c r="Z22" s="1134"/>
      <c r="AA22" s="1134"/>
      <c r="AB22" s="1134"/>
      <c r="AC22" s="1134"/>
    </row>
    <row r="23" spans="2:30" x14ac:dyDescent="0.3">
      <c r="B23" s="1134"/>
      <c r="C23" s="1134"/>
      <c r="D23" s="1134"/>
      <c r="E23" s="1134"/>
      <c r="F23" s="1134"/>
      <c r="G23" s="1134"/>
      <c r="H23" s="1134"/>
      <c r="I23" s="1134"/>
      <c r="J23" s="1134"/>
      <c r="K23" s="1134"/>
      <c r="L23" s="1134"/>
      <c r="M23" s="1134"/>
      <c r="N23" s="1134"/>
      <c r="O23" s="1134"/>
      <c r="P23" s="1134"/>
      <c r="Q23" s="1134"/>
      <c r="R23" s="1134"/>
      <c r="S23" s="1134"/>
      <c r="T23" s="1134"/>
      <c r="U23" s="1134"/>
      <c r="V23" s="1134"/>
      <c r="W23" s="1134"/>
      <c r="X23" s="1134"/>
      <c r="Y23" s="1134"/>
      <c r="Z23" s="1134"/>
      <c r="AA23" s="1134"/>
      <c r="AB23" s="1134"/>
      <c r="AC23" s="1134"/>
    </row>
    <row r="25" spans="2:30" x14ac:dyDescent="0.3">
      <c r="B25" s="1138" t="s">
        <v>400</v>
      </c>
      <c r="C25" s="1139"/>
      <c r="D25" s="1145" t="s">
        <v>401</v>
      </c>
      <c r="E25" s="1146"/>
      <c r="F25" s="1146"/>
      <c r="G25" s="1146"/>
      <c r="H25" s="1146"/>
      <c r="I25" s="1146"/>
      <c r="J25" s="1146"/>
      <c r="K25" s="1146"/>
      <c r="L25" s="1146"/>
      <c r="M25" s="1146"/>
      <c r="N25" s="1146"/>
      <c r="O25" s="1147"/>
      <c r="P25" s="1174" t="s">
        <v>402</v>
      </c>
      <c r="Q25" s="1175"/>
      <c r="R25" s="1175"/>
      <c r="S25" s="1175"/>
      <c r="T25" s="1175"/>
      <c r="U25" s="1175"/>
      <c r="V25" s="1175"/>
      <c r="W25" s="1175"/>
      <c r="X25" s="1175"/>
      <c r="Y25" s="1175"/>
      <c r="Z25" s="1175"/>
      <c r="AA25" s="1175"/>
      <c r="AB25" s="1175"/>
      <c r="AC25" s="1176"/>
    </row>
    <row r="26" spans="2:30" x14ac:dyDescent="0.3">
      <c r="B26" s="1140"/>
      <c r="C26" s="1141"/>
      <c r="D26" s="524">
        <v>2018</v>
      </c>
      <c r="E26" s="1135">
        <v>2019</v>
      </c>
      <c r="F26" s="1136"/>
      <c r="G26" s="1136"/>
      <c r="H26" s="1137"/>
      <c r="I26" s="1135">
        <v>2020</v>
      </c>
      <c r="J26" s="1136"/>
      <c r="K26" s="1136"/>
      <c r="L26" s="1137"/>
      <c r="M26" s="1135">
        <v>2021</v>
      </c>
      <c r="N26" s="1136"/>
      <c r="O26" s="1137"/>
      <c r="P26" s="557">
        <v>2021</v>
      </c>
      <c r="Q26" s="1142">
        <v>2022</v>
      </c>
      <c r="R26" s="1143"/>
      <c r="S26" s="1143"/>
      <c r="T26" s="1144"/>
      <c r="U26" s="1142">
        <v>2023</v>
      </c>
      <c r="V26" s="1143"/>
      <c r="W26" s="1143"/>
      <c r="X26" s="1143"/>
      <c r="Y26" s="1142">
        <v>2024</v>
      </c>
      <c r="Z26" s="1143"/>
      <c r="AA26" s="1143"/>
      <c r="AB26" s="1144"/>
      <c r="AC26" s="329">
        <v>2025</v>
      </c>
    </row>
    <row r="27" spans="2:30" x14ac:dyDescent="0.3">
      <c r="B27" s="1178"/>
      <c r="C27" s="1179"/>
      <c r="D27" s="166" t="s">
        <v>403</v>
      </c>
      <c r="E27" s="166" t="s">
        <v>404</v>
      </c>
      <c r="F27" s="147" t="s">
        <v>405</v>
      </c>
      <c r="G27" s="147" t="s">
        <v>290</v>
      </c>
      <c r="H27" s="154" t="s">
        <v>403</v>
      </c>
      <c r="I27" s="148" t="s">
        <v>404</v>
      </c>
      <c r="J27" s="148" t="s">
        <v>405</v>
      </c>
      <c r="K27" s="148" t="s">
        <v>290</v>
      </c>
      <c r="L27" s="148" t="s">
        <v>403</v>
      </c>
      <c r="M27" s="161" t="s">
        <v>404</v>
      </c>
      <c r="N27" s="148" t="s">
        <v>405</v>
      </c>
      <c r="O27" s="154" t="s">
        <v>290</v>
      </c>
      <c r="P27" s="420" t="s">
        <v>403</v>
      </c>
      <c r="Q27" s="418" t="s">
        <v>404</v>
      </c>
      <c r="R27" s="419" t="s">
        <v>405</v>
      </c>
      <c r="S27" s="419" t="s">
        <v>290</v>
      </c>
      <c r="T27" s="419" t="s">
        <v>403</v>
      </c>
      <c r="U27" s="418" t="s">
        <v>404</v>
      </c>
      <c r="V27" s="419" t="s">
        <v>405</v>
      </c>
      <c r="W27" s="419" t="s">
        <v>290</v>
      </c>
      <c r="X27" s="419" t="s">
        <v>403</v>
      </c>
      <c r="Y27" s="418" t="s">
        <v>404</v>
      </c>
      <c r="Z27" s="384" t="s">
        <v>405</v>
      </c>
      <c r="AA27" s="419" t="s">
        <v>290</v>
      </c>
      <c r="AB27" s="420" t="s">
        <v>403</v>
      </c>
      <c r="AC27" s="71" t="s">
        <v>404</v>
      </c>
    </row>
    <row r="28" spans="2:30" x14ac:dyDescent="0.3">
      <c r="B28" s="65" t="s">
        <v>154</v>
      </c>
      <c r="C28" s="866" t="s">
        <v>531</v>
      </c>
      <c r="D28" s="351"/>
      <c r="E28" s="866"/>
      <c r="F28" s="866"/>
      <c r="G28" s="866"/>
      <c r="H28" s="865">
        <f>'Haver Pivoted'!GS24</f>
        <v>2329.1999999999998</v>
      </c>
      <c r="I28" s="865">
        <f>'Haver Pivoted'!GT24</f>
        <v>2376.9</v>
      </c>
      <c r="J28" s="865">
        <f>'Haver Pivoted'!GU24</f>
        <v>2334.6</v>
      </c>
      <c r="K28" s="865">
        <f>'Haver Pivoted'!GV24</f>
        <v>2346.5</v>
      </c>
      <c r="L28" s="865">
        <f>'Haver Pivoted'!GW24</f>
        <v>2373</v>
      </c>
      <c r="M28" s="865">
        <f>'Haver Pivoted'!GX24</f>
        <v>2408.6999999999998</v>
      </c>
      <c r="N28" s="865">
        <f>'Haver Pivoted'!GY24</f>
        <v>2452.6</v>
      </c>
      <c r="O28" s="551">
        <f>'Haver Pivoted'!GZ24</f>
        <v>2514.9</v>
      </c>
      <c r="P28" s="430"/>
      <c r="Q28" s="430"/>
      <c r="R28" s="430"/>
      <c r="S28" s="430"/>
      <c r="T28" s="430"/>
      <c r="U28" s="430"/>
      <c r="V28" s="430"/>
      <c r="W28" s="430"/>
      <c r="X28" s="430"/>
      <c r="Y28" s="430"/>
      <c r="Z28" s="430"/>
      <c r="AA28" s="430"/>
      <c r="AB28" s="430"/>
      <c r="AC28" s="83"/>
    </row>
    <row r="29" spans="2:30" ht="21" customHeight="1" x14ac:dyDescent="0.3">
      <c r="B29" s="56" t="s">
        <v>532</v>
      </c>
      <c r="C29" s="354"/>
      <c r="D29" s="49"/>
      <c r="E29" s="354"/>
      <c r="F29" s="354"/>
      <c r="G29" s="354"/>
      <c r="H29" s="62"/>
      <c r="I29" s="62"/>
      <c r="J29" s="62"/>
      <c r="K29" s="63"/>
      <c r="L29" s="63"/>
      <c r="M29" s="63">
        <v>9.5846503665249383</v>
      </c>
      <c r="N29" s="63">
        <v>9</v>
      </c>
      <c r="O29" s="909">
        <v>10</v>
      </c>
      <c r="P29" s="379">
        <v>10</v>
      </c>
      <c r="Q29" s="379">
        <v>9</v>
      </c>
      <c r="R29" s="379">
        <v>8</v>
      </c>
      <c r="S29" s="379">
        <v>7</v>
      </c>
      <c r="T29" s="379">
        <v>5.5</v>
      </c>
      <c r="U29" s="379">
        <v>5</v>
      </c>
      <c r="V29" s="379">
        <v>5</v>
      </c>
      <c r="W29" s="379">
        <v>5</v>
      </c>
      <c r="X29" s="379">
        <v>5</v>
      </c>
      <c r="Y29" s="379">
        <v>5</v>
      </c>
      <c r="Z29" s="379"/>
      <c r="AA29" s="379"/>
      <c r="AB29" s="379"/>
      <c r="AC29" s="380"/>
      <c r="AD29" s="38" t="s">
        <v>533</v>
      </c>
    </row>
    <row r="30" spans="2:30" ht="17.5" customHeight="1" x14ac:dyDescent="0.3">
      <c r="B30" s="87" t="s">
        <v>534</v>
      </c>
      <c r="C30" s="354"/>
      <c r="D30" s="49"/>
      <c r="E30" s="354"/>
      <c r="F30" s="354"/>
      <c r="G30" s="354"/>
      <c r="H30" s="57">
        <f>H28</f>
        <v>2329.1999999999998</v>
      </c>
      <c r="I30" s="57">
        <f t="shared" ref="I30:O30" si="8">I28</f>
        <v>2376.9</v>
      </c>
      <c r="J30" s="57">
        <f t="shared" si="8"/>
        <v>2334.6</v>
      </c>
      <c r="K30" s="57">
        <f t="shared" si="8"/>
        <v>2346.5</v>
      </c>
      <c r="L30" s="57">
        <f t="shared" si="8"/>
        <v>2373</v>
      </c>
      <c r="M30" s="57">
        <f t="shared" si="8"/>
        <v>2408.6999999999998</v>
      </c>
      <c r="N30" s="57">
        <f t="shared" si="8"/>
        <v>2452.6</v>
      </c>
      <c r="O30" s="48">
        <f t="shared" si="8"/>
        <v>2514.9</v>
      </c>
      <c r="P30" s="384">
        <f t="shared" ref="P30:U30" si="9">O30*((100+P29)/100)^0.25</f>
        <v>2575.543516678471</v>
      </c>
      <c r="Q30" s="384">
        <f t="shared" si="9"/>
        <v>2631.6341692094484</v>
      </c>
      <c r="R30" s="384">
        <f t="shared" si="9"/>
        <v>2682.757733843011</v>
      </c>
      <c r="S30" s="384">
        <f t="shared" si="9"/>
        <v>2728.521623719575</v>
      </c>
      <c r="T30" s="384">
        <f t="shared" si="9"/>
        <v>2765.2889285658985</v>
      </c>
      <c r="U30" s="384">
        <f t="shared" si="9"/>
        <v>2799.2252025612861</v>
      </c>
      <c r="V30" s="384">
        <f t="shared" ref="V30" si="10">U30*((100+V29)/100)^0.25</f>
        <v>2833.5779504667935</v>
      </c>
      <c r="W30" s="384">
        <f t="shared" ref="W30" si="11">V30*((100+W29)/100)^0.25</f>
        <v>2868.3522833478787</v>
      </c>
      <c r="X30" s="384">
        <f t="shared" ref="X30" si="12">W30*((100+X29)/100)^0.25</f>
        <v>2903.5533749941942</v>
      </c>
      <c r="Y30" s="384">
        <f t="shared" ref="Y30" si="13">X30*((100+Y29)/100)^0.25</f>
        <v>2939.1864626893512</v>
      </c>
      <c r="Z30" s="384">
        <f t="shared" ref="Z30" si="14">Y30*((100+Z29)/100)^0.25</f>
        <v>2939.1864626893512</v>
      </c>
      <c r="AA30" s="384">
        <f t="shared" ref="AA30" si="15">Z30*((100+AA29)/100)^0.25</f>
        <v>2939.1864626893512</v>
      </c>
      <c r="AB30" s="384">
        <f t="shared" ref="AB30" si="16">AA30*((100+AB29)/100)^0.25</f>
        <v>2939.1864626893512</v>
      </c>
      <c r="AC30" s="385">
        <f t="shared" ref="AC30" si="17">AB30*((100+AC29)/100)^0.25</f>
        <v>2939.1864626893512</v>
      </c>
    </row>
    <row r="31" spans="2:30" x14ac:dyDescent="0.3">
      <c r="B31" s="86" t="s">
        <v>535</v>
      </c>
      <c r="C31" s="525"/>
      <c r="D31" s="86"/>
      <c r="E31" s="525"/>
      <c r="F31" s="525"/>
      <c r="G31" s="525"/>
      <c r="H31" s="268">
        <f t="shared" ref="H31:O31" si="18">H28-H51</f>
        <v>2049.712</v>
      </c>
      <c r="I31" s="268">
        <f t="shared" si="18"/>
        <v>2091.6440000000002</v>
      </c>
      <c r="J31" s="268">
        <f t="shared" si="18"/>
        <v>1924.7149999999999</v>
      </c>
      <c r="K31" s="268">
        <f t="shared" si="18"/>
        <v>1965.95</v>
      </c>
      <c r="L31" s="268">
        <f t="shared" si="18"/>
        <v>2015.8420000000001</v>
      </c>
      <c r="M31" s="268">
        <f t="shared" si="18"/>
        <v>2023.5149999999999</v>
      </c>
      <c r="N31" s="268">
        <f t="shared" si="18"/>
        <v>2028.5809999999999</v>
      </c>
      <c r="O31" s="448">
        <f t="shared" si="18"/>
        <v>2058.0100000000002</v>
      </c>
      <c r="P31" s="264">
        <f t="shared" ref="P31:AC31" si="19">P30-P51</f>
        <v>2127.1745474692043</v>
      </c>
      <c r="Q31" s="264">
        <f t="shared" si="19"/>
        <v>2185.7659297065006</v>
      </c>
      <c r="R31" s="264">
        <f t="shared" si="19"/>
        <v>2222.4677910592582</v>
      </c>
      <c r="S31" s="264">
        <f t="shared" si="19"/>
        <v>2257.19792248148</v>
      </c>
      <c r="T31" s="264">
        <f t="shared" si="19"/>
        <v>2280.9895016645942</v>
      </c>
      <c r="U31" s="264">
        <f t="shared" si="19"/>
        <v>2302.5891228130777</v>
      </c>
      <c r="V31" s="264">
        <f t="shared" si="19"/>
        <v>2352.9614545545478</v>
      </c>
      <c r="W31" s="264">
        <f t="shared" si="19"/>
        <v>2389.2315486431171</v>
      </c>
      <c r="X31" s="264">
        <f t="shared" si="19"/>
        <v>2420.6927053596951</v>
      </c>
      <c r="Y31" s="264">
        <f t="shared" si="19"/>
        <v>2477.5646712620714</v>
      </c>
      <c r="Z31" s="264">
        <f t="shared" si="19"/>
        <v>2495.7588848434725</v>
      </c>
      <c r="AA31" s="264">
        <f t="shared" si="19"/>
        <v>2491.634267979256</v>
      </c>
      <c r="AB31" s="264">
        <f t="shared" si="19"/>
        <v>2488.292057072329</v>
      </c>
      <c r="AC31" s="265">
        <f t="shared" si="19"/>
        <v>2492.9651362278373</v>
      </c>
      <c r="AD31" s="34" t="s">
        <v>536</v>
      </c>
    </row>
    <row r="32" spans="2:30" x14ac:dyDescent="0.3">
      <c r="B32" s="354"/>
      <c r="C32" s="354"/>
      <c r="D32" s="354"/>
      <c r="E32" s="354"/>
      <c r="F32" s="354"/>
      <c r="G32" s="354"/>
      <c r="H32" s="667" t="e">
        <f t="shared" ref="H32:L32" si="20">(H31/G31)^4-1</f>
        <v>#DIV/0!</v>
      </c>
      <c r="I32" s="667">
        <f t="shared" si="20"/>
        <v>8.4375512359762039E-2</v>
      </c>
      <c r="J32" s="667">
        <f t="shared" si="20"/>
        <v>-0.28300744302674896</v>
      </c>
      <c r="K32" s="667">
        <f t="shared" si="20"/>
        <v>8.848926220761677E-2</v>
      </c>
      <c r="L32" s="667">
        <f t="shared" si="20"/>
        <v>0.10544231537179294</v>
      </c>
      <c r="M32" s="667">
        <f>(M31/L31)^4-1</f>
        <v>1.5312550207230657E-2</v>
      </c>
      <c r="N32" s="667">
        <f>(N31/M31)^4-1</f>
        <v>1.0051927182471054E-2</v>
      </c>
      <c r="O32" s="667">
        <f>(O31/N31)^4-1</f>
        <v>5.9303747728829848E-2</v>
      </c>
      <c r="P32" s="667">
        <f t="shared" ref="P32:R32" si="21">(P31/O31)^4-1</f>
        <v>0.1413598432157952</v>
      </c>
      <c r="Q32" s="667">
        <f t="shared" si="21"/>
        <v>0.11481318716628053</v>
      </c>
      <c r="R32" s="667">
        <f t="shared" si="21"/>
        <v>6.8875922146102386E-2</v>
      </c>
      <c r="S32" s="667">
        <f t="shared" ref="S32" si="22">(S31/R31)^4-1</f>
        <v>6.3987840239808635E-2</v>
      </c>
      <c r="T32" s="667">
        <f t="shared" ref="T32" si="23">(T31/S31)^4-1</f>
        <v>4.28325495987536E-2</v>
      </c>
      <c r="U32" s="667">
        <f t="shared" ref="U32" si="24">(U31/T31)^4-1</f>
        <v>3.8419056291199905E-2</v>
      </c>
      <c r="V32" s="667">
        <f t="shared" ref="V32" si="25">(V31/U31)^4-1</f>
        <v>9.0419114799404898E-2</v>
      </c>
      <c r="W32" s="667">
        <f t="shared" ref="W32" si="26">(W31/V31)^4-1</f>
        <v>6.3099005761817928E-2</v>
      </c>
      <c r="X32" s="667">
        <f t="shared" ref="X32" si="27">(X31/W31)^4-1</f>
        <v>5.3721115135747732E-2</v>
      </c>
      <c r="Y32" s="667">
        <f t="shared" ref="Y32" si="28">(Y31/X31)^4-1</f>
        <v>9.7340359304695756E-2</v>
      </c>
      <c r="Z32" s="667">
        <f t="shared" ref="Z32" si="29">(Z31/Y31)^4-1</f>
        <v>2.9699507722056762E-2</v>
      </c>
    </row>
    <row r="33" spans="2:29" x14ac:dyDescent="0.3">
      <c r="B33" s="354"/>
      <c r="C33" s="354"/>
      <c r="D33" s="354"/>
      <c r="E33" s="354"/>
      <c r="F33" s="354"/>
      <c r="G33" s="354"/>
      <c r="H33" s="57"/>
      <c r="I33" s="57"/>
      <c r="J33" s="57"/>
      <c r="K33" s="57"/>
      <c r="L33" s="57"/>
      <c r="M33" s="57"/>
      <c r="N33" s="57"/>
      <c r="O33" s="57"/>
      <c r="P33" s="57"/>
      <c r="Q33" s="57"/>
      <c r="R33" s="57"/>
      <c r="S33" s="57"/>
      <c r="T33" s="57"/>
      <c r="U33" s="57"/>
      <c r="V33" s="57"/>
      <c r="W33" s="57"/>
      <c r="X33" s="57"/>
      <c r="Y33" s="57"/>
      <c r="Z33" s="57"/>
    </row>
    <row r="34" spans="2:29" ht="39" customHeight="1" x14ac:dyDescent="0.3">
      <c r="B34" s="492" t="s">
        <v>537</v>
      </c>
      <c r="C34" s="929" t="s">
        <v>538</v>
      </c>
      <c r="D34" s="869">
        <v>44197</v>
      </c>
      <c r="E34" s="870">
        <v>44228</v>
      </c>
      <c r="F34" s="870">
        <v>44256</v>
      </c>
      <c r="G34" s="870">
        <v>44287</v>
      </c>
      <c r="H34" s="870">
        <v>44317</v>
      </c>
      <c r="I34" s="870">
        <v>44348</v>
      </c>
      <c r="J34" s="870">
        <v>44378</v>
      </c>
      <c r="K34" s="870">
        <v>44409</v>
      </c>
      <c r="L34" s="870">
        <v>44440</v>
      </c>
      <c r="M34" s="870">
        <v>44470</v>
      </c>
      <c r="N34" s="870">
        <v>44501</v>
      </c>
      <c r="O34" s="871">
        <v>44531</v>
      </c>
      <c r="P34" s="57"/>
      <c r="Q34" s="57"/>
      <c r="R34" s="57"/>
      <c r="S34" s="57"/>
      <c r="T34" s="57"/>
      <c r="U34" s="57"/>
      <c r="V34" s="57"/>
      <c r="W34" s="57"/>
      <c r="X34" s="57"/>
      <c r="Y34" s="57"/>
      <c r="Z34" s="57"/>
    </row>
    <row r="35" spans="2:29" ht="19.5" customHeight="1" x14ac:dyDescent="0.35">
      <c r="B35" s="253" t="s">
        <v>539</v>
      </c>
      <c r="C35" s="233" t="s">
        <v>540</v>
      </c>
      <c r="D35" s="872">
        <v>5008</v>
      </c>
      <c r="E35" s="835">
        <v>4955</v>
      </c>
      <c r="F35" s="835">
        <v>4967</v>
      </c>
      <c r="G35" s="835">
        <v>4977</v>
      </c>
      <c r="H35" s="835">
        <v>5018</v>
      </c>
      <c r="I35" s="233">
        <v>5074</v>
      </c>
      <c r="J35" s="835">
        <v>5085</v>
      </c>
      <c r="K35" s="835">
        <v>5060</v>
      </c>
      <c r="L35" s="873"/>
      <c r="M35" s="873"/>
      <c r="N35" s="873"/>
      <c r="O35" s="874"/>
      <c r="P35" s="493"/>
      <c r="Q35" s="493"/>
      <c r="R35" s="57"/>
      <c r="S35" s="57"/>
      <c r="T35" s="57"/>
      <c r="U35" s="57"/>
      <c r="V35" s="57"/>
      <c r="W35" s="57"/>
      <c r="X35" s="57"/>
      <c r="Y35" s="57"/>
      <c r="Z35" s="57"/>
    </row>
    <row r="36" spans="2:29" ht="18" customHeight="1" x14ac:dyDescent="0.35">
      <c r="B36" s="49" t="s">
        <v>541</v>
      </c>
      <c r="C36" s="34" t="s">
        <v>542</v>
      </c>
      <c r="D36" s="425">
        <v>13683</v>
      </c>
      <c r="E36" s="220">
        <v>13644</v>
      </c>
      <c r="F36" s="220">
        <v>13687</v>
      </c>
      <c r="G36" s="220">
        <v>13717</v>
      </c>
      <c r="H36" s="220">
        <v>13743</v>
      </c>
      <c r="I36" s="220">
        <v>13848</v>
      </c>
      <c r="J36" s="834">
        <v>14083</v>
      </c>
      <c r="K36" s="220">
        <v>14097</v>
      </c>
      <c r="L36"/>
      <c r="M36"/>
      <c r="N36"/>
      <c r="O36" s="930"/>
      <c r="P36"/>
      <c r="Q36"/>
      <c r="R36" s="57"/>
      <c r="S36" s="57"/>
      <c r="T36" s="57"/>
      <c r="U36" s="57"/>
      <c r="V36" s="57"/>
      <c r="W36" s="57"/>
      <c r="X36" s="57"/>
      <c r="Y36" s="57"/>
      <c r="Z36" s="57"/>
    </row>
    <row r="37" spans="2:29" ht="19.5" customHeight="1" x14ac:dyDescent="0.35">
      <c r="B37" s="86" t="s">
        <v>543</v>
      </c>
      <c r="C37" s="42" t="s">
        <v>544</v>
      </c>
      <c r="D37" s="494">
        <v>328517</v>
      </c>
      <c r="E37" s="280">
        <v>320118</v>
      </c>
      <c r="F37" s="280">
        <v>319991</v>
      </c>
      <c r="G37" s="280">
        <v>321220</v>
      </c>
      <c r="H37" s="280">
        <v>319056</v>
      </c>
      <c r="I37" s="268">
        <v>315198</v>
      </c>
      <c r="J37" s="836">
        <v>317242</v>
      </c>
      <c r="K37" s="280">
        <v>319870</v>
      </c>
      <c r="L37" s="875"/>
      <c r="M37" s="875"/>
      <c r="N37" s="875"/>
      <c r="O37" s="454"/>
      <c r="P37"/>
      <c r="Q37"/>
      <c r="R37" s="57"/>
      <c r="S37" s="57"/>
      <c r="T37" s="57"/>
      <c r="U37" s="57"/>
      <c r="V37" s="57"/>
      <c r="W37" s="57"/>
      <c r="X37" s="57"/>
      <c r="Y37" s="57"/>
      <c r="Z37" s="57"/>
    </row>
    <row r="38" spans="2:29" ht="14.5" x14ac:dyDescent="0.35">
      <c r="B38" s="68"/>
      <c r="C38" s="354"/>
      <c r="D38" s="354"/>
      <c r="E38" s="354"/>
      <c r="F38" s="354"/>
      <c r="G38" s="354"/>
      <c r="H38" s="57"/>
      <c r="I38" s="57"/>
      <c r="J38" s="57"/>
      <c r="K38"/>
      <c r="L38"/>
      <c r="M38"/>
      <c r="N38"/>
      <c r="O38"/>
      <c r="P38"/>
      <c r="Q38"/>
      <c r="R38" s="57"/>
      <c r="S38" s="57"/>
      <c r="T38" s="57"/>
      <c r="U38" s="57"/>
      <c r="V38" s="57"/>
      <c r="W38" s="57"/>
      <c r="X38" s="57"/>
      <c r="Y38" s="57"/>
      <c r="Z38" s="57"/>
    </row>
    <row r="39" spans="2:29" ht="12.65" customHeight="1" x14ac:dyDescent="0.3"/>
    <row r="40" spans="2:29" x14ac:dyDescent="0.3">
      <c r="B40" s="1133" t="s">
        <v>545</v>
      </c>
      <c r="C40" s="1133"/>
      <c r="D40" s="1133"/>
      <c r="E40" s="1133"/>
      <c r="F40" s="1133"/>
      <c r="G40" s="1133"/>
      <c r="H40" s="1133"/>
      <c r="I40" s="1133"/>
      <c r="J40" s="1133"/>
      <c r="K40" s="1133"/>
      <c r="L40" s="1133"/>
      <c r="M40" s="1133"/>
      <c r="N40" s="1133"/>
      <c r="O40" s="1133"/>
      <c r="P40" s="1133"/>
      <c r="Q40" s="1133"/>
      <c r="R40" s="1133"/>
      <c r="S40" s="1133"/>
      <c r="T40" s="1133"/>
      <c r="U40" s="1133"/>
      <c r="V40" s="1133"/>
      <c r="W40" s="1133"/>
      <c r="X40" s="1133"/>
      <c r="Y40" s="1133"/>
      <c r="Z40" s="1133"/>
      <c r="AA40" s="1133"/>
      <c r="AB40" s="1133"/>
      <c r="AC40" s="1133"/>
    </row>
    <row r="41" spans="2:29" ht="9" customHeight="1" x14ac:dyDescent="0.3">
      <c r="B41" s="1133"/>
      <c r="C41" s="1133"/>
      <c r="D41" s="1133"/>
      <c r="E41" s="1133"/>
      <c r="F41" s="1133"/>
      <c r="G41" s="1133"/>
      <c r="H41" s="1133"/>
      <c r="I41" s="1133"/>
      <c r="J41" s="1133"/>
      <c r="K41" s="1133"/>
      <c r="L41" s="1133"/>
      <c r="M41" s="1133"/>
      <c r="N41" s="1133"/>
      <c r="O41" s="1133"/>
      <c r="P41" s="1133"/>
      <c r="Q41" s="1133"/>
      <c r="R41" s="1133"/>
      <c r="S41" s="1133"/>
      <c r="T41" s="1133"/>
      <c r="U41" s="1133"/>
      <c r="V41" s="1133"/>
      <c r="W41" s="1133"/>
      <c r="X41" s="1133"/>
      <c r="Y41" s="1133"/>
      <c r="Z41" s="1133"/>
      <c r="AA41" s="1133"/>
      <c r="AB41" s="1133"/>
      <c r="AC41" s="1133"/>
    </row>
    <row r="42" spans="2:29" ht="14.15" customHeight="1" x14ac:dyDescent="0.3">
      <c r="B42" s="1197" t="s">
        <v>546</v>
      </c>
      <c r="C42" s="1197"/>
      <c r="D42" s="1197"/>
      <c r="E42" s="1197"/>
      <c r="F42" s="1197"/>
      <c r="G42" s="1197"/>
      <c r="H42" s="1197"/>
      <c r="I42" s="1197"/>
      <c r="J42" s="1197"/>
      <c r="K42" s="1197"/>
      <c r="L42" s="1197"/>
      <c r="M42" s="1197"/>
      <c r="N42" s="1197"/>
      <c r="O42" s="1197"/>
      <c r="P42" s="1197"/>
      <c r="Q42" s="1197"/>
      <c r="R42" s="1197"/>
      <c r="S42" s="1197"/>
      <c r="T42" s="1197"/>
      <c r="U42" s="1197"/>
      <c r="V42" s="1197"/>
      <c r="W42" s="1197"/>
      <c r="X42" s="1197"/>
      <c r="Y42" s="1197"/>
      <c r="Z42" s="1197"/>
      <c r="AA42" s="1197"/>
      <c r="AB42" s="1197"/>
      <c r="AC42" s="1197"/>
    </row>
    <row r="43" spans="2:29" x14ac:dyDescent="0.3">
      <c r="B43" s="1197"/>
      <c r="C43" s="1197"/>
      <c r="D43" s="1197"/>
      <c r="E43" s="1197"/>
      <c r="F43" s="1197"/>
      <c r="G43" s="1197"/>
      <c r="H43" s="1197"/>
      <c r="I43" s="1197"/>
      <c r="J43" s="1197"/>
      <c r="K43" s="1197"/>
      <c r="L43" s="1197"/>
      <c r="M43" s="1197"/>
      <c r="N43" s="1197"/>
      <c r="O43" s="1197"/>
      <c r="P43" s="1197"/>
      <c r="Q43" s="1197"/>
      <c r="R43" s="1197"/>
      <c r="S43" s="1197"/>
      <c r="T43" s="1197"/>
      <c r="U43" s="1197"/>
      <c r="V43" s="1197"/>
      <c r="W43" s="1197"/>
      <c r="X43" s="1197"/>
      <c r="Y43" s="1197"/>
      <c r="Z43" s="1197"/>
      <c r="AA43" s="1197"/>
      <c r="AB43" s="1197"/>
      <c r="AC43" s="1197"/>
    </row>
    <row r="44" spans="2:29" ht="8.5" customHeight="1" x14ac:dyDescent="0.3">
      <c r="B44" s="1197"/>
      <c r="C44" s="1197"/>
      <c r="D44" s="1197"/>
      <c r="E44" s="1197"/>
      <c r="F44" s="1197"/>
      <c r="G44" s="1197"/>
      <c r="H44" s="1197"/>
      <c r="I44" s="1197"/>
      <c r="J44" s="1197"/>
      <c r="K44" s="1197"/>
      <c r="L44" s="1197"/>
      <c r="M44" s="1197"/>
      <c r="N44" s="1197"/>
      <c r="O44" s="1197"/>
      <c r="P44" s="1197"/>
      <c r="Q44" s="1197"/>
      <c r="R44" s="1197"/>
      <c r="S44" s="1197"/>
      <c r="T44" s="1197"/>
      <c r="U44" s="1197"/>
      <c r="V44" s="1197"/>
      <c r="W44" s="1197"/>
      <c r="X44" s="1197"/>
      <c r="Y44" s="1197"/>
      <c r="Z44" s="1197"/>
      <c r="AA44" s="1197"/>
      <c r="AB44" s="1197"/>
      <c r="AC44" s="1197"/>
    </row>
    <row r="45" spans="2:29" ht="12.65" customHeight="1" x14ac:dyDescent="0.3"/>
    <row r="46" spans="2:29" ht="30.65" customHeight="1" x14ac:dyDescent="0.3">
      <c r="B46" s="1138" t="s">
        <v>400</v>
      </c>
      <c r="C46" s="1198"/>
      <c r="D46" s="1145" t="s">
        <v>401</v>
      </c>
      <c r="E46" s="1146"/>
      <c r="F46" s="1146"/>
      <c r="G46" s="1146"/>
      <c r="H46" s="1146"/>
      <c r="I46" s="1146"/>
      <c r="J46" s="1146"/>
      <c r="K46" s="1146"/>
      <c r="L46" s="1146"/>
      <c r="M46" s="1146"/>
      <c r="N46" s="1146"/>
      <c r="O46" s="1147"/>
      <c r="P46" s="1174" t="s">
        <v>402</v>
      </c>
      <c r="Q46" s="1175"/>
      <c r="R46" s="1175"/>
      <c r="S46" s="1175"/>
      <c r="T46" s="1175"/>
      <c r="U46" s="1175"/>
      <c r="V46" s="1175"/>
      <c r="W46" s="1175"/>
      <c r="X46" s="1175"/>
      <c r="Y46" s="1175"/>
      <c r="Z46" s="1175"/>
      <c r="AA46" s="1175"/>
      <c r="AB46" s="1175"/>
      <c r="AC46" s="1176"/>
    </row>
    <row r="47" spans="2:29" x14ac:dyDescent="0.3">
      <c r="B47" s="1140"/>
      <c r="C47" s="1199"/>
      <c r="D47" s="524">
        <v>2018</v>
      </c>
      <c r="E47" s="1135">
        <v>2019</v>
      </c>
      <c r="F47" s="1136"/>
      <c r="G47" s="1136"/>
      <c r="H47" s="1137"/>
      <c r="I47" s="1135">
        <v>2020</v>
      </c>
      <c r="J47" s="1136"/>
      <c r="K47" s="1136"/>
      <c r="L47" s="1137"/>
      <c r="M47" s="1135">
        <v>2021</v>
      </c>
      <c r="N47" s="1136"/>
      <c r="O47" s="1137"/>
      <c r="P47" s="557">
        <v>2021</v>
      </c>
      <c r="Q47" s="1142">
        <v>2022</v>
      </c>
      <c r="R47" s="1143"/>
      <c r="S47" s="1143"/>
      <c r="T47" s="1144"/>
      <c r="U47" s="1142">
        <v>2023</v>
      </c>
      <c r="V47" s="1143"/>
      <c r="W47" s="1143"/>
      <c r="X47" s="1143"/>
      <c r="Y47" s="1142">
        <v>2024</v>
      </c>
      <c r="Z47" s="1143"/>
      <c r="AA47" s="1143"/>
      <c r="AB47" s="1144"/>
      <c r="AC47" s="329">
        <v>2025</v>
      </c>
    </row>
    <row r="48" spans="2:29" x14ac:dyDescent="0.3">
      <c r="B48" s="1178"/>
      <c r="C48" s="1200"/>
      <c r="D48" s="166" t="s">
        <v>403</v>
      </c>
      <c r="E48" s="166" t="s">
        <v>404</v>
      </c>
      <c r="F48" s="147" t="s">
        <v>405</v>
      </c>
      <c r="G48" s="147" t="s">
        <v>290</v>
      </c>
      <c r="H48" s="154" t="s">
        <v>403</v>
      </c>
      <c r="I48" s="148" t="s">
        <v>404</v>
      </c>
      <c r="J48" s="148" t="s">
        <v>405</v>
      </c>
      <c r="K48" s="148" t="s">
        <v>290</v>
      </c>
      <c r="L48" s="148" t="s">
        <v>403</v>
      </c>
      <c r="M48" s="161" t="s">
        <v>404</v>
      </c>
      <c r="N48" s="148" t="s">
        <v>405</v>
      </c>
      <c r="O48" s="154" t="s">
        <v>290</v>
      </c>
      <c r="P48" s="420" t="s">
        <v>403</v>
      </c>
      <c r="Q48" s="418" t="s">
        <v>404</v>
      </c>
      <c r="R48" s="419" t="s">
        <v>405</v>
      </c>
      <c r="S48" s="419" t="s">
        <v>290</v>
      </c>
      <c r="T48" s="419" t="s">
        <v>403</v>
      </c>
      <c r="U48" s="418" t="s">
        <v>404</v>
      </c>
      <c r="V48" s="419" t="s">
        <v>405</v>
      </c>
      <c r="W48" s="419" t="s">
        <v>290</v>
      </c>
      <c r="X48" s="419" t="s">
        <v>403</v>
      </c>
      <c r="Y48" s="418" t="s">
        <v>404</v>
      </c>
      <c r="Z48" s="384" t="s">
        <v>405</v>
      </c>
      <c r="AA48" s="419" t="s">
        <v>290</v>
      </c>
      <c r="AB48" s="420" t="s">
        <v>403</v>
      </c>
      <c r="AC48" s="71" t="s">
        <v>404</v>
      </c>
    </row>
    <row r="49" spans="2:58" x14ac:dyDescent="0.3">
      <c r="B49" s="65" t="s">
        <v>177</v>
      </c>
      <c r="C49" s="866"/>
      <c r="D49" s="351"/>
      <c r="E49" s="866"/>
      <c r="F49" s="866"/>
      <c r="G49" s="866"/>
      <c r="H49" s="442">
        <f>Grants!H98</f>
        <v>70.894000000000005</v>
      </c>
      <c r="I49" s="442">
        <f>Grants!I98</f>
        <v>72.774000000000001</v>
      </c>
      <c r="J49" s="442">
        <f>Grants!J98</f>
        <v>75.275000000000006</v>
      </c>
      <c r="K49" s="442">
        <f>Grants!K98</f>
        <v>78.766999999999996</v>
      </c>
      <c r="L49" s="442">
        <f>Grants!L98</f>
        <v>76.995000000000005</v>
      </c>
      <c r="M49" s="442">
        <f>Grants!M98</f>
        <v>75.03</v>
      </c>
      <c r="N49" s="442">
        <f>Grants!N98</f>
        <v>77.703999999999994</v>
      </c>
      <c r="O49" s="867">
        <f>Grants!O98</f>
        <v>72.766999999999996</v>
      </c>
      <c r="P49" s="430">
        <f>Grants!P98</f>
        <v>75.34842857142857</v>
      </c>
      <c r="Q49" s="430">
        <f>Grants!Q98</f>
        <v>75.34842857142857</v>
      </c>
      <c r="R49" s="430">
        <f>Grants!R98</f>
        <v>75.34842857142857</v>
      </c>
      <c r="S49" s="430">
        <f>Grants!S98</f>
        <v>75.34842857142857</v>
      </c>
      <c r="T49" s="430">
        <f>Grants!T98</f>
        <v>75.34842857142857</v>
      </c>
      <c r="U49" s="430">
        <f>Grants!U98</f>
        <v>75.34842857142857</v>
      </c>
      <c r="V49" s="430">
        <f>Grants!V98</f>
        <v>75.34842857142857</v>
      </c>
      <c r="W49" s="430">
        <f>Grants!W98</f>
        <v>75.34842857142857</v>
      </c>
      <c r="X49" s="430">
        <f>Grants!X98</f>
        <v>75.34842857142857</v>
      </c>
      <c r="Y49" s="430">
        <f>Grants!Y98</f>
        <v>75.34842857142857</v>
      </c>
      <c r="Z49" s="430">
        <f>Grants!Z98</f>
        <v>75.34842857142857</v>
      </c>
      <c r="AA49" s="430">
        <f>Grants!AA98</f>
        <v>75.34842857142857</v>
      </c>
      <c r="AB49" s="430">
        <f>Grants!AB98</f>
        <v>75.34842857142857</v>
      </c>
      <c r="AC49" s="83">
        <f>Grants!AC98</f>
        <v>75.34842857142857</v>
      </c>
    </row>
    <row r="50" spans="2:58" x14ac:dyDescent="0.3">
      <c r="B50" s="56" t="s">
        <v>236</v>
      </c>
      <c r="C50" s="55"/>
      <c r="D50" s="157"/>
      <c r="E50" s="55"/>
      <c r="F50" s="55"/>
      <c r="G50" s="55"/>
      <c r="H50" s="62">
        <f>Grants!H79</f>
        <v>208.59399999999999</v>
      </c>
      <c r="I50" s="62">
        <f>Grants!I79</f>
        <v>212.48200000000003</v>
      </c>
      <c r="J50" s="62">
        <f>Grants!J79</f>
        <v>334.61</v>
      </c>
      <c r="K50" s="62">
        <f>Grants!K79</f>
        <v>301.78300000000002</v>
      </c>
      <c r="L50" s="62">
        <f>Grants!L79</f>
        <v>280.16300000000001</v>
      </c>
      <c r="M50" s="62">
        <f>Grants!M79</f>
        <v>310.15499999999997</v>
      </c>
      <c r="N50" s="62">
        <f>Grants!N79</f>
        <v>346.31500000000005</v>
      </c>
      <c r="O50" s="931">
        <f>Grants!O79</f>
        <v>384.12299999999988</v>
      </c>
      <c r="P50" s="69">
        <f>Grants!P79</f>
        <v>373.02054063783805</v>
      </c>
      <c r="Q50" s="69">
        <f>Grants!Q79</f>
        <v>370.5198109315192</v>
      </c>
      <c r="R50" s="69">
        <f>Grants!R79</f>
        <v>384.94151421232431</v>
      </c>
      <c r="S50" s="69">
        <f>Grants!S79</f>
        <v>395.97527266666646</v>
      </c>
      <c r="T50" s="69">
        <f>Grants!T79</f>
        <v>408.95099832987557</v>
      </c>
      <c r="U50" s="69">
        <f>Grants!U79</f>
        <v>421.28765117678</v>
      </c>
      <c r="V50" s="69">
        <f>Grants!V79</f>
        <v>405.26806734081725</v>
      </c>
      <c r="W50" s="69">
        <f>Grants!W79</f>
        <v>403.77230613333313</v>
      </c>
      <c r="X50" s="69">
        <f>Grants!X79</f>
        <v>407.51224106307063</v>
      </c>
      <c r="Y50" s="69">
        <f>Grants!Y79</f>
        <v>386.27336285585125</v>
      </c>
      <c r="Z50" s="69">
        <f>Grants!Z79</f>
        <v>368.07914927444995</v>
      </c>
      <c r="AA50" s="69">
        <f>Grants!AA79</f>
        <v>372.20376613866648</v>
      </c>
      <c r="AB50" s="69">
        <f>Grants!AB79</f>
        <v>375.54597704559342</v>
      </c>
      <c r="AC50" s="67">
        <f>Grants!AC79</f>
        <v>370.87289789008526</v>
      </c>
    </row>
    <row r="51" spans="2:58" x14ac:dyDescent="0.3">
      <c r="B51" s="72" t="s">
        <v>547</v>
      </c>
      <c r="C51" s="525"/>
      <c r="D51" s="86"/>
      <c r="E51" s="525"/>
      <c r="F51" s="525"/>
      <c r="G51" s="525"/>
      <c r="H51" s="552">
        <f>H49+H50</f>
        <v>279.488</v>
      </c>
      <c r="I51" s="552">
        <f t="shared" ref="I51:AC51" si="30">I49+I50</f>
        <v>285.25600000000003</v>
      </c>
      <c r="J51" s="552">
        <f t="shared" si="30"/>
        <v>409.88499999999999</v>
      </c>
      <c r="K51" s="552">
        <f t="shared" si="30"/>
        <v>380.55</v>
      </c>
      <c r="L51" s="552">
        <f t="shared" si="30"/>
        <v>357.15800000000002</v>
      </c>
      <c r="M51" s="552">
        <f t="shared" si="30"/>
        <v>385.18499999999995</v>
      </c>
      <c r="N51" s="552">
        <f t="shared" si="30"/>
        <v>424.01900000000006</v>
      </c>
      <c r="O51" s="868">
        <f t="shared" si="30"/>
        <v>456.88999999999987</v>
      </c>
      <c r="P51" s="84">
        <f t="shared" si="30"/>
        <v>448.36896920926665</v>
      </c>
      <c r="Q51" s="84">
        <f t="shared" si="30"/>
        <v>445.86823950294774</v>
      </c>
      <c r="R51" s="84">
        <f t="shared" si="30"/>
        <v>460.28994278375285</v>
      </c>
      <c r="S51" s="84">
        <f t="shared" si="30"/>
        <v>471.32370123809505</v>
      </c>
      <c r="T51" s="84">
        <f t="shared" si="30"/>
        <v>484.29942690130417</v>
      </c>
      <c r="U51" s="84">
        <f t="shared" si="30"/>
        <v>496.63607974820854</v>
      </c>
      <c r="V51" s="84">
        <f t="shared" si="30"/>
        <v>480.6164959122458</v>
      </c>
      <c r="W51" s="84">
        <f t="shared" si="30"/>
        <v>479.12073470476173</v>
      </c>
      <c r="X51" s="84">
        <f t="shared" si="30"/>
        <v>482.86066963449923</v>
      </c>
      <c r="Y51" s="84">
        <f t="shared" si="30"/>
        <v>461.62179142727985</v>
      </c>
      <c r="Z51" s="84">
        <f t="shared" si="30"/>
        <v>443.42757784587855</v>
      </c>
      <c r="AA51" s="84">
        <f t="shared" si="30"/>
        <v>447.55219471009502</v>
      </c>
      <c r="AB51" s="84">
        <f t="shared" si="30"/>
        <v>450.89440561702202</v>
      </c>
      <c r="AC51" s="85">
        <f t="shared" si="30"/>
        <v>446.22132646151385</v>
      </c>
    </row>
    <row r="52" spans="2:58" x14ac:dyDescent="0.3">
      <c r="AM52" s="1203" t="s">
        <v>548</v>
      </c>
      <c r="AN52" s="1204"/>
      <c r="AO52" s="1145" t="s">
        <v>401</v>
      </c>
      <c r="AP52" s="1146"/>
      <c r="AQ52" s="1146"/>
      <c r="AR52" s="1146"/>
      <c r="AS52" s="1146"/>
      <c r="AT52" s="1147"/>
      <c r="AU52" s="1194" t="s">
        <v>402</v>
      </c>
      <c r="AV52" s="1194"/>
      <c r="AW52" s="1194"/>
      <c r="AX52" s="1194"/>
      <c r="AY52" s="1194"/>
      <c r="AZ52" s="1194"/>
      <c r="BA52" s="1194"/>
      <c r="BB52" s="1194"/>
    </row>
    <row r="53" spans="2:58" x14ac:dyDescent="0.3">
      <c r="AM53" s="1205"/>
      <c r="AN53" s="1206"/>
      <c r="AO53" s="932">
        <v>2019</v>
      </c>
      <c r="AP53" s="1135">
        <v>2020</v>
      </c>
      <c r="AQ53" s="1136"/>
      <c r="AR53" s="1136"/>
      <c r="AS53" s="1137"/>
      <c r="AT53" s="932">
        <v>2021</v>
      </c>
      <c r="AU53" s="1142">
        <v>2021</v>
      </c>
      <c r="AV53" s="1143"/>
      <c r="AW53" s="1144"/>
      <c r="AX53" s="1142">
        <v>2022</v>
      </c>
      <c r="AY53" s="1143"/>
      <c r="AZ53" s="1143"/>
      <c r="BA53" s="1144"/>
      <c r="BB53" s="329">
        <v>2023</v>
      </c>
    </row>
    <row r="54" spans="2:58" x14ac:dyDescent="0.3">
      <c r="AM54" s="1205"/>
      <c r="AN54" s="1206"/>
      <c r="AO54" s="167" t="s">
        <v>403</v>
      </c>
      <c r="AP54" s="161" t="s">
        <v>404</v>
      </c>
      <c r="AQ54" s="148" t="s">
        <v>405</v>
      </c>
      <c r="AR54" s="148" t="s">
        <v>290</v>
      </c>
      <c r="AS54" s="154" t="s">
        <v>403</v>
      </c>
      <c r="AT54" s="167" t="s">
        <v>404</v>
      </c>
      <c r="AU54" s="418" t="s">
        <v>405</v>
      </c>
      <c r="AV54" s="419" t="s">
        <v>290</v>
      </c>
      <c r="AW54" s="420" t="s">
        <v>403</v>
      </c>
      <c r="AX54" s="418" t="s">
        <v>404</v>
      </c>
      <c r="AY54" s="419" t="s">
        <v>405</v>
      </c>
      <c r="AZ54" s="419" t="s">
        <v>290</v>
      </c>
      <c r="BA54" s="420" t="s">
        <v>403</v>
      </c>
      <c r="BB54" s="71" t="s">
        <v>404</v>
      </c>
    </row>
    <row r="55" spans="2:58" ht="28" x14ac:dyDescent="0.3">
      <c r="AM55" s="65" t="s">
        <v>549</v>
      </c>
      <c r="AN55" s="491"/>
      <c r="AO55" s="70">
        <v>4.8</v>
      </c>
      <c r="AP55" s="442">
        <v>3.9</v>
      </c>
      <c r="AQ55" s="442">
        <v>3.2</v>
      </c>
      <c r="AR55" s="442">
        <v>3.8</v>
      </c>
      <c r="AS55" s="442">
        <v>3.7</v>
      </c>
      <c r="AT55" s="442">
        <v>3.7</v>
      </c>
      <c r="AU55" s="82">
        <v>3.7</v>
      </c>
      <c r="AV55" s="430">
        <v>3.7</v>
      </c>
      <c r="AW55" s="430">
        <v>3.8</v>
      </c>
      <c r="AX55" s="430">
        <v>3.8</v>
      </c>
      <c r="AY55" s="430">
        <v>3.9</v>
      </c>
      <c r="AZ55" s="430">
        <v>3.9</v>
      </c>
      <c r="BA55" s="430">
        <v>4</v>
      </c>
      <c r="BB55" s="83">
        <v>4</v>
      </c>
    </row>
    <row r="56" spans="2:58" ht="28" x14ac:dyDescent="0.3">
      <c r="AM56" s="89" t="s">
        <v>550</v>
      </c>
      <c r="AN56" s="354"/>
      <c r="AO56" s="64">
        <v>3.3969999999999998</v>
      </c>
      <c r="AP56" s="62">
        <v>4.1660000000000004</v>
      </c>
      <c r="AQ56" s="62">
        <v>-7.6660000000000004</v>
      </c>
      <c r="AR56" s="63">
        <v>-0.84299999999999997</v>
      </c>
      <c r="AS56" s="63">
        <v>2.097</v>
      </c>
      <c r="AT56" s="63">
        <v>9.5879999999999992</v>
      </c>
      <c r="AU56" s="378">
        <v>14.488</v>
      </c>
      <c r="AV56" s="379">
        <v>9.7850000000000001</v>
      </c>
      <c r="AW56" s="379">
        <v>5.202</v>
      </c>
      <c r="AX56" s="379">
        <v>5.4939999999999998</v>
      </c>
      <c r="AY56" s="379">
        <v>5.7560000000000002</v>
      </c>
      <c r="AZ56" s="379">
        <v>4.133</v>
      </c>
      <c r="BA56" s="379">
        <v>3.5270000000000001</v>
      </c>
      <c r="BB56" s="380">
        <v>3.488</v>
      </c>
    </row>
    <row r="57" spans="2:58" x14ac:dyDescent="0.3">
      <c r="AM57" s="34" t="s">
        <v>551</v>
      </c>
      <c r="AO57" s="63">
        <f>AO56</f>
        <v>3.3969999999999998</v>
      </c>
      <c r="AP57" s="63">
        <f t="shared" ref="AP57:AT57" si="31">AP56</f>
        <v>4.1660000000000004</v>
      </c>
      <c r="AQ57" s="63">
        <f t="shared" si="31"/>
        <v>-7.6660000000000004</v>
      </c>
      <c r="AR57" s="63">
        <f t="shared" si="31"/>
        <v>-0.84299999999999997</v>
      </c>
      <c r="AS57" s="63">
        <f t="shared" si="31"/>
        <v>2.097</v>
      </c>
      <c r="AT57" s="63">
        <f t="shared" si="31"/>
        <v>9.5879999999999992</v>
      </c>
      <c r="AU57" s="666">
        <f>N29</f>
        <v>9</v>
      </c>
      <c r="AV57" s="666">
        <f t="shared" ref="AV57:BB57" si="32">O29</f>
        <v>10</v>
      </c>
      <c r="AW57" s="666">
        <f t="shared" si="32"/>
        <v>10</v>
      </c>
      <c r="AX57" s="666">
        <f t="shared" si="32"/>
        <v>9</v>
      </c>
      <c r="AY57" s="666">
        <f t="shared" si="32"/>
        <v>8</v>
      </c>
      <c r="AZ57" s="666">
        <f t="shared" si="32"/>
        <v>7</v>
      </c>
      <c r="BA57" s="666">
        <f t="shared" si="32"/>
        <v>5.5</v>
      </c>
      <c r="BB57" s="666">
        <f t="shared" si="32"/>
        <v>5</v>
      </c>
    </row>
    <row r="58" spans="2:58" x14ac:dyDescent="0.3">
      <c r="AM58" s="1195" t="s">
        <v>552</v>
      </c>
      <c r="AN58" s="1196"/>
      <c r="AO58" s="64"/>
      <c r="AP58" s="62"/>
      <c r="AQ58" s="62"/>
      <c r="AR58" s="63"/>
      <c r="AS58" s="63"/>
      <c r="AT58" s="63"/>
      <c r="AU58" s="378"/>
      <c r="AV58" s="379"/>
      <c r="AW58" s="379"/>
      <c r="AX58" s="379"/>
      <c r="AY58" s="379"/>
      <c r="AZ58" s="379"/>
      <c r="BA58" s="379"/>
      <c r="BB58" s="380"/>
    </row>
    <row r="59" spans="2:58" ht="28" x14ac:dyDescent="0.3">
      <c r="AM59" s="56" t="s">
        <v>553</v>
      </c>
      <c r="AN59" s="39"/>
      <c r="AO59" s="283">
        <v>2368</v>
      </c>
      <c r="AP59" s="282">
        <v>2391</v>
      </c>
      <c r="AQ59" s="282">
        <v>2410</v>
      </c>
      <c r="AR59" s="282">
        <v>2432</v>
      </c>
      <c r="AS59" s="282">
        <v>2455</v>
      </c>
      <c r="AT59" s="282">
        <v>2477</v>
      </c>
      <c r="AU59" s="383">
        <v>2500</v>
      </c>
      <c r="AV59" s="384">
        <v>2523</v>
      </c>
      <c r="AW59" s="384">
        <v>2546</v>
      </c>
      <c r="AX59" s="384">
        <v>2571</v>
      </c>
      <c r="AY59" s="384">
        <v>2595</v>
      </c>
      <c r="AZ59" s="384">
        <v>2621</v>
      </c>
      <c r="BA59" s="384">
        <v>2646</v>
      </c>
      <c r="BB59" s="385">
        <v>2672</v>
      </c>
    </row>
    <row r="60" spans="2:58" ht="28" x14ac:dyDescent="0.3">
      <c r="AM60" s="56" t="s">
        <v>554</v>
      </c>
      <c r="AN60" s="39"/>
      <c r="AO60" s="145">
        <v>2357</v>
      </c>
      <c r="AP60" s="43">
        <v>2382</v>
      </c>
      <c r="AQ60" s="43">
        <v>2335</v>
      </c>
      <c r="AR60" s="43">
        <v>2330</v>
      </c>
      <c r="AS60" s="43">
        <v>2318</v>
      </c>
      <c r="AT60" s="43">
        <v>2339</v>
      </c>
      <c r="AU60" s="418">
        <v>2361</v>
      </c>
      <c r="AV60" s="419">
        <v>2379</v>
      </c>
      <c r="AW60" s="419">
        <v>2397</v>
      </c>
      <c r="AX60" s="419">
        <v>2417</v>
      </c>
      <c r="AY60" s="419">
        <v>2439</v>
      </c>
      <c r="AZ60" s="419">
        <v>2462</v>
      </c>
      <c r="BA60" s="419">
        <v>2486</v>
      </c>
      <c r="BB60" s="420">
        <v>2513</v>
      </c>
    </row>
    <row r="61" spans="2:58" ht="28" x14ac:dyDescent="0.3">
      <c r="AM61" s="56" t="s">
        <v>555</v>
      </c>
      <c r="AN61" s="39"/>
      <c r="AO61" s="495">
        <v>2357.4</v>
      </c>
      <c r="AP61" s="295">
        <v>2381.6</v>
      </c>
      <c r="AQ61" s="295">
        <v>2334.5</v>
      </c>
      <c r="AR61" s="295">
        <v>2329.6</v>
      </c>
      <c r="AS61" s="295">
        <v>2341.6999999999998</v>
      </c>
      <c r="AT61" s="295">
        <v>2395.9</v>
      </c>
      <c r="AU61" s="348">
        <v>2478.4</v>
      </c>
      <c r="AV61" s="349">
        <v>2536.9</v>
      </c>
      <c r="AW61" s="349">
        <v>2569.3000000000002</v>
      </c>
      <c r="AX61" s="349">
        <v>2603.9</v>
      </c>
      <c r="AY61" s="349">
        <v>2640.6</v>
      </c>
      <c r="AZ61" s="349">
        <v>2667.4</v>
      </c>
      <c r="BA61" s="349">
        <v>2690.6</v>
      </c>
      <c r="BB61" s="350">
        <v>2713.8</v>
      </c>
      <c r="BC61" s="496"/>
      <c r="BD61" s="496"/>
      <c r="BE61" s="496"/>
      <c r="BF61" s="496"/>
    </row>
    <row r="62" spans="2:58" x14ac:dyDescent="0.3">
      <c r="AM62" s="1201" t="s">
        <v>556</v>
      </c>
      <c r="AN62" s="1202"/>
      <c r="AO62" s="145"/>
      <c r="AP62" s="43"/>
      <c r="AQ62" s="43"/>
      <c r="AR62" s="43"/>
      <c r="AS62" s="43"/>
      <c r="AT62" s="43"/>
      <c r="AU62" s="418"/>
      <c r="AV62" s="419"/>
      <c r="AW62" s="419"/>
      <c r="AX62" s="419"/>
      <c r="AY62" s="419"/>
      <c r="AZ62" s="419"/>
      <c r="BA62" s="419"/>
      <c r="BB62" s="420"/>
    </row>
    <row r="63" spans="2:58" ht="28" x14ac:dyDescent="0.3">
      <c r="AM63" s="56" t="s">
        <v>553</v>
      </c>
      <c r="AN63" s="39"/>
      <c r="AO63" s="283">
        <f t="shared" ref="AO63:BB63" si="33">AO59-H51</f>
        <v>2088.5120000000002</v>
      </c>
      <c r="AP63" s="282">
        <f t="shared" si="33"/>
        <v>2105.7440000000001</v>
      </c>
      <c r="AQ63" s="282">
        <f t="shared" si="33"/>
        <v>2000.115</v>
      </c>
      <c r="AR63" s="282">
        <f t="shared" si="33"/>
        <v>2051.4499999999998</v>
      </c>
      <c r="AS63" s="282">
        <f t="shared" si="33"/>
        <v>2097.8420000000001</v>
      </c>
      <c r="AT63" s="282">
        <f t="shared" si="33"/>
        <v>2091.8150000000001</v>
      </c>
      <c r="AU63" s="383">
        <f t="shared" si="33"/>
        <v>2075.9809999999998</v>
      </c>
      <c r="AV63" s="384">
        <f t="shared" si="33"/>
        <v>2066.11</v>
      </c>
      <c r="AW63" s="384">
        <f t="shared" si="33"/>
        <v>2097.6310307907333</v>
      </c>
      <c r="AX63" s="384">
        <f t="shared" si="33"/>
        <v>2125.1317604970523</v>
      </c>
      <c r="AY63" s="384">
        <f t="shared" si="33"/>
        <v>2134.7100572162472</v>
      </c>
      <c r="AZ63" s="384">
        <f t="shared" si="33"/>
        <v>2149.6762987619049</v>
      </c>
      <c r="BA63" s="384">
        <f t="shared" si="33"/>
        <v>2161.7005730986957</v>
      </c>
      <c r="BB63" s="385">
        <f t="shared" si="33"/>
        <v>2175.3639202517916</v>
      </c>
    </row>
    <row r="64" spans="2:58" ht="28" x14ac:dyDescent="0.3">
      <c r="AM64" s="56" t="s">
        <v>554</v>
      </c>
      <c r="AN64" s="39"/>
      <c r="AO64" s="283">
        <f t="shared" ref="AO64:BB64" si="34">AO60-H51</f>
        <v>2077.5120000000002</v>
      </c>
      <c r="AP64" s="282">
        <f t="shared" si="34"/>
        <v>2096.7440000000001</v>
      </c>
      <c r="AQ64" s="282">
        <f t="shared" si="34"/>
        <v>1925.115</v>
      </c>
      <c r="AR64" s="282">
        <f t="shared" si="34"/>
        <v>1949.45</v>
      </c>
      <c r="AS64" s="282">
        <f t="shared" si="34"/>
        <v>1960.8420000000001</v>
      </c>
      <c r="AT64" s="282">
        <f t="shared" si="34"/>
        <v>1953.8150000000001</v>
      </c>
      <c r="AU64" s="383">
        <f t="shared" si="34"/>
        <v>1936.981</v>
      </c>
      <c r="AV64" s="384">
        <f t="shared" si="34"/>
        <v>1922.1100000000001</v>
      </c>
      <c r="AW64" s="384">
        <f t="shared" si="34"/>
        <v>1948.6310307907333</v>
      </c>
      <c r="AX64" s="384">
        <f t="shared" si="34"/>
        <v>1971.1317604970523</v>
      </c>
      <c r="AY64" s="384">
        <f t="shared" si="34"/>
        <v>1978.7100572162472</v>
      </c>
      <c r="AZ64" s="384">
        <f t="shared" si="34"/>
        <v>1990.6762987619049</v>
      </c>
      <c r="BA64" s="384">
        <f t="shared" si="34"/>
        <v>2001.7005730986957</v>
      </c>
      <c r="BB64" s="385">
        <f t="shared" si="34"/>
        <v>2016.3639202517916</v>
      </c>
    </row>
    <row r="65" spans="39:54" ht="28" x14ac:dyDescent="0.3">
      <c r="AM65" s="149" t="s">
        <v>555</v>
      </c>
      <c r="AN65" s="497"/>
      <c r="AO65" s="443">
        <f t="shared" ref="AO65:AU65" si="35">AO61-H51</f>
        <v>2077.9120000000003</v>
      </c>
      <c r="AP65" s="444">
        <f t="shared" si="35"/>
        <v>2096.3440000000001</v>
      </c>
      <c r="AQ65" s="444">
        <f t="shared" si="35"/>
        <v>1924.615</v>
      </c>
      <c r="AR65" s="444">
        <f t="shared" si="35"/>
        <v>1949.05</v>
      </c>
      <c r="AS65" s="444">
        <f t="shared" si="35"/>
        <v>1984.5419999999999</v>
      </c>
      <c r="AT65" s="444">
        <f t="shared" si="35"/>
        <v>2010.7150000000001</v>
      </c>
      <c r="AU65" s="445">
        <f t="shared" si="35"/>
        <v>2054.3809999999999</v>
      </c>
      <c r="AV65" s="446">
        <f t="shared" ref="AV65" si="36">AV61-O51</f>
        <v>2080.0100000000002</v>
      </c>
      <c r="AW65" s="446">
        <f t="shared" ref="AW65" si="37">AW61-P51</f>
        <v>2120.9310307907335</v>
      </c>
      <c r="AX65" s="446">
        <f t="shared" ref="AX65" si="38">AX61-Q51</f>
        <v>2158.0317604970523</v>
      </c>
      <c r="AY65" s="446">
        <f t="shared" ref="AY65" si="39">AY61-R51</f>
        <v>2180.3100572162471</v>
      </c>
      <c r="AZ65" s="446">
        <f>AZ61-S51</f>
        <v>2196.076298761905</v>
      </c>
      <c r="BA65" s="446">
        <f>BA61-T51</f>
        <v>2206.3005730986956</v>
      </c>
      <c r="BB65" s="447">
        <f t="shared" ref="BB65" si="40">BB61-U51</f>
        <v>2217.1639202517918</v>
      </c>
    </row>
  </sheetData>
  <mergeCells count="41">
    <mergeCell ref="AM62:AN62"/>
    <mergeCell ref="AM52:AN54"/>
    <mergeCell ref="Q26:T26"/>
    <mergeCell ref="I26:L26"/>
    <mergeCell ref="P25:AC25"/>
    <mergeCell ref="M26:O26"/>
    <mergeCell ref="AU53:AW53"/>
    <mergeCell ref="AX53:BA53"/>
    <mergeCell ref="AM58:AN58"/>
    <mergeCell ref="U26:X26"/>
    <mergeCell ref="U47:X47"/>
    <mergeCell ref="Y26:AB26"/>
    <mergeCell ref="Y47:AB47"/>
    <mergeCell ref="B42:AC44"/>
    <mergeCell ref="B40:AC41"/>
    <mergeCell ref="B46:C48"/>
    <mergeCell ref="I47:L47"/>
    <mergeCell ref="Q47:T47"/>
    <mergeCell ref="E26:H26"/>
    <mergeCell ref="E47:H47"/>
    <mergeCell ref="AP53:AS53"/>
    <mergeCell ref="B25:C27"/>
    <mergeCell ref="AU52:BB52"/>
    <mergeCell ref="D46:O46"/>
    <mergeCell ref="P46:AC46"/>
    <mergeCell ref="M47:O47"/>
    <mergeCell ref="B2:AC4"/>
    <mergeCell ref="B20:AC20"/>
    <mergeCell ref="B21:AC23"/>
    <mergeCell ref="D25:O25"/>
    <mergeCell ref="AO52:AT52"/>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30" zoomScale="63" zoomScaleNormal="80" workbookViewId="0">
      <selection activeCell="J27" sqref="J27"/>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33" t="s">
        <v>73</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2:29" s="129" customFormat="1" ht="14.5" customHeight="1" x14ac:dyDescent="0.35">
      <c r="B2" s="1134" t="s">
        <v>557</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row>
    <row r="3" spans="2:29" s="129" customFormat="1" ht="14.5" customHeight="1" x14ac:dyDescent="0.35">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row>
    <row r="4" spans="2:29" s="129" customFormat="1" ht="14.5" customHeight="1" x14ac:dyDescent="0.35">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row>
    <row r="5" spans="2:29" s="129" customFormat="1" ht="14.5" customHeight="1" x14ac:dyDescent="0.35">
      <c r="B5" s="1134"/>
      <c r="C5" s="1134"/>
      <c r="D5" s="1134"/>
      <c r="E5" s="1134"/>
      <c r="F5" s="1134"/>
      <c r="G5" s="1134"/>
      <c r="H5" s="1134"/>
      <c r="I5" s="1134"/>
      <c r="J5" s="1134"/>
      <c r="K5" s="1134"/>
      <c r="L5" s="1134"/>
      <c r="M5" s="1134"/>
      <c r="N5" s="1134"/>
      <c r="O5" s="1134"/>
      <c r="P5" s="1134"/>
      <c r="Q5" s="1134"/>
      <c r="R5" s="1134"/>
      <c r="S5" s="1134"/>
      <c r="T5" s="1134"/>
      <c r="U5" s="1134"/>
      <c r="V5" s="1134"/>
      <c r="W5" s="1134"/>
      <c r="X5" s="1134"/>
      <c r="Y5" s="1134"/>
      <c r="Z5" s="1134"/>
      <c r="AA5" s="1134"/>
      <c r="AB5" s="1134"/>
      <c r="AC5" s="1134"/>
    </row>
    <row r="6" spans="2:29" s="129" customFormat="1" ht="14.5" customHeight="1" x14ac:dyDescent="0.35">
      <c r="B6" s="1134"/>
      <c r="C6" s="1134"/>
      <c r="D6" s="1134"/>
      <c r="E6" s="1134"/>
      <c r="F6" s="1134"/>
      <c r="G6" s="1134"/>
      <c r="H6" s="1134"/>
      <c r="I6" s="1134"/>
      <c r="J6" s="1134"/>
      <c r="K6" s="1134"/>
      <c r="L6" s="1134"/>
      <c r="M6" s="1134"/>
      <c r="N6" s="1134"/>
      <c r="O6" s="1134"/>
      <c r="P6" s="1134"/>
      <c r="Q6" s="1134"/>
      <c r="R6" s="1134"/>
      <c r="S6" s="1134"/>
      <c r="T6" s="1134"/>
      <c r="U6" s="1134"/>
      <c r="V6" s="1134"/>
      <c r="W6" s="1134"/>
      <c r="X6" s="1134"/>
      <c r="Y6" s="1134"/>
      <c r="Z6" s="1134"/>
      <c r="AA6" s="1134"/>
      <c r="AB6" s="1134"/>
      <c r="AC6" s="1134"/>
    </row>
    <row r="7" spans="2:29" s="129" customFormat="1" ht="33.65" customHeight="1" x14ac:dyDescent="0.35">
      <c r="B7" s="95"/>
      <c r="C7" s="95"/>
      <c r="D7" s="95"/>
      <c r="E7" s="95"/>
      <c r="F7" s="95"/>
      <c r="G7" s="95"/>
      <c r="H7" s="95"/>
      <c r="I7" s="95"/>
      <c r="J7" s="95"/>
      <c r="K7" s="95"/>
      <c r="L7" s="95"/>
      <c r="M7" s="95"/>
      <c r="N7" s="95"/>
      <c r="O7" s="95"/>
      <c r="P7" s="95"/>
      <c r="Q7" s="95"/>
      <c r="R7" s="95"/>
      <c r="S7" s="95"/>
      <c r="T7" s="95"/>
      <c r="U7" s="95"/>
      <c r="V7" s="95"/>
      <c r="W7" s="95"/>
      <c r="X7" s="95"/>
      <c r="Y7" s="95"/>
    </row>
    <row r="8" spans="2:29" ht="14.5" customHeight="1" x14ac:dyDescent="0.35">
      <c r="B8" s="1138" t="s">
        <v>558</v>
      </c>
      <c r="C8" s="1139"/>
      <c r="D8" s="1145" t="s">
        <v>401</v>
      </c>
      <c r="E8" s="1146"/>
      <c r="F8" s="1146"/>
      <c r="G8" s="1146"/>
      <c r="H8" s="1146"/>
      <c r="I8" s="1146"/>
      <c r="J8" s="1146"/>
      <c r="K8" s="1146"/>
      <c r="L8" s="1146"/>
      <c r="M8" s="1146"/>
      <c r="N8" s="1146"/>
      <c r="O8" s="1147"/>
      <c r="P8" s="1174" t="s">
        <v>402</v>
      </c>
      <c r="Q8" s="1175"/>
      <c r="R8" s="1175"/>
      <c r="S8" s="1175"/>
      <c r="T8" s="1175"/>
      <c r="U8" s="1175"/>
      <c r="V8" s="1175"/>
      <c r="W8" s="1175"/>
      <c r="X8" s="1175"/>
      <c r="Y8" s="1175"/>
      <c r="Z8" s="1175"/>
      <c r="AA8" s="1175"/>
      <c r="AB8" s="1175"/>
      <c r="AC8" s="1176"/>
    </row>
    <row r="9" spans="2:29" x14ac:dyDescent="0.35">
      <c r="B9" s="1140"/>
      <c r="C9" s="1141"/>
      <c r="D9" s="524">
        <v>2018</v>
      </c>
      <c r="E9" s="1135">
        <v>2019</v>
      </c>
      <c r="F9" s="1136"/>
      <c r="G9" s="1136"/>
      <c r="H9" s="1137"/>
      <c r="I9" s="1135">
        <v>2020</v>
      </c>
      <c r="J9" s="1136"/>
      <c r="K9" s="1136"/>
      <c r="L9" s="1137"/>
      <c r="M9" s="1135">
        <v>2021</v>
      </c>
      <c r="N9" s="1136"/>
      <c r="O9" s="1137"/>
      <c r="P9" s="557">
        <v>2021</v>
      </c>
      <c r="Q9" s="1142">
        <v>2022</v>
      </c>
      <c r="R9" s="1143"/>
      <c r="S9" s="1143"/>
      <c r="T9" s="1144"/>
      <c r="U9" s="1142">
        <v>2023</v>
      </c>
      <c r="V9" s="1143"/>
      <c r="W9" s="1143"/>
      <c r="X9" s="1143"/>
      <c r="Y9" s="1142">
        <v>2024</v>
      </c>
      <c r="Z9" s="1143"/>
      <c r="AA9" s="1143"/>
      <c r="AB9" s="1144"/>
      <c r="AC9" s="329">
        <v>2025</v>
      </c>
    </row>
    <row r="10" spans="2:29" x14ac:dyDescent="0.35">
      <c r="B10" s="1178"/>
      <c r="C10" s="1179"/>
      <c r="D10" s="166" t="s">
        <v>403</v>
      </c>
      <c r="E10" s="166" t="s">
        <v>404</v>
      </c>
      <c r="F10" s="147" t="s">
        <v>405</v>
      </c>
      <c r="G10" s="147" t="s">
        <v>290</v>
      </c>
      <c r="H10" s="154" t="s">
        <v>403</v>
      </c>
      <c r="I10" s="148" t="s">
        <v>404</v>
      </c>
      <c r="J10" s="148" t="s">
        <v>405</v>
      </c>
      <c r="K10" s="148" t="s">
        <v>290</v>
      </c>
      <c r="L10" s="148" t="s">
        <v>403</v>
      </c>
      <c r="M10" s="161" t="s">
        <v>404</v>
      </c>
      <c r="N10" s="148" t="s">
        <v>405</v>
      </c>
      <c r="O10" s="154" t="s">
        <v>290</v>
      </c>
      <c r="P10" s="420" t="s">
        <v>403</v>
      </c>
      <c r="Q10" s="418" t="s">
        <v>404</v>
      </c>
      <c r="R10" s="419" t="s">
        <v>405</v>
      </c>
      <c r="S10" s="419" t="s">
        <v>290</v>
      </c>
      <c r="T10" s="419" t="s">
        <v>403</v>
      </c>
      <c r="U10" s="418" t="s">
        <v>404</v>
      </c>
      <c r="V10" s="419" t="s">
        <v>405</v>
      </c>
      <c r="W10" s="419" t="s">
        <v>290</v>
      </c>
      <c r="X10" s="419" t="s">
        <v>403</v>
      </c>
      <c r="Y10" s="418" t="s">
        <v>404</v>
      </c>
      <c r="Z10" s="384" t="s">
        <v>405</v>
      </c>
      <c r="AA10" s="419" t="s">
        <v>290</v>
      </c>
      <c r="AB10" s="420" t="s">
        <v>403</v>
      </c>
      <c r="AC10" s="71" t="s">
        <v>404</v>
      </c>
    </row>
    <row r="11" spans="2:29" x14ac:dyDescent="0.35">
      <c r="B11" s="1195" t="s">
        <v>559</v>
      </c>
      <c r="C11" s="1196"/>
      <c r="D11" s="562"/>
      <c r="E11" s="876"/>
      <c r="F11" s="877">
        <v>60.5</v>
      </c>
      <c r="G11" s="877">
        <v>81.400000000000006</v>
      </c>
      <c r="H11" s="615">
        <f>'Haver Pivoted'!GS42</f>
        <v>82.2</v>
      </c>
      <c r="I11" s="615">
        <f>'Haver Pivoted'!GT42</f>
        <v>80.3</v>
      </c>
      <c r="J11" s="615">
        <f>'Haver Pivoted'!GU42</f>
        <v>1123.5999999999999</v>
      </c>
      <c r="K11" s="615">
        <f>'Haver Pivoted'!GV42</f>
        <v>1220.5</v>
      </c>
      <c r="L11" s="615">
        <f>'Haver Pivoted'!GW42</f>
        <v>618.6</v>
      </c>
      <c r="M11" s="615">
        <f>'Haver Pivoted'!GX42</f>
        <v>403.8</v>
      </c>
      <c r="N11" s="615">
        <f>'Haver Pivoted'!GY42</f>
        <v>697</v>
      </c>
      <c r="O11" s="1025">
        <f>'Haver Pivoted'!GZ42</f>
        <v>554.5</v>
      </c>
      <c r="P11" s="614">
        <f>P12+P13</f>
        <v>208.34373240653508</v>
      </c>
      <c r="Q11" s="614">
        <f t="shared" ref="Q11:AC11" si="0">Q12+Q13</f>
        <v>168.88900000000001</v>
      </c>
      <c r="R11" s="614">
        <f t="shared" si="0"/>
        <v>168.88900000000001</v>
      </c>
      <c r="S11" s="614">
        <f t="shared" si="0"/>
        <v>168.88900000000001</v>
      </c>
      <c r="T11" s="614">
        <f t="shared" si="0"/>
        <v>96.298500000000018</v>
      </c>
      <c r="U11" s="614">
        <f t="shared" si="0"/>
        <v>96.298500000000018</v>
      </c>
      <c r="V11" s="614">
        <f t="shared" si="0"/>
        <v>96.298500000000018</v>
      </c>
      <c r="W11" s="614">
        <f t="shared" si="0"/>
        <v>96.298500000000018</v>
      </c>
      <c r="X11" s="614">
        <f t="shared" si="0"/>
        <v>86.300000000000011</v>
      </c>
      <c r="Y11" s="614">
        <f t="shared" si="0"/>
        <v>86.300000000000011</v>
      </c>
      <c r="Z11" s="614">
        <f t="shared" si="0"/>
        <v>86.300000000000011</v>
      </c>
      <c r="AA11" s="614">
        <f t="shared" si="0"/>
        <v>86.300000000000011</v>
      </c>
      <c r="AB11" s="614">
        <f t="shared" si="0"/>
        <v>76.100000000000009</v>
      </c>
      <c r="AC11" s="618">
        <f t="shared" si="0"/>
        <v>76.100000000000009</v>
      </c>
    </row>
    <row r="12" spans="2:29" ht="16.5" customHeight="1" x14ac:dyDescent="0.35">
      <c r="B12" s="94" t="s">
        <v>560</v>
      </c>
      <c r="C12" s="95"/>
      <c r="D12" s="832"/>
      <c r="E12" s="95"/>
      <c r="F12" s="263">
        <f>F11</f>
        <v>60.5</v>
      </c>
      <c r="G12" s="263">
        <f>G11</f>
        <v>81.400000000000006</v>
      </c>
      <c r="H12" s="550">
        <f t="shared" ref="H12:M12" si="1">H11-H13</f>
        <v>82.2</v>
      </c>
      <c r="I12" s="550">
        <f t="shared" si="1"/>
        <v>80.3</v>
      </c>
      <c r="J12" s="550">
        <f>J11-J13</f>
        <v>134.09999999999991</v>
      </c>
      <c r="K12" s="550">
        <f t="shared" si="1"/>
        <v>93.900000000000091</v>
      </c>
      <c r="L12" s="550">
        <f t="shared" si="1"/>
        <v>80.199999999999932</v>
      </c>
      <c r="M12" s="550">
        <f t="shared" si="1"/>
        <v>73.900000000000034</v>
      </c>
      <c r="N12" s="550">
        <f>N11-N13</f>
        <v>76.299999999999955</v>
      </c>
      <c r="O12" s="918">
        <f>O11-O13</f>
        <v>76.383519999999976</v>
      </c>
      <c r="P12" s="381">
        <f>AVERAGE($F$11:$I$11)</f>
        <v>76.100000000000009</v>
      </c>
      <c r="Q12" s="381">
        <f t="shared" ref="Q12:AC12" si="2">AVERAGE($F$11:$I$11)</f>
        <v>76.100000000000009</v>
      </c>
      <c r="R12" s="381">
        <f t="shared" si="2"/>
        <v>76.100000000000009</v>
      </c>
      <c r="S12" s="381">
        <f t="shared" si="2"/>
        <v>76.100000000000009</v>
      </c>
      <c r="T12" s="381">
        <f t="shared" si="2"/>
        <v>76.100000000000009</v>
      </c>
      <c r="U12" s="381">
        <f t="shared" si="2"/>
        <v>76.100000000000009</v>
      </c>
      <c r="V12" s="381">
        <f t="shared" si="2"/>
        <v>76.100000000000009</v>
      </c>
      <c r="W12" s="381">
        <f t="shared" si="2"/>
        <v>76.100000000000009</v>
      </c>
      <c r="X12" s="381">
        <f t="shared" si="2"/>
        <v>76.100000000000009</v>
      </c>
      <c r="Y12" s="381">
        <f t="shared" si="2"/>
        <v>76.100000000000009</v>
      </c>
      <c r="Z12" s="381">
        <f t="shared" si="2"/>
        <v>76.100000000000009</v>
      </c>
      <c r="AA12" s="381">
        <f t="shared" si="2"/>
        <v>76.100000000000009</v>
      </c>
      <c r="AB12" s="381">
        <f t="shared" si="2"/>
        <v>76.100000000000009</v>
      </c>
      <c r="AC12" s="77">
        <f t="shared" si="2"/>
        <v>76.100000000000009</v>
      </c>
    </row>
    <row r="13" spans="2:29" x14ac:dyDescent="0.35">
      <c r="B13" s="91" t="s">
        <v>561</v>
      </c>
      <c r="C13" s="95"/>
      <c r="D13" s="832"/>
      <c r="E13" s="95"/>
      <c r="F13" s="563"/>
      <c r="G13" s="563"/>
      <c r="H13" s="550">
        <f>SUM(H16:H25)</f>
        <v>0</v>
      </c>
      <c r="I13" s="550">
        <f>SUM(I16:I25)</f>
        <v>0</v>
      </c>
      <c r="J13" s="550">
        <f t="shared" ref="J13:AC13" si="3">SUM(J16:J25)+J14</f>
        <v>989.5</v>
      </c>
      <c r="K13" s="550">
        <f t="shared" si="3"/>
        <v>1126.5999999999999</v>
      </c>
      <c r="L13" s="550">
        <f t="shared" si="3"/>
        <v>538.40000000000009</v>
      </c>
      <c r="M13" s="550">
        <f t="shared" si="3"/>
        <v>329.9</v>
      </c>
      <c r="N13" s="76">
        <f t="shared" si="3"/>
        <v>620.70000000000005</v>
      </c>
      <c r="O13" s="1026">
        <f>SUM(O16:O25)+O14</f>
        <v>478.11648000000002</v>
      </c>
      <c r="P13" s="559">
        <f>SUM(P16:P25)+P14</f>
        <v>132.24373240653506</v>
      </c>
      <c r="Q13" s="559">
        <f t="shared" si="3"/>
        <v>92.789000000000001</v>
      </c>
      <c r="R13" s="559">
        <f t="shared" si="3"/>
        <v>92.789000000000001</v>
      </c>
      <c r="S13" s="559">
        <f t="shared" si="3"/>
        <v>92.789000000000001</v>
      </c>
      <c r="T13" s="559">
        <f t="shared" si="3"/>
        <v>20.198500000000003</v>
      </c>
      <c r="U13" s="559">
        <f t="shared" si="3"/>
        <v>20.198500000000003</v>
      </c>
      <c r="V13" s="559">
        <f t="shared" si="3"/>
        <v>20.198500000000003</v>
      </c>
      <c r="W13" s="559">
        <f t="shared" si="3"/>
        <v>20.198500000000003</v>
      </c>
      <c r="X13" s="559">
        <f t="shared" si="3"/>
        <v>10.199999999999999</v>
      </c>
      <c r="Y13" s="559">
        <f t="shared" si="3"/>
        <v>10.199999999999999</v>
      </c>
      <c r="Z13" s="559">
        <f t="shared" si="3"/>
        <v>10.199999999999999</v>
      </c>
      <c r="AA13" s="559">
        <f t="shared" si="3"/>
        <v>10.199999999999999</v>
      </c>
      <c r="AB13" s="559">
        <f t="shared" si="3"/>
        <v>0</v>
      </c>
      <c r="AC13" s="933">
        <f t="shared" si="3"/>
        <v>0</v>
      </c>
    </row>
    <row r="14" spans="2:29" x14ac:dyDescent="0.35">
      <c r="B14" s="81" t="s">
        <v>70</v>
      </c>
      <c r="C14" s="96" t="s">
        <v>454</v>
      </c>
      <c r="D14" s="564"/>
      <c r="E14" s="96"/>
      <c r="F14" s="550"/>
      <c r="G14" s="550"/>
      <c r="H14" s="263">
        <f>'Haver Pivoted'!GS49</f>
        <v>0</v>
      </c>
      <c r="I14" s="263">
        <f>'Haver Pivoted'!GT49</f>
        <v>0</v>
      </c>
      <c r="J14" s="263">
        <f>'Haver Pivoted'!GU49</f>
        <v>576.9</v>
      </c>
      <c r="K14" s="263">
        <f>'Haver Pivoted'!GV49</f>
        <v>819.5</v>
      </c>
      <c r="L14" s="263">
        <f>'Haver Pivoted'!GW49</f>
        <v>246.3</v>
      </c>
      <c r="M14" s="263">
        <f>'Haver Pivoted'!GX49</f>
        <v>184.6</v>
      </c>
      <c r="N14" s="263">
        <f>'Haver Pivoted'!GY49</f>
        <v>427.2</v>
      </c>
      <c r="O14" s="919">
        <f>'Haver Pivoted'!GZ49</f>
        <v>265</v>
      </c>
      <c r="P14" s="381">
        <f>PPP!P54</f>
        <v>32.147780534877306</v>
      </c>
      <c r="Q14" s="559"/>
      <c r="R14" s="559"/>
      <c r="S14" s="559"/>
      <c r="T14" s="559"/>
      <c r="U14" s="559"/>
      <c r="V14" s="559"/>
      <c r="W14" s="559"/>
      <c r="X14" s="559"/>
      <c r="Y14" s="559"/>
      <c r="Z14" s="181"/>
      <c r="AA14" s="181"/>
      <c r="AB14" s="181"/>
      <c r="AC14" s="176"/>
    </row>
    <row r="15" spans="2:29" x14ac:dyDescent="0.35">
      <c r="B15" s="91" t="s">
        <v>562</v>
      </c>
      <c r="C15" s="95"/>
      <c r="D15" s="832"/>
      <c r="E15" s="95"/>
      <c r="F15" s="563"/>
      <c r="G15" s="563"/>
      <c r="H15" s="550">
        <f t="shared" ref="H15:AC15" si="4">SUM(H16:H25)</f>
        <v>0</v>
      </c>
      <c r="I15" s="550">
        <f t="shared" si="4"/>
        <v>0</v>
      </c>
      <c r="J15" s="550">
        <f t="shared" si="4"/>
        <v>412.6</v>
      </c>
      <c r="K15" s="550">
        <f t="shared" si="4"/>
        <v>307.10000000000002</v>
      </c>
      <c r="L15" s="550">
        <f t="shared" si="4"/>
        <v>292.10000000000002</v>
      </c>
      <c r="M15" s="550">
        <f t="shared" si="4"/>
        <v>145.30000000000001</v>
      </c>
      <c r="N15" s="550">
        <f t="shared" si="4"/>
        <v>193.50000000000003</v>
      </c>
      <c r="O15" s="918">
        <f t="shared" si="4"/>
        <v>213.11648</v>
      </c>
      <c r="P15" s="560">
        <f t="shared" si="4"/>
        <v>100.09595187165775</v>
      </c>
      <c r="Q15" s="560">
        <f t="shared" si="4"/>
        <v>92.789000000000001</v>
      </c>
      <c r="R15" s="560">
        <f t="shared" si="4"/>
        <v>92.789000000000001</v>
      </c>
      <c r="S15" s="560">
        <f t="shared" si="4"/>
        <v>92.789000000000001</v>
      </c>
      <c r="T15" s="560">
        <f t="shared" si="4"/>
        <v>20.198500000000003</v>
      </c>
      <c r="U15" s="560">
        <f t="shared" si="4"/>
        <v>20.198500000000003</v>
      </c>
      <c r="V15" s="560">
        <f t="shared" si="4"/>
        <v>20.198500000000003</v>
      </c>
      <c r="W15" s="560">
        <f t="shared" si="4"/>
        <v>20.198500000000003</v>
      </c>
      <c r="X15" s="560">
        <f t="shared" si="4"/>
        <v>10.199999999999999</v>
      </c>
      <c r="Y15" s="560">
        <f t="shared" si="4"/>
        <v>10.199999999999999</v>
      </c>
      <c r="Z15" s="560">
        <f t="shared" si="4"/>
        <v>10.199999999999999</v>
      </c>
      <c r="AA15" s="560">
        <f t="shared" si="4"/>
        <v>10.199999999999999</v>
      </c>
      <c r="AB15" s="560">
        <f t="shared" si="4"/>
        <v>0</v>
      </c>
      <c r="AC15" s="934">
        <f t="shared" si="4"/>
        <v>0</v>
      </c>
    </row>
    <row r="16" spans="2:29" x14ac:dyDescent="0.35">
      <c r="B16" s="143" t="s">
        <v>188</v>
      </c>
      <c r="C16" s="259" t="s">
        <v>563</v>
      </c>
      <c r="D16" s="565"/>
      <c r="E16" s="259"/>
      <c r="F16" s="550"/>
      <c r="G16" s="550"/>
      <c r="H16" s="263">
        <f>'Haver Pivoted'!GS53</f>
        <v>0</v>
      </c>
      <c r="I16" s="263">
        <f>'Haver Pivoted'!GT53</f>
        <v>0</v>
      </c>
      <c r="J16" s="263">
        <f>'Haver Pivoted'!GU53</f>
        <v>16.899999999999999</v>
      </c>
      <c r="K16" s="263">
        <f>'Haver Pivoted'!GV53</f>
        <v>18.399999999999999</v>
      </c>
      <c r="L16" s="263">
        <f>'Haver Pivoted'!GW53</f>
        <v>46.2</v>
      </c>
      <c r="M16" s="263">
        <f>'Haver Pivoted'!GX53</f>
        <v>0.9</v>
      </c>
      <c r="N16" s="263">
        <f>'Haver Pivoted'!GY53</f>
        <v>14.3</v>
      </c>
      <c r="O16" s="919">
        <f>'Haver Pivoted'!GZ53</f>
        <v>8.6999999999999993</v>
      </c>
      <c r="P16" s="381"/>
      <c r="Q16" s="381"/>
      <c r="R16" s="381"/>
      <c r="S16" s="381"/>
      <c r="T16" s="381"/>
      <c r="U16" s="381"/>
      <c r="V16" s="250"/>
      <c r="W16" s="250"/>
      <c r="X16" s="250"/>
      <c r="Y16" s="250"/>
      <c r="Z16" s="181"/>
      <c r="AA16" s="181"/>
      <c r="AB16" s="181"/>
      <c r="AC16" s="176"/>
    </row>
    <row r="17" spans="2:29" x14ac:dyDescent="0.35">
      <c r="B17" s="143" t="s">
        <v>186</v>
      </c>
      <c r="C17" s="259" t="s">
        <v>564</v>
      </c>
      <c r="D17" s="565"/>
      <c r="E17" s="259"/>
      <c r="F17" s="550"/>
      <c r="G17" s="550"/>
      <c r="H17" s="263">
        <f>'Haver Pivoted'!GS51</f>
        <v>0</v>
      </c>
      <c r="I17" s="263">
        <f>'Haver Pivoted'!GT51</f>
        <v>0</v>
      </c>
      <c r="J17" s="263">
        <f>'Haver Pivoted'!GU51</f>
        <v>73.3</v>
      </c>
      <c r="K17" s="263">
        <f>'Haver Pivoted'!GV51</f>
        <v>73.3</v>
      </c>
      <c r="L17" s="263">
        <f>'Haver Pivoted'!GW51</f>
        <v>73.3</v>
      </c>
      <c r="M17" s="263">
        <f>'Haver Pivoted'!GX51</f>
        <v>62.9</v>
      </c>
      <c r="N17" s="263">
        <f>'Haver Pivoted'!GY51</f>
        <v>62.9</v>
      </c>
      <c r="O17" s="919">
        <f>'Haver Pivoted'!GZ51</f>
        <v>62.9</v>
      </c>
      <c r="P17" s="381">
        <f>P34</f>
        <v>7.1439999999999992</v>
      </c>
      <c r="Q17" s="381">
        <f t="shared" ref="Q17:AC17" si="5">Q34</f>
        <v>7.1439999999999992</v>
      </c>
      <c r="R17" s="381">
        <f t="shared" si="5"/>
        <v>7.1439999999999992</v>
      </c>
      <c r="S17" s="381">
        <f t="shared" si="5"/>
        <v>7.1439999999999992</v>
      </c>
      <c r="T17" s="381">
        <f t="shared" si="5"/>
        <v>0</v>
      </c>
      <c r="U17" s="381">
        <f t="shared" si="5"/>
        <v>0</v>
      </c>
      <c r="V17" s="381">
        <f t="shared" si="5"/>
        <v>0</v>
      </c>
      <c r="W17" s="381">
        <f t="shared" si="5"/>
        <v>0</v>
      </c>
      <c r="X17" s="381">
        <f t="shared" si="5"/>
        <v>0</v>
      </c>
      <c r="Y17" s="381">
        <f t="shared" si="5"/>
        <v>0</v>
      </c>
      <c r="Z17" s="381">
        <f t="shared" si="5"/>
        <v>0</v>
      </c>
      <c r="AA17" s="381">
        <f t="shared" si="5"/>
        <v>0</v>
      </c>
      <c r="AB17" s="381">
        <f t="shared" si="5"/>
        <v>0</v>
      </c>
      <c r="AC17" s="77">
        <f t="shared" si="5"/>
        <v>0</v>
      </c>
    </row>
    <row r="18" spans="2:29" x14ac:dyDescent="0.35">
      <c r="B18" s="143" t="s">
        <v>185</v>
      </c>
      <c r="C18" s="96" t="s">
        <v>565</v>
      </c>
      <c r="D18" s="564"/>
      <c r="E18" s="96"/>
      <c r="F18" s="550"/>
      <c r="G18" s="550"/>
      <c r="H18" s="263">
        <f>'Haver Pivoted'!GS50</f>
        <v>0</v>
      </c>
      <c r="I18" s="263">
        <f>'Haver Pivoted'!GT50</f>
        <v>0</v>
      </c>
      <c r="J18" s="263">
        <f>'Haver Pivoted'!GU50</f>
        <v>63.8</v>
      </c>
      <c r="K18" s="263">
        <f>'Haver Pivoted'!GV50</f>
        <v>15</v>
      </c>
      <c r="L18" s="263">
        <f>'Haver Pivoted'!GW50</f>
        <v>0.1</v>
      </c>
      <c r="M18" s="263">
        <f>'Haver Pivoted'!GX50</f>
        <v>38</v>
      </c>
      <c r="N18" s="263">
        <f>'Haver Pivoted'!GY50</f>
        <v>47.3</v>
      </c>
      <c r="O18" s="1023">
        <f>'Haver Pivoted'!GZ50</f>
        <v>0.7</v>
      </c>
      <c r="P18" s="381">
        <f t="shared" ref="P18:AC18" si="6">P28</f>
        <v>0</v>
      </c>
      <c r="Q18" s="381">
        <f t="shared" si="6"/>
        <v>0</v>
      </c>
      <c r="R18" s="381">
        <f t="shared" si="6"/>
        <v>0</v>
      </c>
      <c r="S18" s="381">
        <f t="shared" si="6"/>
        <v>0</v>
      </c>
      <c r="T18" s="381">
        <f t="shared" si="6"/>
        <v>0</v>
      </c>
      <c r="U18" s="381">
        <f t="shared" si="6"/>
        <v>0</v>
      </c>
      <c r="V18" s="381">
        <f t="shared" si="6"/>
        <v>0</v>
      </c>
      <c r="W18" s="381">
        <f t="shared" si="6"/>
        <v>0</v>
      </c>
      <c r="X18" s="381">
        <f t="shared" si="6"/>
        <v>0</v>
      </c>
      <c r="Y18" s="381">
        <f t="shared" si="6"/>
        <v>0</v>
      </c>
      <c r="Z18" s="381">
        <f t="shared" si="6"/>
        <v>0</v>
      </c>
      <c r="AA18" s="381">
        <f t="shared" si="6"/>
        <v>0</v>
      </c>
      <c r="AB18" s="381">
        <f t="shared" si="6"/>
        <v>0</v>
      </c>
      <c r="AC18" s="77">
        <f t="shared" si="6"/>
        <v>0</v>
      </c>
    </row>
    <row r="19" spans="2:29" x14ac:dyDescent="0.35">
      <c r="B19" s="143" t="s">
        <v>566</v>
      </c>
      <c r="C19" s="96" t="s">
        <v>434</v>
      </c>
      <c r="D19" s="564"/>
      <c r="E19" s="96"/>
      <c r="F19" s="550"/>
      <c r="G19" s="550"/>
      <c r="H19" s="263">
        <f>'Haver Pivoted'!GS54</f>
        <v>0</v>
      </c>
      <c r="I19" s="263">
        <f>'Haver Pivoted'!GT54</f>
        <v>0</v>
      </c>
      <c r="J19" s="263">
        <f>'Haver Pivoted'!GU54</f>
        <v>96.6</v>
      </c>
      <c r="K19" s="263">
        <f>'Haver Pivoted'!GV54</f>
        <v>35.1</v>
      </c>
      <c r="L19" s="263">
        <f>'Haver Pivoted'!GW54</f>
        <v>20.7</v>
      </c>
      <c r="M19" s="263">
        <f>'Haver Pivoted'!GX54</f>
        <v>25.7</v>
      </c>
      <c r="N19" s="263">
        <f>'Haver Pivoted'!GY54</f>
        <v>16</v>
      </c>
      <c r="O19" s="919">
        <f>'Haver Pivoted'!GZ54</f>
        <v>22.4</v>
      </c>
      <c r="P19" s="381">
        <f>'Provider Relief'!P13</f>
        <v>7.3069518716577528</v>
      </c>
      <c r="Q19" s="381">
        <f>'Provider Relief'!Q13</f>
        <v>0</v>
      </c>
      <c r="R19" s="381">
        <f>'Provider Relief'!R13</f>
        <v>0</v>
      </c>
      <c r="S19" s="381">
        <f>'Provider Relief'!S13</f>
        <v>0</v>
      </c>
      <c r="T19" s="381">
        <f>'Provider Relief'!T13</f>
        <v>0</v>
      </c>
      <c r="U19" s="381"/>
      <c r="V19" s="381"/>
      <c r="W19" s="381"/>
      <c r="X19" s="381"/>
      <c r="Y19" s="381"/>
      <c r="Z19" s="181"/>
      <c r="AA19" s="181"/>
      <c r="AB19" s="181"/>
      <c r="AC19" s="176"/>
    </row>
    <row r="20" spans="2:29" x14ac:dyDescent="0.35">
      <c r="B20" s="143" t="s">
        <v>187</v>
      </c>
      <c r="C20" s="96" t="s">
        <v>567</v>
      </c>
      <c r="D20" s="564"/>
      <c r="E20" s="96"/>
      <c r="F20" s="550"/>
      <c r="G20" s="550"/>
      <c r="H20" s="263">
        <f>'Haver Pivoted'!GS52</f>
        <v>0</v>
      </c>
      <c r="I20" s="263">
        <f>'Haver Pivoted'!GT52</f>
        <v>0</v>
      </c>
      <c r="J20" s="263">
        <f>'Haver Pivoted'!GU52</f>
        <v>22</v>
      </c>
      <c r="K20" s="263">
        <f>'Haver Pivoted'!GV52</f>
        <v>25.3</v>
      </c>
      <c r="L20" s="263">
        <f>'Haver Pivoted'!GW52</f>
        <v>11.8</v>
      </c>
      <c r="M20" s="263">
        <f>'Haver Pivoted'!GX52</f>
        <v>9.8000000000000007</v>
      </c>
      <c r="N20" s="263">
        <f>'Haver Pivoted'!GY52</f>
        <v>12.3</v>
      </c>
      <c r="O20" s="1023">
        <f>'Haver Pivoted'!GZ52</f>
        <v>18.5</v>
      </c>
      <c r="P20" s="381">
        <f t="shared" ref="P20:AC20" si="7">P35</f>
        <v>5.6120000000000001</v>
      </c>
      <c r="Q20" s="381">
        <f t="shared" si="7"/>
        <v>5.6120000000000001</v>
      </c>
      <c r="R20" s="381">
        <f t="shared" si="7"/>
        <v>5.6120000000000001</v>
      </c>
      <c r="S20" s="381">
        <f t="shared" si="7"/>
        <v>5.6120000000000001</v>
      </c>
      <c r="T20" s="381">
        <f t="shared" si="7"/>
        <v>0.48599999999999993</v>
      </c>
      <c r="U20" s="381">
        <f t="shared" si="7"/>
        <v>0.48599999999999993</v>
      </c>
      <c r="V20" s="381">
        <f t="shared" si="7"/>
        <v>0.48599999999999993</v>
      </c>
      <c r="W20" s="381">
        <f t="shared" si="7"/>
        <v>0.48599999999999993</v>
      </c>
      <c r="X20" s="381">
        <f t="shared" si="7"/>
        <v>0</v>
      </c>
      <c r="Y20" s="381">
        <f t="shared" si="7"/>
        <v>0</v>
      </c>
      <c r="Z20" s="381">
        <f t="shared" si="7"/>
        <v>0</v>
      </c>
      <c r="AA20" s="381">
        <f t="shared" si="7"/>
        <v>0</v>
      </c>
      <c r="AB20" s="381">
        <f t="shared" si="7"/>
        <v>0</v>
      </c>
      <c r="AC20" s="77">
        <f t="shared" si="7"/>
        <v>0</v>
      </c>
    </row>
    <row r="21" spans="2:29" x14ac:dyDescent="0.35">
      <c r="B21" s="143" t="s">
        <v>191</v>
      </c>
      <c r="C21" s="96" t="s">
        <v>568</v>
      </c>
      <c r="D21" s="564"/>
      <c r="E21" s="96"/>
      <c r="F21" s="550"/>
      <c r="G21" s="550"/>
      <c r="H21" s="263">
        <f>'Haver Pivoted'!GS55</f>
        <v>0</v>
      </c>
      <c r="I21" s="263">
        <f>'Haver Pivoted'!GT55</f>
        <v>0</v>
      </c>
      <c r="J21" s="263">
        <f>'Haver Pivoted'!GU55</f>
        <v>140</v>
      </c>
      <c r="K21" s="263">
        <f>'Haver Pivoted'!GV55</f>
        <v>140</v>
      </c>
      <c r="L21" s="263">
        <f>'Haver Pivoted'!GW55</f>
        <v>140</v>
      </c>
      <c r="M21" s="263">
        <f>'Haver Pivoted'!GX55</f>
        <v>8</v>
      </c>
      <c r="N21" s="263">
        <f>'Haver Pivoted'!GY55</f>
        <v>8</v>
      </c>
      <c r="O21" s="919">
        <f>'Haver Pivoted'!GZ55</f>
        <v>8</v>
      </c>
      <c r="P21" s="381">
        <f t="shared" ref="P21:AC21" si="8">P36</f>
        <v>1.7329999999999999</v>
      </c>
      <c r="Q21" s="381">
        <f t="shared" si="8"/>
        <v>1.7329999999999999</v>
      </c>
      <c r="R21" s="381">
        <f t="shared" si="8"/>
        <v>1.7329999999999999</v>
      </c>
      <c r="S21" s="381">
        <f t="shared" si="8"/>
        <v>1.7329999999999999</v>
      </c>
      <c r="T21" s="381">
        <f t="shared" si="8"/>
        <v>0</v>
      </c>
      <c r="U21" s="381">
        <f t="shared" si="8"/>
        <v>0</v>
      </c>
      <c r="V21" s="381">
        <f t="shared" si="8"/>
        <v>0</v>
      </c>
      <c r="W21" s="381">
        <f t="shared" si="8"/>
        <v>0</v>
      </c>
      <c r="X21" s="381">
        <f t="shared" si="8"/>
        <v>0</v>
      </c>
      <c r="Y21" s="381">
        <f t="shared" si="8"/>
        <v>0</v>
      </c>
      <c r="Z21" s="381">
        <f t="shared" si="8"/>
        <v>0</v>
      </c>
      <c r="AA21" s="381">
        <f t="shared" si="8"/>
        <v>0</v>
      </c>
      <c r="AB21" s="381">
        <f t="shared" si="8"/>
        <v>0</v>
      </c>
      <c r="AC21" s="77">
        <f t="shared" si="8"/>
        <v>0</v>
      </c>
    </row>
    <row r="22" spans="2:29" x14ac:dyDescent="0.35">
      <c r="B22" s="1002" t="s">
        <v>569</v>
      </c>
      <c r="C22" s="96" t="s">
        <v>1237</v>
      </c>
      <c r="D22" s="1003"/>
      <c r="E22" s="1003"/>
      <c r="F22" s="1003"/>
      <c r="G22" s="1003"/>
      <c r="H22" s="1003"/>
      <c r="I22" s="1003"/>
      <c r="J22" s="1003"/>
      <c r="K22" s="1003"/>
      <c r="L22" s="1003"/>
      <c r="M22" s="1003"/>
      <c r="N22" s="1003">
        <f>'Haver Pivoted'!GY87</f>
        <v>11.3</v>
      </c>
      <c r="O22" s="1024">
        <f>'Haver Pivoted'!GZ87</f>
        <v>10.4</v>
      </c>
      <c r="P22" s="381">
        <v>10</v>
      </c>
      <c r="Q22" s="381">
        <v>10</v>
      </c>
      <c r="R22" s="381">
        <v>10</v>
      </c>
      <c r="S22" s="381">
        <v>10</v>
      </c>
      <c r="T22" s="381">
        <v>10</v>
      </c>
      <c r="U22" s="381">
        <v>10</v>
      </c>
      <c r="V22" s="381">
        <v>10</v>
      </c>
      <c r="W22" s="381">
        <v>10</v>
      </c>
      <c r="X22" s="381">
        <v>10</v>
      </c>
      <c r="Y22" s="381">
        <v>10</v>
      </c>
      <c r="Z22" s="381">
        <v>10</v>
      </c>
      <c r="AA22" s="381">
        <v>10</v>
      </c>
      <c r="AB22" s="381">
        <f t="shared" ref="AB22:AC22" si="9">AB37+AB30</f>
        <v>0</v>
      </c>
      <c r="AC22" s="77">
        <f t="shared" si="9"/>
        <v>0</v>
      </c>
    </row>
    <row r="23" spans="2:29" x14ac:dyDescent="0.35">
      <c r="B23" s="1002" t="s">
        <v>570</v>
      </c>
      <c r="C23" s="96" t="s">
        <v>1236</v>
      </c>
      <c r="D23" s="564"/>
      <c r="E23" s="96"/>
      <c r="F23" s="550"/>
      <c r="G23" s="550"/>
      <c r="H23" s="263"/>
      <c r="I23" s="263"/>
      <c r="J23" s="263"/>
      <c r="K23" s="263"/>
      <c r="L23" s="263"/>
      <c r="M23" s="263"/>
      <c r="N23" s="1003">
        <f>'Haver Pivoted'!GY86</f>
        <v>21.4</v>
      </c>
      <c r="O23" s="1024">
        <f>'Haver Pivoted'!GZ86</f>
        <v>57</v>
      </c>
      <c r="P23" s="381">
        <v>12</v>
      </c>
      <c r="Q23" s="381">
        <v>12</v>
      </c>
      <c r="R23" s="381">
        <v>12</v>
      </c>
      <c r="S23" s="381">
        <v>12</v>
      </c>
      <c r="T23" s="381">
        <f t="shared" ref="T23:AC23" si="10">T38+T31</f>
        <v>1.3125000000000002</v>
      </c>
      <c r="U23" s="381">
        <f t="shared" si="10"/>
        <v>1.3125000000000002</v>
      </c>
      <c r="V23" s="381">
        <f t="shared" si="10"/>
        <v>1.3125000000000002</v>
      </c>
      <c r="W23" s="381">
        <f t="shared" si="10"/>
        <v>1.3125000000000002</v>
      </c>
      <c r="X23" s="381">
        <f t="shared" si="10"/>
        <v>0</v>
      </c>
      <c r="Y23" s="381">
        <f t="shared" si="10"/>
        <v>0</v>
      </c>
      <c r="Z23" s="381">
        <f t="shared" si="10"/>
        <v>0</v>
      </c>
      <c r="AA23" s="381">
        <f t="shared" si="10"/>
        <v>0</v>
      </c>
      <c r="AB23" s="381">
        <f t="shared" si="10"/>
        <v>0</v>
      </c>
      <c r="AC23" s="77">
        <f t="shared" si="10"/>
        <v>0</v>
      </c>
    </row>
    <row r="24" spans="2:29" x14ac:dyDescent="0.35">
      <c r="B24" s="143" t="s">
        <v>571</v>
      </c>
      <c r="C24" s="96"/>
      <c r="D24" s="564"/>
      <c r="E24" s="96"/>
      <c r="F24" s="550"/>
      <c r="G24" s="550"/>
      <c r="H24" s="263"/>
      <c r="I24" s="263"/>
      <c r="J24" s="263"/>
      <c r="K24" s="263"/>
      <c r="L24" s="263"/>
      <c r="M24" s="263"/>
      <c r="N24" s="263"/>
      <c r="O24" s="607">
        <f>O39+O40</f>
        <v>12.51648</v>
      </c>
      <c r="P24" s="381">
        <f>P39+P40</f>
        <v>11.3</v>
      </c>
      <c r="Q24" s="381">
        <f t="shared" ref="Q24:AC24" si="11">Q39+Q40</f>
        <v>11.3</v>
      </c>
      <c r="R24" s="381">
        <f t="shared" si="11"/>
        <v>11.3</v>
      </c>
      <c r="S24" s="381">
        <f t="shared" si="11"/>
        <v>11.3</v>
      </c>
      <c r="T24" s="381">
        <f t="shared" si="11"/>
        <v>8.4</v>
      </c>
      <c r="U24" s="381">
        <f t="shared" si="11"/>
        <v>8.4</v>
      </c>
      <c r="V24" s="381">
        <f t="shared" si="11"/>
        <v>8.4</v>
      </c>
      <c r="W24" s="381">
        <f t="shared" si="11"/>
        <v>8.4</v>
      </c>
      <c r="X24" s="381">
        <f t="shared" si="11"/>
        <v>0.2</v>
      </c>
      <c r="Y24" s="381">
        <f t="shared" si="11"/>
        <v>0.2</v>
      </c>
      <c r="Z24" s="381">
        <f t="shared" si="11"/>
        <v>0.2</v>
      </c>
      <c r="AA24" s="381">
        <f t="shared" si="11"/>
        <v>0.2</v>
      </c>
      <c r="AB24" s="381">
        <f t="shared" si="11"/>
        <v>0</v>
      </c>
      <c r="AC24" s="77">
        <f t="shared" si="11"/>
        <v>0</v>
      </c>
    </row>
    <row r="25" spans="2:29" x14ac:dyDescent="0.35">
      <c r="B25" s="143" t="s">
        <v>572</v>
      </c>
      <c r="C25" s="96"/>
      <c r="D25" s="564"/>
      <c r="E25" s="96"/>
      <c r="F25" s="76"/>
      <c r="G25" s="76"/>
      <c r="H25" s="88"/>
      <c r="I25" s="88"/>
      <c r="J25" s="88"/>
      <c r="K25" s="88"/>
      <c r="L25" s="88"/>
      <c r="M25" s="88"/>
      <c r="N25" s="107"/>
      <c r="O25" s="607">
        <f>O32</f>
        <v>12</v>
      </c>
      <c r="P25" s="1046">
        <v>45</v>
      </c>
      <c r="Q25" s="1046">
        <v>45</v>
      </c>
      <c r="R25" s="1046">
        <v>45</v>
      </c>
      <c r="S25" s="1046">
        <v>45</v>
      </c>
      <c r="T25" s="616">
        <f t="shared" ref="T25:AC25" si="12">T32</f>
        <v>0</v>
      </c>
      <c r="U25" s="616">
        <f t="shared" si="12"/>
        <v>0</v>
      </c>
      <c r="V25" s="616">
        <f t="shared" si="12"/>
        <v>0</v>
      </c>
      <c r="W25" s="616">
        <f t="shared" si="12"/>
        <v>0</v>
      </c>
      <c r="X25" s="616">
        <f t="shared" si="12"/>
        <v>0</v>
      </c>
      <c r="Y25" s="616">
        <f t="shared" si="12"/>
        <v>0</v>
      </c>
      <c r="Z25" s="616">
        <f t="shared" si="12"/>
        <v>0</v>
      </c>
      <c r="AA25" s="616">
        <f t="shared" si="12"/>
        <v>0</v>
      </c>
      <c r="AB25" s="616">
        <f t="shared" si="12"/>
        <v>0</v>
      </c>
      <c r="AC25" s="677">
        <f t="shared" si="12"/>
        <v>0</v>
      </c>
    </row>
    <row r="26" spans="2:29" ht="15" customHeight="1" x14ac:dyDescent="0.35">
      <c r="B26" s="1209" t="s">
        <v>573</v>
      </c>
      <c r="C26" s="1210"/>
      <c r="D26" s="878"/>
      <c r="E26" s="879"/>
      <c r="F26" s="879"/>
      <c r="G26" s="879"/>
      <c r="H26" s="76"/>
      <c r="I26" s="76"/>
      <c r="J26" s="76"/>
      <c r="K26" s="76"/>
      <c r="L26" s="76"/>
      <c r="M26" s="76"/>
      <c r="N26" s="107"/>
      <c r="O26" s="607"/>
      <c r="P26" s="381"/>
      <c r="Q26" s="381"/>
      <c r="R26" s="381"/>
      <c r="S26" s="381"/>
      <c r="T26" s="381"/>
      <c r="U26" s="381"/>
      <c r="V26" s="181"/>
      <c r="W26" s="181"/>
      <c r="X26" s="181"/>
      <c r="Y26" s="181"/>
      <c r="Z26" s="181"/>
      <c r="AA26" s="181"/>
      <c r="AB26" s="181"/>
      <c r="AC26" s="176"/>
    </row>
    <row r="27" spans="2:29" x14ac:dyDescent="0.35">
      <c r="B27" s="91" t="s">
        <v>574</v>
      </c>
      <c r="C27" s="39"/>
      <c r="D27" s="56"/>
      <c r="E27" s="39"/>
      <c r="F27" s="88"/>
      <c r="G27" s="88"/>
      <c r="H27" s="107"/>
      <c r="I27" s="107"/>
      <c r="J27" s="107"/>
      <c r="K27" s="107"/>
      <c r="L27" s="107"/>
      <c r="M27" s="107"/>
      <c r="N27" s="107">
        <f>SUM(N28:N32)</f>
        <v>23</v>
      </c>
      <c r="O27" s="607">
        <f>SUM(O28:O32)</f>
        <v>162</v>
      </c>
      <c r="P27" s="381"/>
      <c r="Q27" s="381"/>
      <c r="R27" s="381"/>
      <c r="S27" s="381"/>
      <c r="T27" s="381"/>
      <c r="U27" s="381"/>
      <c r="V27" s="181"/>
      <c r="W27" s="181"/>
      <c r="X27" s="181"/>
      <c r="Y27" s="181"/>
      <c r="Z27" s="181"/>
      <c r="AA27" s="181"/>
      <c r="AB27" s="181"/>
      <c r="AC27" s="176"/>
    </row>
    <row r="28" spans="2:29" x14ac:dyDescent="0.35">
      <c r="B28" s="81" t="s">
        <v>575</v>
      </c>
      <c r="C28" s="39"/>
      <c r="D28" s="56"/>
      <c r="E28" s="39"/>
      <c r="F28" s="88"/>
      <c r="G28" s="88"/>
      <c r="H28" s="107"/>
      <c r="I28" s="107"/>
      <c r="J28" s="107"/>
      <c r="K28" s="107"/>
      <c r="L28" s="880"/>
      <c r="M28" s="107"/>
      <c r="N28" s="107">
        <f>(4*'Response and Relief Act Score'!$F$15-$M$18)/2</f>
        <v>11</v>
      </c>
      <c r="O28" s="607">
        <f>(4*'Response and Relief Act Score'!$F$15-$M$18)/2</f>
        <v>11</v>
      </c>
      <c r="P28" s="381"/>
      <c r="Q28" s="381"/>
      <c r="R28" s="381"/>
      <c r="S28" s="381"/>
      <c r="T28" s="381"/>
      <c r="U28" s="381"/>
      <c r="V28" s="181"/>
      <c r="W28" s="181"/>
      <c r="X28" s="181"/>
      <c r="Y28" s="181"/>
      <c r="Z28" s="181"/>
      <c r="AA28" s="181"/>
      <c r="AB28" s="181"/>
      <c r="AC28" s="176"/>
    </row>
    <row r="29" spans="2:29" x14ac:dyDescent="0.35">
      <c r="B29" s="81" t="s">
        <v>572</v>
      </c>
      <c r="C29" s="39"/>
      <c r="D29" s="56"/>
      <c r="E29" s="39"/>
      <c r="F29" s="88"/>
      <c r="G29" s="88"/>
      <c r="H29" s="107"/>
      <c r="I29" s="107"/>
      <c r="J29" s="107"/>
      <c r="K29" s="107"/>
      <c r="L29" s="880"/>
      <c r="M29" s="107"/>
      <c r="N29" s="107"/>
      <c r="O29" s="607"/>
      <c r="P29" s="381"/>
      <c r="Q29" s="381"/>
      <c r="R29" s="381"/>
      <c r="S29" s="381"/>
      <c r="T29" s="381"/>
      <c r="U29" s="381"/>
      <c r="V29" s="181"/>
      <c r="W29" s="181"/>
      <c r="X29" s="181"/>
      <c r="Y29" s="181"/>
      <c r="Z29" s="181"/>
      <c r="AA29" s="181"/>
      <c r="AB29" s="181"/>
      <c r="AC29" s="176"/>
    </row>
    <row r="30" spans="2:29" x14ac:dyDescent="0.35">
      <c r="B30" s="212" t="s">
        <v>569</v>
      </c>
      <c r="C30" s="39"/>
      <c r="D30" s="56"/>
      <c r="E30" s="39"/>
      <c r="F30" s="88"/>
      <c r="G30" s="88"/>
      <c r="H30" s="107"/>
      <c r="I30" s="107"/>
      <c r="J30" s="107"/>
      <c r="K30" s="107"/>
      <c r="L30" s="107"/>
      <c r="M30" s="107"/>
      <c r="N30" s="107"/>
      <c r="O30" s="607">
        <v>79</v>
      </c>
      <c r="P30" s="381"/>
      <c r="Q30" s="78"/>
      <c r="R30" s="78"/>
      <c r="S30" s="78"/>
      <c r="T30" s="78"/>
      <c r="U30" s="78"/>
      <c r="V30" s="181"/>
      <c r="W30" s="181"/>
      <c r="X30" s="181"/>
      <c r="Y30" s="181"/>
      <c r="Z30" s="181"/>
      <c r="AA30" s="181"/>
      <c r="AB30" s="181"/>
      <c r="AC30" s="176"/>
    </row>
    <row r="31" spans="2:29" x14ac:dyDescent="0.35">
      <c r="B31" s="216" t="s">
        <v>576</v>
      </c>
      <c r="C31" s="39"/>
      <c r="D31" s="56"/>
      <c r="E31" s="39"/>
      <c r="F31" s="88"/>
      <c r="G31" s="88"/>
      <c r="H31" s="107"/>
      <c r="I31" s="107"/>
      <c r="J31" s="107"/>
      <c r="K31" s="107"/>
      <c r="L31" s="107"/>
      <c r="M31" s="107"/>
      <c r="N31" s="107"/>
      <c r="O31" s="607">
        <f>'Response and Relief Act Score'!F13*4</f>
        <v>60</v>
      </c>
      <c r="P31" s="381"/>
      <c r="Q31" s="78"/>
      <c r="R31" s="78"/>
      <c r="S31" s="78"/>
      <c r="T31" s="78"/>
      <c r="U31" s="78"/>
      <c r="V31" s="181"/>
      <c r="W31" s="181"/>
      <c r="X31" s="181"/>
      <c r="Y31" s="181"/>
      <c r="Z31" s="181"/>
      <c r="AA31" s="181"/>
      <c r="AB31" s="181"/>
      <c r="AC31" s="176"/>
    </row>
    <row r="32" spans="2:29" ht="28" x14ac:dyDescent="0.35">
      <c r="B32" s="216" t="s">
        <v>577</v>
      </c>
      <c r="C32" s="39"/>
      <c r="D32" s="56"/>
      <c r="E32" s="39"/>
      <c r="F32" s="88"/>
      <c r="G32" s="88"/>
      <c r="H32" s="107"/>
      <c r="I32" s="107"/>
      <c r="J32" s="107"/>
      <c r="K32" s="107"/>
      <c r="L32" s="880"/>
      <c r="M32" s="107"/>
      <c r="N32" s="107">
        <f>'Response and Relief Act Score'!F14*4/2</f>
        <v>12</v>
      </c>
      <c r="O32" s="607">
        <f>'Response and Relief Act Score'!F14*4/2</f>
        <v>12</v>
      </c>
      <c r="P32" s="381"/>
      <c r="Q32" s="381"/>
      <c r="R32" s="381"/>
      <c r="S32" s="381"/>
      <c r="T32" s="381"/>
      <c r="U32" s="381"/>
      <c r="V32" s="181"/>
      <c r="W32" s="181"/>
      <c r="X32" s="181"/>
      <c r="Y32" s="181"/>
      <c r="Z32" s="181"/>
      <c r="AA32" s="181"/>
      <c r="AB32" s="181"/>
      <c r="AC32" s="176"/>
    </row>
    <row r="33" spans="1:78" x14ac:dyDescent="0.35">
      <c r="B33" s="1207" t="s">
        <v>578</v>
      </c>
      <c r="C33" s="1208"/>
      <c r="D33" s="56"/>
      <c r="E33" s="39"/>
      <c r="F33" s="88"/>
      <c r="G33" s="88"/>
      <c r="H33" s="107"/>
      <c r="I33" s="107"/>
      <c r="J33" s="107"/>
      <c r="K33" s="107"/>
      <c r="L33" s="880"/>
      <c r="M33" s="107"/>
      <c r="N33" s="107"/>
      <c r="O33" s="607"/>
      <c r="P33" s="614"/>
      <c r="Q33" s="614"/>
      <c r="R33" s="614"/>
      <c r="S33" s="614"/>
      <c r="T33" s="614"/>
      <c r="U33" s="614"/>
      <c r="V33" s="617"/>
      <c r="W33" s="617"/>
      <c r="X33" s="617"/>
      <c r="Y33" s="617"/>
      <c r="Z33" s="617"/>
      <c r="AA33" s="617"/>
      <c r="AB33" s="617"/>
      <c r="AC33" s="359"/>
    </row>
    <row r="34" spans="1:78" ht="13.5" customHeight="1" x14ac:dyDescent="0.35">
      <c r="B34" s="216" t="s">
        <v>186</v>
      </c>
      <c r="C34" s="39"/>
      <c r="D34" s="56"/>
      <c r="E34" s="39"/>
      <c r="F34" s="88"/>
      <c r="G34" s="88"/>
      <c r="H34" s="107"/>
      <c r="I34" s="107"/>
      <c r="J34" s="107"/>
      <c r="K34" s="107"/>
      <c r="L34" s="880"/>
      <c r="M34" s="107">
        <f>'ARP Quarterly'!C18</f>
        <v>0</v>
      </c>
      <c r="N34" s="107">
        <f>'ARP Quarterly'!D18</f>
        <v>2.2132800000000001</v>
      </c>
      <c r="O34" s="607">
        <f>'ARP Quarterly'!E18</f>
        <v>10.082720000000002</v>
      </c>
      <c r="P34" s="381">
        <f>'ARP Quarterly'!F18</f>
        <v>7.1439999999999992</v>
      </c>
      <c r="Q34" s="381">
        <f>'ARP Quarterly'!G18</f>
        <v>7.1439999999999992</v>
      </c>
      <c r="R34" s="381">
        <f>'ARP Quarterly'!H18</f>
        <v>7.1439999999999992</v>
      </c>
      <c r="S34" s="381">
        <f>'ARP Quarterly'!I18</f>
        <v>7.1439999999999992</v>
      </c>
      <c r="T34" s="381">
        <f>'ARP Quarterly'!J18</f>
        <v>0</v>
      </c>
      <c r="U34" s="381">
        <f>'ARP Quarterly'!K18</f>
        <v>0</v>
      </c>
      <c r="V34" s="381">
        <f>'ARP Quarterly'!L18</f>
        <v>0</v>
      </c>
      <c r="W34" s="381">
        <f>'ARP Quarterly'!M18</f>
        <v>0</v>
      </c>
      <c r="X34" s="381">
        <f>'ARP Quarterly'!N18</f>
        <v>0</v>
      </c>
      <c r="Y34" s="381">
        <f>'ARP Quarterly'!O18</f>
        <v>0</v>
      </c>
      <c r="Z34" s="381">
        <f>'ARP Quarterly'!P18</f>
        <v>0</v>
      </c>
      <c r="AA34" s="381">
        <f>'ARP Quarterly'!Q18</f>
        <v>0</v>
      </c>
      <c r="AB34" s="381">
        <f>'ARP Quarterly'!R18</f>
        <v>0</v>
      </c>
      <c r="AC34" s="77">
        <f>'ARP Quarterly'!S18</f>
        <v>0</v>
      </c>
    </row>
    <row r="35" spans="1:78" x14ac:dyDescent="0.35">
      <c r="B35" s="216" t="s">
        <v>579</v>
      </c>
      <c r="C35" s="39"/>
      <c r="D35" s="56"/>
      <c r="E35" s="39"/>
      <c r="F35" s="88"/>
      <c r="G35" s="88"/>
      <c r="H35" s="107"/>
      <c r="I35" s="107"/>
      <c r="J35" s="107"/>
      <c r="K35" s="107"/>
      <c r="L35" s="880"/>
      <c r="M35" s="107">
        <f>'ARP Quarterly'!C19</f>
        <v>0</v>
      </c>
      <c r="N35" s="107">
        <f>'ARP Quarterly'!D19</f>
        <v>15.128640000000001</v>
      </c>
      <c r="O35" s="607">
        <f>'ARP Quarterly'!E19</f>
        <v>68.919360000000012</v>
      </c>
      <c r="P35" s="381">
        <f>'ARP Quarterly'!F19</f>
        <v>5.6120000000000001</v>
      </c>
      <c r="Q35" s="381">
        <f>'ARP Quarterly'!G19</f>
        <v>5.6120000000000001</v>
      </c>
      <c r="R35" s="381">
        <f>'ARP Quarterly'!H19</f>
        <v>5.6120000000000001</v>
      </c>
      <c r="S35" s="381">
        <f>'ARP Quarterly'!I19</f>
        <v>5.6120000000000001</v>
      </c>
      <c r="T35" s="381">
        <f>'ARP Quarterly'!J19</f>
        <v>0.48599999999999993</v>
      </c>
      <c r="U35" s="381">
        <f>'ARP Quarterly'!K19</f>
        <v>0.48599999999999993</v>
      </c>
      <c r="V35" s="381">
        <f>'ARP Quarterly'!L19</f>
        <v>0.48599999999999993</v>
      </c>
      <c r="W35" s="381">
        <f>'ARP Quarterly'!M19</f>
        <v>0.48599999999999993</v>
      </c>
      <c r="X35" s="381">
        <f>'ARP Quarterly'!N19</f>
        <v>0</v>
      </c>
      <c r="Y35" s="381">
        <f>'ARP Quarterly'!O19</f>
        <v>0</v>
      </c>
      <c r="Z35" s="381">
        <f>'ARP Quarterly'!P19</f>
        <v>0</v>
      </c>
      <c r="AA35" s="381">
        <f>'ARP Quarterly'!Q19</f>
        <v>0</v>
      </c>
      <c r="AB35" s="381">
        <f>'ARP Quarterly'!R19</f>
        <v>0</v>
      </c>
      <c r="AC35" s="77">
        <f>'ARP Quarterly'!S19</f>
        <v>0</v>
      </c>
    </row>
    <row r="36" spans="1:78" x14ac:dyDescent="0.35">
      <c r="B36" s="216" t="s">
        <v>191</v>
      </c>
      <c r="C36" s="39"/>
      <c r="D36" s="56"/>
      <c r="E36" s="39"/>
      <c r="F36" s="88"/>
      <c r="G36" s="88"/>
      <c r="H36" s="107"/>
      <c r="I36" s="107"/>
      <c r="J36" s="107"/>
      <c r="K36" s="107"/>
      <c r="L36" s="880"/>
      <c r="M36" s="107">
        <f>'ARP Quarterly'!C20</f>
        <v>0</v>
      </c>
      <c r="N36" s="107">
        <f>'ARP Quarterly'!D20</f>
        <v>3.2479199999999997</v>
      </c>
      <c r="O36" s="607">
        <f>'ARP Quarterly'!E20</f>
        <v>14.796080000000002</v>
      </c>
      <c r="P36" s="381">
        <f>'ARP Quarterly'!F20</f>
        <v>1.7329999999999999</v>
      </c>
      <c r="Q36" s="381">
        <f>'ARP Quarterly'!G20</f>
        <v>1.7329999999999999</v>
      </c>
      <c r="R36" s="381">
        <f>'ARP Quarterly'!H20</f>
        <v>1.7329999999999999</v>
      </c>
      <c r="S36" s="381">
        <f>'ARP Quarterly'!I20</f>
        <v>1.7329999999999999</v>
      </c>
      <c r="T36" s="381">
        <f>'ARP Quarterly'!J20</f>
        <v>0</v>
      </c>
      <c r="U36" s="381">
        <f>'ARP Quarterly'!K20</f>
        <v>0</v>
      </c>
      <c r="V36" s="381">
        <f>'ARP Quarterly'!L20</f>
        <v>0</v>
      </c>
      <c r="W36" s="381">
        <f>'ARP Quarterly'!M20</f>
        <v>0</v>
      </c>
      <c r="X36" s="381">
        <f>'ARP Quarterly'!N20</f>
        <v>0</v>
      </c>
      <c r="Y36" s="381">
        <f>'ARP Quarterly'!O20</f>
        <v>0</v>
      </c>
      <c r="Z36" s="381">
        <f>'ARP Quarterly'!P20</f>
        <v>0</v>
      </c>
      <c r="AA36" s="381">
        <f>'ARP Quarterly'!Q20</f>
        <v>0</v>
      </c>
      <c r="AB36" s="381">
        <f>'ARP Quarterly'!R20</f>
        <v>0</v>
      </c>
      <c r="AC36" s="77">
        <f>'ARP Quarterly'!S20</f>
        <v>0</v>
      </c>
    </row>
    <row r="37" spans="1:78" x14ac:dyDescent="0.35">
      <c r="B37" s="216" t="s">
        <v>569</v>
      </c>
      <c r="C37" s="39"/>
      <c r="D37" s="56"/>
      <c r="E37" s="39"/>
      <c r="F37" s="88"/>
      <c r="G37" s="88"/>
      <c r="H37" s="107"/>
      <c r="I37" s="107"/>
      <c r="J37" s="107"/>
      <c r="K37" s="107"/>
      <c r="L37" s="880"/>
      <c r="M37" s="107">
        <f>'ARP Quarterly'!C21</f>
        <v>0</v>
      </c>
      <c r="N37" s="107">
        <f>'ARP Quarterly'!D21</f>
        <v>13.2921</v>
      </c>
      <c r="O37" s="607">
        <f>'ARP Quarterly'!E21</f>
        <v>60.552900000000008</v>
      </c>
      <c r="P37" s="381">
        <f>'ARP Quarterly'!F21</f>
        <v>1.0687500000000001</v>
      </c>
      <c r="Q37" s="381">
        <f>'ARP Quarterly'!G21</f>
        <v>1.0687500000000001</v>
      </c>
      <c r="R37" s="381">
        <f>'ARP Quarterly'!H21</f>
        <v>1.0687500000000001</v>
      </c>
      <c r="S37" s="381">
        <f>'ARP Quarterly'!I21</f>
        <v>1.0687500000000001</v>
      </c>
      <c r="T37" s="381">
        <f>'ARP Quarterly'!J21</f>
        <v>0.78750000000000009</v>
      </c>
      <c r="U37" s="381">
        <f>'ARP Quarterly'!K21</f>
        <v>0.78750000000000009</v>
      </c>
      <c r="V37" s="381">
        <f>'ARP Quarterly'!L21</f>
        <v>0.78750000000000009</v>
      </c>
      <c r="W37" s="381">
        <f>'ARP Quarterly'!M21</f>
        <v>0.78750000000000009</v>
      </c>
      <c r="X37" s="381">
        <f>'ARP Quarterly'!N21</f>
        <v>0</v>
      </c>
      <c r="Y37" s="381">
        <f>'ARP Quarterly'!O21</f>
        <v>0</v>
      </c>
      <c r="Z37" s="381">
        <f>'ARP Quarterly'!P21</f>
        <v>0</v>
      </c>
      <c r="AA37" s="381">
        <f>'ARP Quarterly'!Q21</f>
        <v>0</v>
      </c>
      <c r="AB37" s="381">
        <f>'ARP Quarterly'!R21</f>
        <v>0</v>
      </c>
      <c r="AC37" s="77">
        <f>'ARP Quarterly'!S21</f>
        <v>0</v>
      </c>
      <c r="AD37" t="s">
        <v>1247</v>
      </c>
    </row>
    <row r="38" spans="1:78" ht="30" customHeight="1" x14ac:dyDescent="0.35">
      <c r="B38" s="216" t="s">
        <v>580</v>
      </c>
      <c r="C38" s="39"/>
      <c r="D38" s="56"/>
      <c r="E38" s="39"/>
      <c r="F38" s="88"/>
      <c r="G38" s="88"/>
      <c r="H38" s="107"/>
      <c r="I38" s="107"/>
      <c r="J38" s="107"/>
      <c r="K38" s="107"/>
      <c r="L38" s="880"/>
      <c r="M38" s="107">
        <f>'ARP Quarterly'!C22</f>
        <v>0</v>
      </c>
      <c r="N38" s="107">
        <f>'ARP Quarterly'!D22</f>
        <v>22.153499999999998</v>
      </c>
      <c r="O38" s="607">
        <f>'ARP Quarterly'!E22</f>
        <v>100.92150000000002</v>
      </c>
      <c r="P38" s="381">
        <f>'ARP Quarterly'!F22</f>
        <v>1.7812500000000002</v>
      </c>
      <c r="Q38" s="381">
        <f>'ARP Quarterly'!G22</f>
        <v>1.7812500000000002</v>
      </c>
      <c r="R38" s="381">
        <f>'ARP Quarterly'!H22</f>
        <v>1.7812500000000002</v>
      </c>
      <c r="S38" s="381">
        <f>'ARP Quarterly'!I22</f>
        <v>1.7812500000000002</v>
      </c>
      <c r="T38" s="381">
        <f>'ARP Quarterly'!J22</f>
        <v>1.3125000000000002</v>
      </c>
      <c r="U38" s="381">
        <f>'ARP Quarterly'!K22</f>
        <v>1.3125000000000002</v>
      </c>
      <c r="V38" s="381">
        <f>'ARP Quarterly'!L22</f>
        <v>1.3125000000000002</v>
      </c>
      <c r="W38" s="381">
        <f>'ARP Quarterly'!M22</f>
        <v>1.3125000000000002</v>
      </c>
      <c r="X38" s="381">
        <f>'ARP Quarterly'!N22</f>
        <v>0</v>
      </c>
      <c r="Y38" s="381">
        <f>'ARP Quarterly'!O22</f>
        <v>0</v>
      </c>
      <c r="Z38" s="381">
        <f>'ARP Quarterly'!P22</f>
        <v>0</v>
      </c>
      <c r="AA38" s="381">
        <f>'ARP Quarterly'!Q22</f>
        <v>0</v>
      </c>
      <c r="AB38" s="381">
        <f>'ARP Quarterly'!R22</f>
        <v>0</v>
      </c>
      <c r="AC38" s="77">
        <f>'ARP Quarterly'!S22</f>
        <v>0</v>
      </c>
    </row>
    <row r="39" spans="1:78" x14ac:dyDescent="0.35">
      <c r="B39" s="216" t="s">
        <v>581</v>
      </c>
      <c r="C39" s="39"/>
      <c r="D39" s="56"/>
      <c r="E39" s="39"/>
      <c r="F39" s="88"/>
      <c r="G39" s="88"/>
      <c r="H39" s="107"/>
      <c r="I39" s="107"/>
      <c r="J39" s="107"/>
      <c r="K39" s="107"/>
      <c r="L39" s="880"/>
      <c r="M39" s="107">
        <f>'ARP Quarterly'!C23</f>
        <v>0</v>
      </c>
      <c r="N39" s="107">
        <f>'ARP Quarterly'!D23</f>
        <v>2.9519999999999995</v>
      </c>
      <c r="O39" s="607">
        <f>'ARP Quarterly'!E23</f>
        <v>13.448</v>
      </c>
      <c r="P39" s="381">
        <f>'ARP Quarterly'!F23</f>
        <v>11.3</v>
      </c>
      <c r="Q39" s="381">
        <f>'ARP Quarterly'!G23</f>
        <v>11.3</v>
      </c>
      <c r="R39" s="381">
        <f>'ARP Quarterly'!H23</f>
        <v>11.3</v>
      </c>
      <c r="S39" s="381">
        <f>'ARP Quarterly'!I23</f>
        <v>11.3</v>
      </c>
      <c r="T39" s="381">
        <f>'ARP Quarterly'!J23</f>
        <v>8.4</v>
      </c>
      <c r="U39" s="381">
        <f>'ARP Quarterly'!K23</f>
        <v>8.4</v>
      </c>
      <c r="V39" s="381">
        <f>'ARP Quarterly'!L23</f>
        <v>8.4</v>
      </c>
      <c r="W39" s="381">
        <f>'ARP Quarterly'!M23</f>
        <v>8.4</v>
      </c>
      <c r="X39" s="381">
        <f>'ARP Quarterly'!N23</f>
        <v>0.2</v>
      </c>
      <c r="Y39" s="381">
        <f>'ARP Quarterly'!O23</f>
        <v>0.2</v>
      </c>
      <c r="Z39" s="381">
        <f>'ARP Quarterly'!P23</f>
        <v>0.2</v>
      </c>
      <c r="AA39" s="381">
        <f>'ARP Quarterly'!Q23</f>
        <v>0.2</v>
      </c>
      <c r="AB39" s="381">
        <f>'ARP Quarterly'!R23</f>
        <v>0</v>
      </c>
      <c r="AC39" s="77">
        <f>'ARP Quarterly'!S23</f>
        <v>0</v>
      </c>
    </row>
    <row r="40" spans="1:78" x14ac:dyDescent="0.35">
      <c r="B40" s="216" t="s">
        <v>582</v>
      </c>
      <c r="C40" s="39"/>
      <c r="D40" s="56"/>
      <c r="E40" s="39"/>
      <c r="F40" s="88"/>
      <c r="G40" s="88"/>
      <c r="H40" s="107"/>
      <c r="I40" s="107"/>
      <c r="J40" s="107"/>
      <c r="K40" s="107"/>
      <c r="L40" s="880"/>
      <c r="M40" s="107">
        <f>'ARP Quarterly'!C24</f>
        <v>0</v>
      </c>
      <c r="N40" s="107">
        <f>'ARP Quarterly'!D24</f>
        <v>-0.20447999999999997</v>
      </c>
      <c r="O40" s="607">
        <f>'ARP Quarterly'!E24</f>
        <v>-0.93152000000000001</v>
      </c>
      <c r="P40" s="381">
        <v>0</v>
      </c>
      <c r="Q40" s="381">
        <v>0</v>
      </c>
      <c r="R40" s="381">
        <v>0</v>
      </c>
      <c r="S40" s="381">
        <v>0</v>
      </c>
      <c r="T40" s="381">
        <v>0</v>
      </c>
      <c r="U40" s="381">
        <v>0</v>
      </c>
      <c r="V40" s="381">
        <v>0</v>
      </c>
      <c r="W40" s="381">
        <v>0</v>
      </c>
      <c r="X40" s="381">
        <v>0</v>
      </c>
      <c r="Y40" s="381">
        <v>0</v>
      </c>
      <c r="Z40" s="381">
        <v>0</v>
      </c>
      <c r="AA40" s="381">
        <v>0</v>
      </c>
      <c r="AB40" s="381">
        <v>0</v>
      </c>
      <c r="AC40" s="381">
        <v>0</v>
      </c>
    </row>
    <row r="41" spans="1:78" x14ac:dyDescent="0.35">
      <c r="B41" s="216" t="s">
        <v>437</v>
      </c>
      <c r="C41" s="39"/>
      <c r="D41" s="56"/>
      <c r="E41" s="39"/>
      <c r="F41" s="88"/>
      <c r="G41" s="88"/>
      <c r="H41" s="107"/>
      <c r="I41" s="107"/>
      <c r="J41" s="107"/>
      <c r="K41" s="107"/>
      <c r="L41" s="880"/>
      <c r="M41" s="107">
        <f>'ARP Quarterly'!C25</f>
        <v>0</v>
      </c>
      <c r="N41" s="107">
        <f>'ARP Quarterly'!D25</f>
        <v>58.782959999999996</v>
      </c>
      <c r="O41" s="607">
        <f>'ARP Quarterly'!E25</f>
        <v>267.78904000000006</v>
      </c>
      <c r="P41" s="381">
        <f>'ARP Quarterly'!F25</f>
        <v>110.24799999999999</v>
      </c>
      <c r="Q41" s="381">
        <f>'ARP Quarterly'!G25</f>
        <v>110.24799999999999</v>
      </c>
      <c r="R41" s="381">
        <f>'ARP Quarterly'!H25</f>
        <v>110.24799999999999</v>
      </c>
      <c r="S41" s="381">
        <f>'ARP Quarterly'!I25</f>
        <v>110.24799999999999</v>
      </c>
      <c r="T41" s="381">
        <f>'ARP Quarterly'!J25</f>
        <v>12.362</v>
      </c>
      <c r="U41" s="381">
        <f>'ARP Quarterly'!K25</f>
        <v>12.362</v>
      </c>
      <c r="V41" s="381">
        <f>'ARP Quarterly'!L25</f>
        <v>12.362</v>
      </c>
      <c r="W41" s="381">
        <f>'ARP Quarterly'!M25</f>
        <v>12.362</v>
      </c>
      <c r="X41" s="381">
        <f>'ARP Quarterly'!N25</f>
        <v>-0.67500000000000004</v>
      </c>
      <c r="Y41" s="381">
        <f>'ARP Quarterly'!O25</f>
        <v>-0.67500000000000004</v>
      </c>
      <c r="Z41" s="381">
        <f>'ARP Quarterly'!P25</f>
        <v>-0.67500000000000004</v>
      </c>
      <c r="AA41" s="381">
        <f>'ARP Quarterly'!Q25</f>
        <v>-0.67500000000000004</v>
      </c>
      <c r="AB41" s="381">
        <f>'ARP Quarterly'!R25</f>
        <v>0</v>
      </c>
      <c r="AC41" s="77">
        <f>'ARP Quarterly'!S25</f>
        <v>0</v>
      </c>
    </row>
    <row r="42" spans="1:78" x14ac:dyDescent="0.35">
      <c r="B42" s="1207" t="s">
        <v>583</v>
      </c>
      <c r="C42" s="1208"/>
      <c r="D42" s="832"/>
      <c r="E42" s="95"/>
      <c r="F42" s="88"/>
      <c r="G42" s="88"/>
      <c r="H42" s="107"/>
      <c r="I42" s="107"/>
      <c r="J42" s="107"/>
      <c r="K42" s="107"/>
      <c r="L42" s="880"/>
      <c r="M42" s="107"/>
      <c r="N42" s="107"/>
      <c r="O42" s="607"/>
      <c r="P42" s="614"/>
      <c r="Q42" s="614"/>
      <c r="R42" s="614"/>
      <c r="S42" s="614"/>
      <c r="T42" s="614"/>
      <c r="U42" s="614"/>
      <c r="V42" s="617"/>
      <c r="W42" s="617"/>
      <c r="X42" s="617"/>
      <c r="Y42" s="617"/>
      <c r="Z42" s="617"/>
      <c r="AA42" s="617"/>
      <c r="AB42" s="617"/>
      <c r="AC42" s="359"/>
    </row>
    <row r="43" spans="1:78" s="296" customFormat="1" ht="21" customHeight="1" x14ac:dyDescent="0.35">
      <c r="B43" s="297" t="s">
        <v>584</v>
      </c>
      <c r="C43" s="421"/>
      <c r="D43" s="297"/>
      <c r="E43" s="421"/>
      <c r="F43" s="178"/>
      <c r="G43" s="178"/>
      <c r="H43" s="716"/>
      <c r="I43" s="716"/>
      <c r="J43" s="716"/>
      <c r="K43" s="716"/>
      <c r="L43" s="717"/>
      <c r="M43" s="716">
        <f>'ARP Quarterly'!C6</f>
        <v>0</v>
      </c>
      <c r="N43" s="716">
        <f>'ARP Quarterly'!D6</f>
        <v>58.782959999999989</v>
      </c>
      <c r="O43" s="935">
        <f>'ARP Quarterly'!E6</f>
        <v>267.78904</v>
      </c>
      <c r="P43" s="561">
        <f>'ARP Quarterly'!F6</f>
        <v>110.24799999999999</v>
      </c>
      <c r="Q43" s="561">
        <f>'ARP Quarterly'!G6</f>
        <v>110.24799999999999</v>
      </c>
      <c r="R43" s="561">
        <f>'ARP Quarterly'!H6</f>
        <v>110.24799999999999</v>
      </c>
      <c r="S43" s="561">
        <f>'ARP Quarterly'!I6</f>
        <v>110.24799999999999</v>
      </c>
      <c r="T43" s="561">
        <f>'ARP Quarterly'!J6</f>
        <v>12.726000000000001</v>
      </c>
      <c r="U43" s="561">
        <f>'ARP Quarterly'!K6</f>
        <v>12.726000000000001</v>
      </c>
      <c r="V43" s="561">
        <f>'ARP Quarterly'!L6</f>
        <v>12.726000000000001</v>
      </c>
      <c r="W43" s="561">
        <f>'ARP Quarterly'!M6</f>
        <v>12.726000000000001</v>
      </c>
      <c r="X43" s="561">
        <f>'ARP Quarterly'!N6</f>
        <v>1.365</v>
      </c>
      <c r="Y43" s="561">
        <f>'ARP Quarterly'!O6</f>
        <v>1.365</v>
      </c>
      <c r="Z43" s="561">
        <f>'ARP Quarterly'!P6</f>
        <v>1.365</v>
      </c>
      <c r="AA43" s="561">
        <f>'ARP Quarterly'!Q6</f>
        <v>1.365</v>
      </c>
      <c r="AB43" s="561">
        <f>'ARP Quarterly'!R6</f>
        <v>-0.90100000000000025</v>
      </c>
      <c r="AC43" s="936">
        <f>'ARP Quarterly'!S6</f>
        <v>-0.90100000000000025</v>
      </c>
    </row>
    <row r="44" spans="1:78" s="298" customFormat="1" ht="19.5" customHeight="1" x14ac:dyDescent="0.35">
      <c r="A44" s="296"/>
      <c r="B44" s="141" t="s">
        <v>243</v>
      </c>
      <c r="C44" s="142"/>
      <c r="D44" s="141"/>
      <c r="E44" s="142"/>
      <c r="F44" s="641">
        <f>F11-F43</f>
        <v>60.5</v>
      </c>
      <c r="G44" s="641">
        <f t="shared" ref="G44:AC44" si="13">G11-G43</f>
        <v>81.400000000000006</v>
      </c>
      <c r="H44" s="641">
        <f t="shared" si="13"/>
        <v>82.2</v>
      </c>
      <c r="I44" s="641">
        <f t="shared" si="13"/>
        <v>80.3</v>
      </c>
      <c r="J44" s="641">
        <f t="shared" si="13"/>
        <v>1123.5999999999999</v>
      </c>
      <c r="K44" s="641">
        <f t="shared" si="13"/>
        <v>1220.5</v>
      </c>
      <c r="L44" s="641">
        <f t="shared" si="13"/>
        <v>618.6</v>
      </c>
      <c r="M44" s="641">
        <f t="shared" si="13"/>
        <v>403.8</v>
      </c>
      <c r="N44" s="641">
        <f t="shared" si="13"/>
        <v>638.21704</v>
      </c>
      <c r="O44" s="881">
        <f>O11-O43</f>
        <v>286.71096</v>
      </c>
      <c r="P44" s="718">
        <f t="shared" si="13"/>
        <v>98.095732406535092</v>
      </c>
      <c r="Q44" s="718">
        <f t="shared" si="13"/>
        <v>58.64100000000002</v>
      </c>
      <c r="R44" s="718">
        <f t="shared" si="13"/>
        <v>58.64100000000002</v>
      </c>
      <c r="S44" s="718">
        <f t="shared" si="13"/>
        <v>58.64100000000002</v>
      </c>
      <c r="T44" s="718">
        <f t="shared" si="13"/>
        <v>83.572500000000019</v>
      </c>
      <c r="U44" s="718">
        <f t="shared" si="13"/>
        <v>83.572500000000019</v>
      </c>
      <c r="V44" s="718">
        <f t="shared" si="13"/>
        <v>83.572500000000019</v>
      </c>
      <c r="W44" s="718">
        <f t="shared" si="13"/>
        <v>83.572500000000019</v>
      </c>
      <c r="X44" s="718">
        <f t="shared" si="13"/>
        <v>84.935000000000016</v>
      </c>
      <c r="Y44" s="718">
        <f t="shared" si="13"/>
        <v>84.935000000000016</v>
      </c>
      <c r="Z44" s="718">
        <f t="shared" si="13"/>
        <v>84.935000000000016</v>
      </c>
      <c r="AA44" s="718">
        <f t="shared" si="13"/>
        <v>84.935000000000016</v>
      </c>
      <c r="AB44" s="718">
        <f t="shared" si="13"/>
        <v>77.001000000000005</v>
      </c>
      <c r="AC44" s="719">
        <f t="shared" si="13"/>
        <v>77.001000000000005</v>
      </c>
      <c r="AD44" s="296"/>
      <c r="AE44" s="296"/>
      <c r="AF44" s="296"/>
      <c r="AG44" s="296"/>
      <c r="AH44" s="296"/>
      <c r="AI44" s="296"/>
      <c r="AJ44" s="296"/>
      <c r="AK44" s="296"/>
      <c r="AL44" s="296"/>
      <c r="AM44" s="296"/>
      <c r="AN44" s="296"/>
      <c r="AO44" s="296"/>
      <c r="AP44" s="296"/>
      <c r="AQ44" s="296"/>
      <c r="AR44" s="296"/>
      <c r="AS44" s="296"/>
      <c r="AT44" s="296"/>
      <c r="AU44" s="296"/>
      <c r="AV44" s="296"/>
      <c r="AW44" s="296"/>
      <c r="AX44" s="296"/>
      <c r="AY44" s="296"/>
      <c r="AZ44" s="296"/>
      <c r="BA44" s="296"/>
      <c r="BB44" s="296"/>
      <c r="BC44" s="296"/>
      <c r="BD44" s="296"/>
      <c r="BE44" s="296"/>
      <c r="BF44" s="296"/>
      <c r="BG44" s="296"/>
      <c r="BH44" s="296"/>
      <c r="BI44" s="296"/>
      <c r="BJ44" s="296"/>
      <c r="BK44" s="296"/>
      <c r="BL44" s="296"/>
      <c r="BM44" s="296"/>
      <c r="BN44" s="296"/>
      <c r="BO44" s="296"/>
      <c r="BP44" s="296"/>
      <c r="BQ44" s="296"/>
      <c r="BR44" s="296"/>
      <c r="BS44" s="296"/>
      <c r="BT44" s="296"/>
      <c r="BU44" s="296"/>
      <c r="BV44" s="296"/>
      <c r="BW44" s="296"/>
      <c r="BX44" s="296"/>
      <c r="BY44" s="296"/>
      <c r="BZ44" s="296"/>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15"/>
      <c r="O47">
        <v>595.75266818970692</v>
      </c>
    </row>
    <row r="48" spans="1:78" x14ac:dyDescent="0.35">
      <c r="B48" s="715"/>
    </row>
    <row r="49" spans="2:2" x14ac:dyDescent="0.35">
      <c r="B49" s="715"/>
    </row>
    <row r="50" spans="2:2" x14ac:dyDescent="0.35">
      <c r="B50" s="715"/>
    </row>
    <row r="51" spans="2:2" x14ac:dyDescent="0.35">
      <c r="B51" s="715"/>
    </row>
    <row r="52" spans="2:2" x14ac:dyDescent="0.35">
      <c r="B52" s="715"/>
    </row>
    <row r="53" spans="2:2" x14ac:dyDescent="0.35">
      <c r="B53" s="715"/>
    </row>
    <row r="54" spans="2:2" x14ac:dyDescent="0.35">
      <c r="B54" s="71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P11" sqref="P11"/>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133" t="s">
        <v>75</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2:29" ht="14.15" customHeight="1" x14ac:dyDescent="0.3">
      <c r="B2" s="1134" t="s">
        <v>585</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row>
    <row r="3" spans="2:29" ht="59.5" customHeight="1" x14ac:dyDescent="0.3">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row>
    <row r="4" spans="2:29" ht="60.65" customHeight="1" x14ac:dyDescent="0.3">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row>
    <row r="5" spans="2:29" x14ac:dyDescent="0.3">
      <c r="B5" s="133" t="s">
        <v>465</v>
      </c>
    </row>
    <row r="6" spans="2:29" ht="14.5" customHeight="1" x14ac:dyDescent="0.3">
      <c r="B6" s="1138" t="s">
        <v>558</v>
      </c>
      <c r="C6" s="1139"/>
      <c r="D6" s="1145" t="s">
        <v>401</v>
      </c>
      <c r="E6" s="1146"/>
      <c r="F6" s="1146"/>
      <c r="G6" s="1146"/>
      <c r="H6" s="1146"/>
      <c r="I6" s="1146"/>
      <c r="J6" s="1146"/>
      <c r="K6" s="1146"/>
      <c r="L6" s="1146"/>
      <c r="M6" s="1146"/>
      <c r="N6" s="1146"/>
      <c r="O6" s="1147"/>
      <c r="P6" s="1174" t="s">
        <v>402</v>
      </c>
      <c r="Q6" s="1175"/>
      <c r="R6" s="1175"/>
      <c r="S6" s="1175"/>
      <c r="T6" s="1175"/>
      <c r="U6" s="1175"/>
      <c r="V6" s="1175"/>
      <c r="W6" s="1175"/>
      <c r="X6" s="1175"/>
      <c r="Y6" s="1175"/>
      <c r="Z6" s="1175"/>
      <c r="AA6" s="1175"/>
      <c r="AB6" s="1175"/>
      <c r="AC6" s="1176"/>
    </row>
    <row r="7" spans="2:29" x14ac:dyDescent="0.3">
      <c r="B7" s="1140"/>
      <c r="C7" s="1199"/>
      <c r="D7" s="524">
        <v>2018</v>
      </c>
      <c r="E7" s="1135">
        <v>2019</v>
      </c>
      <c r="F7" s="1136"/>
      <c r="G7" s="1136"/>
      <c r="H7" s="1137"/>
      <c r="I7" s="1135">
        <v>2020</v>
      </c>
      <c r="J7" s="1136"/>
      <c r="K7" s="1136"/>
      <c r="L7" s="1137"/>
      <c r="M7" s="1135">
        <v>2021</v>
      </c>
      <c r="N7" s="1136"/>
      <c r="O7" s="1137"/>
      <c r="P7" s="557">
        <v>2021</v>
      </c>
      <c r="Q7" s="1142">
        <v>2022</v>
      </c>
      <c r="R7" s="1143"/>
      <c r="S7" s="1143"/>
      <c r="T7" s="1144"/>
      <c r="U7" s="1142">
        <v>2023</v>
      </c>
      <c r="V7" s="1143"/>
      <c r="W7" s="1143"/>
      <c r="X7" s="1143"/>
      <c r="Y7" s="1142">
        <v>2024</v>
      </c>
      <c r="Z7" s="1143"/>
      <c r="AA7" s="1143"/>
      <c r="AB7" s="1144"/>
      <c r="AC7" s="329">
        <v>2025</v>
      </c>
    </row>
    <row r="8" spans="2:29" x14ac:dyDescent="0.3">
      <c r="B8" s="1140"/>
      <c r="C8" s="1199"/>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2:29" x14ac:dyDescent="0.3">
      <c r="B9" s="138" t="s">
        <v>144</v>
      </c>
      <c r="C9" s="233" t="s">
        <v>586</v>
      </c>
      <c r="D9" s="449">
        <f>'Haver Pivoted'!GO13</f>
        <v>589.5</v>
      </c>
      <c r="E9" s="251">
        <f>'Haver Pivoted'!GP13</f>
        <v>598.79999999999995</v>
      </c>
      <c r="F9" s="251">
        <f>'Haver Pivoted'!GQ13</f>
        <v>614.5</v>
      </c>
      <c r="G9" s="251">
        <f>'Haver Pivoted'!GR13</f>
        <v>622.4</v>
      </c>
      <c r="H9" s="251">
        <f>'Haver Pivoted'!GS13</f>
        <v>620.5</v>
      </c>
      <c r="I9" s="251">
        <f>'Haver Pivoted'!GT13</f>
        <v>606.20000000000005</v>
      </c>
      <c r="J9" s="251">
        <f>'Haver Pivoted'!GU13</f>
        <v>654.20000000000005</v>
      </c>
      <c r="K9" s="251">
        <f>'Haver Pivoted'!GV13</f>
        <v>690.4</v>
      </c>
      <c r="L9" s="251">
        <f>'Haver Pivoted'!GW13</f>
        <v>678.3</v>
      </c>
      <c r="M9" s="251">
        <f>'Haver Pivoted'!GX13</f>
        <v>695.9</v>
      </c>
      <c r="N9" s="251">
        <f>'Haver Pivoted'!GY13</f>
        <v>730.5</v>
      </c>
      <c r="O9" s="888">
        <f>'Haver Pivoted'!GZ13</f>
        <v>740</v>
      </c>
      <c r="P9" s="937"/>
      <c r="Q9" s="937"/>
      <c r="R9" s="937"/>
      <c r="S9" s="676"/>
      <c r="T9" s="676"/>
      <c r="U9" s="676"/>
      <c r="V9" s="676"/>
      <c r="W9" s="676"/>
      <c r="X9" s="676"/>
      <c r="Y9" s="676"/>
      <c r="Z9" s="676"/>
      <c r="AA9" s="676"/>
      <c r="AB9" s="676"/>
      <c r="AC9" s="549"/>
    </row>
    <row r="10" spans="2:29" x14ac:dyDescent="0.3">
      <c r="B10" s="41" t="s">
        <v>587</v>
      </c>
      <c r="C10" s="34" t="s">
        <v>471</v>
      </c>
      <c r="D10" s="155">
        <f>'Haver Pivoted'!GO40</f>
        <v>390.86599999999999</v>
      </c>
      <c r="E10" s="156">
        <f>'Haver Pivoted'!GP40</f>
        <v>408.75599999999997</v>
      </c>
      <c r="F10" s="156">
        <f>'Haver Pivoted'!GQ40</f>
        <v>413.34399999999999</v>
      </c>
      <c r="G10" s="156">
        <f>'Haver Pivoted'!GR40</f>
        <v>418.529</v>
      </c>
      <c r="H10" s="156">
        <f>'Haver Pivoted'!GS40</f>
        <v>413.80599999999998</v>
      </c>
      <c r="I10" s="156">
        <f>'Haver Pivoted'!GT40</f>
        <v>428.11799999999999</v>
      </c>
      <c r="J10" s="156">
        <f>'Haver Pivoted'!GU40</f>
        <v>502.49</v>
      </c>
      <c r="K10" s="156">
        <f>'Haver Pivoted'!GV40</f>
        <v>481.71699999999998</v>
      </c>
      <c r="L10" s="156">
        <f>'Haver Pivoted'!GW40</f>
        <v>507.83699999999999</v>
      </c>
      <c r="M10" s="156">
        <f>'Haver Pivoted'!GX40</f>
        <v>511.34500000000003</v>
      </c>
      <c r="N10" s="156">
        <f>'Haver Pivoted'!GY40</f>
        <v>520.72900000000004</v>
      </c>
      <c r="O10" s="938">
        <f>'Haver Pivoted'!GZ40</f>
        <v>530.82100000000003</v>
      </c>
      <c r="P10" s="158"/>
      <c r="Q10" s="158"/>
      <c r="R10" s="158"/>
      <c r="S10" s="419"/>
      <c r="T10" s="419"/>
      <c r="U10" s="419"/>
      <c r="V10" s="419"/>
      <c r="W10" s="419"/>
      <c r="X10" s="419"/>
      <c r="Y10" s="419"/>
      <c r="Z10" s="419"/>
      <c r="AA10" s="419"/>
      <c r="AB10" s="419"/>
      <c r="AC10" s="420"/>
    </row>
    <row r="11" spans="2:29" x14ac:dyDescent="0.3">
      <c r="B11" s="56" t="s">
        <v>588</v>
      </c>
      <c r="D11" s="175">
        <f t="shared" ref="D11:N11" si="0">D10/D9</f>
        <v>0.6630466497031382</v>
      </c>
      <c r="E11" s="330">
        <f t="shared" si="0"/>
        <v>0.68262525050100198</v>
      </c>
      <c r="F11" s="330">
        <f t="shared" si="0"/>
        <v>0.6726509357200976</v>
      </c>
      <c r="G11" s="330">
        <f t="shared" si="0"/>
        <v>0.67244376606683809</v>
      </c>
      <c r="H11" s="330">
        <f t="shared" si="0"/>
        <v>0.66689121676067686</v>
      </c>
      <c r="I11" s="330">
        <f t="shared" si="0"/>
        <v>0.70623226657868687</v>
      </c>
      <c r="J11" s="330">
        <f t="shared" si="0"/>
        <v>0.76809844084377865</v>
      </c>
      <c r="K11" s="330">
        <f t="shared" si="0"/>
        <v>0.69773609501738121</v>
      </c>
      <c r="L11" s="330">
        <f t="shared" si="0"/>
        <v>0.7486908447589562</v>
      </c>
      <c r="M11" s="330">
        <f t="shared" si="0"/>
        <v>0.7347966661876707</v>
      </c>
      <c r="N11" s="330">
        <f t="shared" si="0"/>
        <v>0.71283915126625608</v>
      </c>
      <c r="O11" s="174">
        <f>O10/O9</f>
        <v>0.71732567567567573</v>
      </c>
      <c r="P11" s="613">
        <f>O11</f>
        <v>0.71732567567567573</v>
      </c>
      <c r="Q11" s="613">
        <f>P11</f>
        <v>0.71732567567567573</v>
      </c>
      <c r="R11" s="613">
        <f>Q11</f>
        <v>0.71732567567567573</v>
      </c>
      <c r="S11" s="613">
        <f>AVERAGE(D11:G11)</f>
        <v>0.67269165049776891</v>
      </c>
      <c r="T11" s="613">
        <f>AVERAGE(D11:G11)</f>
        <v>0.67269165049776891</v>
      </c>
      <c r="U11" s="613">
        <f t="shared" ref="U11:Y12" si="1">T11</f>
        <v>0.67269165049776891</v>
      </c>
      <c r="V11" s="613">
        <f t="shared" si="1"/>
        <v>0.67269165049776891</v>
      </c>
      <c r="W11" s="613">
        <f t="shared" si="1"/>
        <v>0.67269165049776891</v>
      </c>
      <c r="X11" s="613">
        <f t="shared" si="1"/>
        <v>0.67269165049776891</v>
      </c>
      <c r="Y11" s="613">
        <f t="shared" si="1"/>
        <v>0.67269165049776891</v>
      </c>
      <c r="Z11" s="613">
        <f t="shared" ref="Z11:Z12" si="2">Y11</f>
        <v>0.67269165049776891</v>
      </c>
      <c r="AA11" s="613">
        <f t="shared" ref="AA11:AA12" si="3">Z11</f>
        <v>0.67269165049776891</v>
      </c>
      <c r="AB11" s="613">
        <f t="shared" ref="AB11:AB12" si="4">AA11</f>
        <v>0.67269165049776891</v>
      </c>
      <c r="AC11" s="622">
        <f t="shared" ref="AC11:AC12" si="5">AB11</f>
        <v>0.67269165049776891</v>
      </c>
    </row>
    <row r="12" spans="2:29" x14ac:dyDescent="0.3">
      <c r="B12" s="137" t="s">
        <v>589</v>
      </c>
      <c r="C12" s="42"/>
      <c r="D12" s="450">
        <f t="shared" ref="D12:M12" si="6">D11</f>
        <v>0.6630466497031382</v>
      </c>
      <c r="E12" s="185">
        <f t="shared" si="6"/>
        <v>0.68262525050100198</v>
      </c>
      <c r="F12" s="185">
        <f t="shared" si="6"/>
        <v>0.6726509357200976</v>
      </c>
      <c r="G12" s="185">
        <f t="shared" si="6"/>
        <v>0.67244376606683809</v>
      </c>
      <c r="H12" s="185">
        <f t="shared" si="6"/>
        <v>0.66689121676067686</v>
      </c>
      <c r="I12" s="185">
        <f t="shared" si="6"/>
        <v>0.70623226657868687</v>
      </c>
      <c r="J12" s="185">
        <f t="shared" si="6"/>
        <v>0.76809844084377865</v>
      </c>
      <c r="K12" s="185">
        <f t="shared" si="6"/>
        <v>0.69773609501738121</v>
      </c>
      <c r="L12" s="185">
        <f t="shared" si="6"/>
        <v>0.7486908447589562</v>
      </c>
      <c r="M12" s="185">
        <f t="shared" si="6"/>
        <v>0.7347966661876707</v>
      </c>
      <c r="N12" s="887">
        <f>N11+F44</f>
        <v>0.72226866700127546</v>
      </c>
      <c r="O12" s="168">
        <f>O11</f>
        <v>0.71732567567567573</v>
      </c>
      <c r="P12" s="335">
        <f>O12</f>
        <v>0.71732567567567573</v>
      </c>
      <c r="Q12" s="335">
        <f>Q11+G44</f>
        <v>0.72539569987425523</v>
      </c>
      <c r="R12" s="335">
        <f>Q12</f>
        <v>0.72539569987425523</v>
      </c>
      <c r="S12" s="335">
        <f>S11+G44</f>
        <v>0.68076167469634841</v>
      </c>
      <c r="T12" s="335">
        <f>T11+H44</f>
        <v>0.67783203145622772</v>
      </c>
      <c r="U12" s="335">
        <f t="shared" si="1"/>
        <v>0.67783203145622772</v>
      </c>
      <c r="V12" s="335">
        <f t="shared" si="1"/>
        <v>0.67783203145622772</v>
      </c>
      <c r="W12" s="335">
        <f t="shared" si="1"/>
        <v>0.67783203145622772</v>
      </c>
      <c r="X12" s="335">
        <f t="shared" si="1"/>
        <v>0.67783203145622772</v>
      </c>
      <c r="Y12" s="335">
        <f t="shared" si="1"/>
        <v>0.67783203145622772</v>
      </c>
      <c r="Z12" s="335">
        <f t="shared" si="2"/>
        <v>0.67783203145622772</v>
      </c>
      <c r="AA12" s="335">
        <f t="shared" si="3"/>
        <v>0.67783203145622772</v>
      </c>
      <c r="AB12" s="335">
        <f t="shared" si="4"/>
        <v>0.67783203145622772</v>
      </c>
      <c r="AC12" s="623">
        <f t="shared" si="5"/>
        <v>0.67783203145622772</v>
      </c>
    </row>
    <row r="14" spans="2:29" x14ac:dyDescent="0.3">
      <c r="B14" s="52" t="s">
        <v>484</v>
      </c>
      <c r="I14" s="1228" t="s">
        <v>1256</v>
      </c>
      <c r="J14" s="1228"/>
      <c r="K14" s="1228"/>
      <c r="L14" s="1228"/>
    </row>
    <row r="15" spans="2:29" ht="25" customHeight="1" x14ac:dyDescent="0.3">
      <c r="B15" s="332" t="s">
        <v>590</v>
      </c>
      <c r="C15" s="520">
        <v>2020</v>
      </c>
      <c r="D15" s="521">
        <v>2021</v>
      </c>
      <c r="E15" s="521">
        <v>2022</v>
      </c>
      <c r="F15" s="521">
        <v>2023</v>
      </c>
      <c r="G15" s="522">
        <v>2024</v>
      </c>
      <c r="H15" s="331"/>
      <c r="I15" s="1027">
        <v>2021</v>
      </c>
      <c r="J15" s="1027">
        <v>2022</v>
      </c>
      <c r="K15" s="1027">
        <v>2023</v>
      </c>
      <c r="L15" s="1028">
        <v>2024</v>
      </c>
    </row>
    <row r="16" spans="2:29" ht="31.5" customHeight="1" x14ac:dyDescent="0.3">
      <c r="B16" s="49" t="s">
        <v>591</v>
      </c>
      <c r="C16" s="517">
        <v>458.46800000000002</v>
      </c>
      <c r="D16" s="518">
        <v>519.15800000000002</v>
      </c>
      <c r="E16" s="518">
        <v>545.428</v>
      </c>
      <c r="F16" s="518">
        <v>512.61800000000005</v>
      </c>
      <c r="G16" s="519">
        <v>520</v>
      </c>
      <c r="I16" s="1029">
        <f>AVERAGE(H26:K26)</f>
        <v>519.40506531110793</v>
      </c>
      <c r="J16" s="1029">
        <f>AVERAGE(L26:O26)</f>
        <v>545.44432900128754</v>
      </c>
      <c r="K16" s="1029">
        <f>AVERAGE(P26:S26)</f>
        <v>512.73259691441569</v>
      </c>
      <c r="L16" s="1029">
        <f>AVERAGE(T26:W26)</f>
        <v>520.06762836648227</v>
      </c>
    </row>
    <row r="17" spans="2:25" x14ac:dyDescent="0.3">
      <c r="B17" s="41" t="s">
        <v>592</v>
      </c>
      <c r="C17" s="175">
        <f>AVERAGE(H11:K11)</f>
        <v>0.70973950480013093</v>
      </c>
      <c r="D17" s="330">
        <f>AVERAGE(L11:O11)</f>
        <v>0.7284130844721397</v>
      </c>
      <c r="E17" s="330">
        <f>AVERAGE(P11:S11)</f>
        <v>0.70616716938119906</v>
      </c>
      <c r="F17" s="330">
        <f>AVERAGE(T11:W11)</f>
        <v>0.67269165049776891</v>
      </c>
      <c r="G17" s="174">
        <f>AVERAGE(X12:AA12)</f>
        <v>0.67783203145622772</v>
      </c>
      <c r="I17" s="34">
        <f>I16/D16</f>
        <v>1.0004758961840285</v>
      </c>
      <c r="J17" s="34">
        <f>J16/E16</f>
        <v>1.0000299379593411</v>
      </c>
      <c r="K17" s="34">
        <f>K16/F16</f>
        <v>1.0002235522638996</v>
      </c>
      <c r="L17" s="34">
        <f>L16/G16</f>
        <v>1.0001300545509275</v>
      </c>
    </row>
    <row r="18" spans="2:25" x14ac:dyDescent="0.3">
      <c r="B18" s="41" t="s">
        <v>593</v>
      </c>
      <c r="C18" s="145">
        <f>C16/C17</f>
        <v>645.96657914527214</v>
      </c>
      <c r="D18" s="43">
        <f>D16/D17</f>
        <v>712.72470397236077</v>
      </c>
      <c r="E18" s="43">
        <f>E16/E17</f>
        <v>772.37801989286504</v>
      </c>
      <c r="F18" s="43">
        <f>F16/F17</f>
        <v>762.04008124774577</v>
      </c>
      <c r="G18" s="273">
        <f>G16/G17</f>
        <v>767.1517070133915</v>
      </c>
    </row>
    <row r="19" spans="2:25" ht="32.15" customHeight="1" x14ac:dyDescent="0.3">
      <c r="B19" s="149" t="s">
        <v>594</v>
      </c>
      <c r="C19" s="146"/>
      <c r="D19" s="185">
        <f>D18/C18-1</f>
        <v>0.10334609712381937</v>
      </c>
      <c r="E19" s="185">
        <f>E18/D18-1-0.027</f>
        <v>5.6697556136369981E-2</v>
      </c>
      <c r="F19" s="185">
        <f>F18/E18-1-0.0385</f>
        <v>-5.1884558310648442E-2</v>
      </c>
      <c r="G19" s="168">
        <f>G18/F18-1+0.0495</f>
        <v>5.6207817464504109E-2</v>
      </c>
      <c r="I19" s="171"/>
      <c r="J19" s="171"/>
      <c r="K19" s="171"/>
      <c r="L19" s="171"/>
    </row>
    <row r="21" spans="2:25" x14ac:dyDescent="0.3">
      <c r="B21" s="52" t="s">
        <v>497</v>
      </c>
    </row>
    <row r="22" spans="2:25" x14ac:dyDescent="0.3">
      <c r="B22" s="1138" t="s">
        <v>595</v>
      </c>
      <c r="C22" s="1198"/>
      <c r="D22" s="1145" t="s">
        <v>401</v>
      </c>
      <c r="E22" s="1146"/>
      <c r="F22" s="1146"/>
      <c r="G22" s="1146"/>
      <c r="H22" s="1146"/>
      <c r="I22" s="1146"/>
      <c r="J22" s="1146"/>
      <c r="K22" s="1147"/>
      <c r="L22" s="1174" t="s">
        <v>402</v>
      </c>
      <c r="M22" s="1175"/>
      <c r="N22" s="1175"/>
      <c r="O22" s="1175"/>
      <c r="P22" s="1175"/>
      <c r="Q22" s="1175"/>
      <c r="R22" s="1175"/>
      <c r="S22" s="1175"/>
      <c r="T22" s="1175"/>
      <c r="U22" s="1175"/>
      <c r="V22" s="1175"/>
      <c r="W22" s="1175"/>
      <c r="X22" s="1175"/>
      <c r="Y22" s="1176"/>
    </row>
    <row r="23" spans="2:25" x14ac:dyDescent="0.3">
      <c r="B23" s="1140"/>
      <c r="C23" s="1199"/>
      <c r="D23" s="571"/>
      <c r="E23" s="1136">
        <v>2020</v>
      </c>
      <c r="F23" s="1136"/>
      <c r="G23" s="1136"/>
      <c r="H23" s="1136"/>
      <c r="I23" s="1135">
        <v>2021</v>
      </c>
      <c r="J23" s="1136"/>
      <c r="K23" s="1137"/>
      <c r="L23" s="557">
        <v>2021</v>
      </c>
      <c r="M23" s="1226">
        <v>2022</v>
      </c>
      <c r="N23" s="1227"/>
      <c r="O23" s="1227"/>
      <c r="P23" s="1227"/>
      <c r="Q23" s="1226">
        <v>2023</v>
      </c>
      <c r="R23" s="1227"/>
      <c r="S23" s="1227"/>
      <c r="T23" s="1227"/>
      <c r="U23" s="1142">
        <v>2024</v>
      </c>
      <c r="V23" s="1143"/>
      <c r="W23" s="1143"/>
      <c r="X23" s="1143"/>
      <c r="Y23" s="329">
        <v>2025</v>
      </c>
    </row>
    <row r="24" spans="2:25" x14ac:dyDescent="0.3">
      <c r="B24" s="1178"/>
      <c r="C24" s="1200"/>
      <c r="D24" s="167" t="s">
        <v>403</v>
      </c>
      <c r="E24" s="148" t="s">
        <v>404</v>
      </c>
      <c r="F24" s="148" t="s">
        <v>405</v>
      </c>
      <c r="G24" s="148" t="s">
        <v>290</v>
      </c>
      <c r="H24" s="148" t="s">
        <v>403</v>
      </c>
      <c r="I24" s="161" t="s">
        <v>404</v>
      </c>
      <c r="J24" s="148" t="s">
        <v>405</v>
      </c>
      <c r="K24" s="154" t="s">
        <v>290</v>
      </c>
      <c r="L24" s="420" t="s">
        <v>403</v>
      </c>
      <c r="M24" s="418" t="s">
        <v>404</v>
      </c>
      <c r="N24" s="419" t="s">
        <v>405</v>
      </c>
      <c r="O24" s="419" t="s">
        <v>290</v>
      </c>
      <c r="P24" s="419" t="s">
        <v>403</v>
      </c>
      <c r="Q24" s="418" t="s">
        <v>404</v>
      </c>
      <c r="R24" s="419" t="s">
        <v>405</v>
      </c>
      <c r="S24" s="419" t="s">
        <v>290</v>
      </c>
      <c r="T24" s="419" t="s">
        <v>403</v>
      </c>
      <c r="U24" s="418" t="s">
        <v>404</v>
      </c>
      <c r="V24" s="384" t="s">
        <v>405</v>
      </c>
      <c r="W24" s="419" t="s">
        <v>290</v>
      </c>
      <c r="X24" s="419" t="s">
        <v>403</v>
      </c>
      <c r="Y24" s="71" t="s">
        <v>404</v>
      </c>
    </row>
    <row r="25" spans="2:25" ht="19.5" customHeight="1" x14ac:dyDescent="0.35">
      <c r="B25" s="939" t="s">
        <v>596</v>
      </c>
      <c r="C25" s="940"/>
      <c r="D25" s="882">
        <f t="shared" ref="D25:J25" si="7">H9</f>
        <v>620.5</v>
      </c>
      <c r="E25" s="883">
        <f t="shared" si="7"/>
        <v>606.20000000000005</v>
      </c>
      <c r="F25" s="883">
        <f t="shared" si="7"/>
        <v>654.20000000000005</v>
      </c>
      <c r="G25" s="883">
        <f t="shared" si="7"/>
        <v>690.4</v>
      </c>
      <c r="H25" s="883">
        <f t="shared" si="7"/>
        <v>678.3</v>
      </c>
      <c r="I25" s="883">
        <f t="shared" si="7"/>
        <v>695.9</v>
      </c>
      <c r="J25" s="883">
        <f t="shared" si="7"/>
        <v>730.5</v>
      </c>
      <c r="K25" s="884">
        <f>O9</f>
        <v>740</v>
      </c>
      <c r="L25" s="651">
        <f>K25*(1+$E$19)^0.25</f>
        <v>750.27313417313019</v>
      </c>
      <c r="M25" s="651">
        <f>L25*(1+$E$19)^0.25</f>
        <v>760.68888629996195</v>
      </c>
      <c r="N25" s="651">
        <f>M25*(1+$E$19)^0.25</f>
        <v>771.24923629045986</v>
      </c>
      <c r="O25" s="651">
        <f>N25*(1+$E$19)^0.25</f>
        <v>781.95619154091401</v>
      </c>
      <c r="P25" s="651">
        <f>O25*(1+$F$19)^0.25</f>
        <v>771.60978730291697</v>
      </c>
      <c r="Q25" s="651">
        <f>P25*(1+$F$19)^0.25</f>
        <v>761.40028086279415</v>
      </c>
      <c r="R25" s="651">
        <f>Q25*(1+$F$19)^0.25</f>
        <v>751.32586086593074</v>
      </c>
      <c r="S25" s="651">
        <f>R25*(1+$F$19)^0.25</f>
        <v>741.3847399245368</v>
      </c>
      <c r="T25" s="651">
        <f t="shared" ref="T25:Y25" si="8">S25*(1+$G$19)^0.25</f>
        <v>751.58998941094046</v>
      </c>
      <c r="U25" s="651">
        <f t="shared" si="8"/>
        <v>761.93571537530659</v>
      </c>
      <c r="V25" s="651">
        <f t="shared" si="8"/>
        <v>772.42385149313111</v>
      </c>
      <c r="W25" s="651">
        <f t="shared" si="8"/>
        <v>783.05635805718384</v>
      </c>
      <c r="X25" s="651">
        <f t="shared" si="8"/>
        <v>793.83522234389898</v>
      </c>
      <c r="Y25" s="941">
        <f t="shared" si="8"/>
        <v>804.76245898480795</v>
      </c>
    </row>
    <row r="26" spans="2:25" ht="19" customHeight="1" x14ac:dyDescent="0.35">
      <c r="B26" s="139" t="s">
        <v>251</v>
      </c>
      <c r="C26" s="140"/>
      <c r="D26" s="590">
        <f>D25*H12</f>
        <v>413.80599999999998</v>
      </c>
      <c r="E26" s="191">
        <f t="shared" ref="E26:Y26" si="9">E25*I12</f>
        <v>428.11799999999999</v>
      </c>
      <c r="F26" s="191">
        <f t="shared" si="9"/>
        <v>502.49</v>
      </c>
      <c r="G26" s="191">
        <f t="shared" si="9"/>
        <v>481.71699999999998</v>
      </c>
      <c r="H26" s="191">
        <f t="shared" si="9"/>
        <v>507.83699999999993</v>
      </c>
      <c r="I26" s="191">
        <f t="shared" si="9"/>
        <v>511.34500000000003</v>
      </c>
      <c r="J26" s="191">
        <f t="shared" si="9"/>
        <v>527.61726124443169</v>
      </c>
      <c r="K26" s="942">
        <f>K25*O12</f>
        <v>530.82100000000003</v>
      </c>
      <c r="L26" s="333">
        <f t="shared" si="9"/>
        <v>538.19018291204748</v>
      </c>
      <c r="M26" s="333">
        <f t="shared" si="9"/>
        <v>551.80044706412866</v>
      </c>
      <c r="N26" s="333">
        <f t="shared" si="9"/>
        <v>559.46087953640301</v>
      </c>
      <c r="O26" s="333">
        <f t="shared" si="9"/>
        <v>532.32580649257125</v>
      </c>
      <c r="P26" s="333">
        <f t="shared" si="9"/>
        <v>523.02182961904396</v>
      </c>
      <c r="Q26" s="333">
        <f t="shared" si="9"/>
        <v>516.10149912857014</v>
      </c>
      <c r="R26" s="333">
        <f t="shared" si="9"/>
        <v>509.27273455635293</v>
      </c>
      <c r="S26" s="333">
        <f t="shared" si="9"/>
        <v>502.53432435369587</v>
      </c>
      <c r="T26" s="333">
        <f t="shared" si="9"/>
        <v>509.45176934458243</v>
      </c>
      <c r="U26" s="333">
        <f t="shared" si="9"/>
        <v>516.46443379189816</v>
      </c>
      <c r="V26" s="333">
        <f t="shared" si="9"/>
        <v>523.57362840283258</v>
      </c>
      <c r="W26" s="333">
        <f t="shared" si="9"/>
        <v>530.78068192661613</v>
      </c>
      <c r="X26" s="333">
        <f t="shared" si="9"/>
        <v>538.08694140287128</v>
      </c>
      <c r="Y26" s="334">
        <f t="shared" si="9"/>
        <v>545.49377241338152</v>
      </c>
    </row>
    <row r="27" spans="2:25" ht="19" customHeight="1" x14ac:dyDescent="0.3">
      <c r="B27" s="137" t="s">
        <v>597</v>
      </c>
      <c r="C27" s="42"/>
      <c r="D27" s="885">
        <f t="shared" ref="D27:Y27" si="10">D25-D26</f>
        <v>206.69400000000002</v>
      </c>
      <c r="E27" s="648">
        <f t="shared" si="10"/>
        <v>178.08200000000005</v>
      </c>
      <c r="F27" s="648">
        <f t="shared" si="10"/>
        <v>151.71000000000004</v>
      </c>
      <c r="G27" s="648">
        <f t="shared" si="10"/>
        <v>208.68299999999999</v>
      </c>
      <c r="H27" s="648">
        <f t="shared" si="10"/>
        <v>170.46300000000002</v>
      </c>
      <c r="I27" s="648">
        <f t="shared" si="10"/>
        <v>184.55499999999995</v>
      </c>
      <c r="J27" s="648">
        <f t="shared" si="10"/>
        <v>202.88273875556831</v>
      </c>
      <c r="K27" s="886">
        <f t="shared" si="10"/>
        <v>209.17899999999997</v>
      </c>
      <c r="L27" s="649">
        <f t="shared" si="10"/>
        <v>212.08295126108271</v>
      </c>
      <c r="M27" s="649">
        <f t="shared" si="10"/>
        <v>208.88843923583329</v>
      </c>
      <c r="N27" s="649">
        <f t="shared" si="10"/>
        <v>211.78835675405685</v>
      </c>
      <c r="O27" s="649">
        <f t="shared" si="10"/>
        <v>249.63038504834276</v>
      </c>
      <c r="P27" s="649">
        <f t="shared" si="10"/>
        <v>248.58795768387301</v>
      </c>
      <c r="Q27" s="649">
        <f t="shared" si="10"/>
        <v>245.29878173422401</v>
      </c>
      <c r="R27" s="649">
        <f t="shared" si="10"/>
        <v>242.05312630957781</v>
      </c>
      <c r="S27" s="649">
        <f t="shared" si="10"/>
        <v>238.85041557084094</v>
      </c>
      <c r="T27" s="649">
        <f t="shared" si="10"/>
        <v>242.13822006635803</v>
      </c>
      <c r="U27" s="649">
        <f t="shared" si="10"/>
        <v>245.47128158340843</v>
      </c>
      <c r="V27" s="649">
        <f t="shared" si="10"/>
        <v>248.85022309029853</v>
      </c>
      <c r="W27" s="649">
        <f t="shared" si="10"/>
        <v>252.27567613056772</v>
      </c>
      <c r="X27" s="649">
        <f t="shared" si="10"/>
        <v>255.7482809410277</v>
      </c>
      <c r="Y27" s="650">
        <f t="shared" si="10"/>
        <v>259.26868657142643</v>
      </c>
    </row>
    <row r="28" spans="2:25" x14ac:dyDescent="0.3">
      <c r="D28" s="172"/>
      <c r="E28" s="172"/>
      <c r="F28" s="172"/>
      <c r="G28" s="172"/>
      <c r="H28" s="172"/>
      <c r="I28" s="234"/>
      <c r="J28" s="172"/>
      <c r="K28" s="172"/>
      <c r="L28" s="172"/>
      <c r="M28" s="172"/>
      <c r="N28" s="172"/>
      <c r="O28" s="172"/>
      <c r="P28" s="172"/>
      <c r="Q28" s="172"/>
      <c r="R28" s="172"/>
      <c r="S28" s="172"/>
    </row>
    <row r="29" spans="2:25" x14ac:dyDescent="0.3">
      <c r="D29" s="172"/>
      <c r="E29" s="172"/>
      <c r="F29" s="172"/>
      <c r="G29" s="172"/>
      <c r="H29" s="172"/>
      <c r="I29" s="234"/>
      <c r="J29" s="172"/>
      <c r="K29" s="172"/>
      <c r="L29" s="172"/>
      <c r="M29" s="172"/>
      <c r="N29" s="172"/>
      <c r="O29" s="172"/>
      <c r="P29" s="172"/>
      <c r="Q29" s="172"/>
      <c r="R29" s="172"/>
      <c r="S29" s="172"/>
    </row>
    <row r="32" spans="2:25" x14ac:dyDescent="0.3">
      <c r="B32" s="340" t="s">
        <v>598</v>
      </c>
      <c r="C32" s="341"/>
      <c r="D32" s="341"/>
      <c r="E32" s="342"/>
      <c r="F32" s="343">
        <v>2021</v>
      </c>
      <c r="G32" s="343">
        <v>2022</v>
      </c>
      <c r="H32" s="343">
        <v>2023</v>
      </c>
      <c r="I32" s="343">
        <v>2024</v>
      </c>
      <c r="J32" s="343">
        <v>2025</v>
      </c>
      <c r="K32" s="343">
        <v>2025</v>
      </c>
      <c r="L32" s="343">
        <v>2027</v>
      </c>
      <c r="M32" s="343">
        <v>2028</v>
      </c>
      <c r="N32" s="343">
        <v>2029</v>
      </c>
      <c r="O32" s="343">
        <v>2030</v>
      </c>
      <c r="P32" s="344">
        <v>2031</v>
      </c>
    </row>
    <row r="33" spans="2:17" x14ac:dyDescent="0.3">
      <c r="B33" s="1217" t="s">
        <v>599</v>
      </c>
      <c r="C33" s="1218"/>
      <c r="D33" s="1218"/>
      <c r="E33" s="1219"/>
      <c r="F33" s="43">
        <v>287</v>
      </c>
      <c r="G33" s="43">
        <v>534</v>
      </c>
      <c r="H33" s="43">
        <v>247</v>
      </c>
      <c r="I33" s="43">
        <v>63</v>
      </c>
      <c r="J33" s="43"/>
      <c r="K33" s="43"/>
      <c r="L33" s="43"/>
      <c r="M33" s="43"/>
      <c r="N33" s="43"/>
      <c r="O33" s="43"/>
      <c r="P33" s="273"/>
    </row>
    <row r="34" spans="2:17" x14ac:dyDescent="0.3">
      <c r="B34" s="1217" t="s">
        <v>600</v>
      </c>
      <c r="C34" s="1218"/>
      <c r="D34" s="1218"/>
      <c r="E34" s="1219"/>
      <c r="F34" s="43">
        <v>0</v>
      </c>
      <c r="G34" s="43">
        <v>0</v>
      </c>
      <c r="H34" s="43">
        <v>756</v>
      </c>
      <c r="I34" s="43">
        <v>1249</v>
      </c>
      <c r="J34" s="43">
        <v>1417</v>
      </c>
      <c r="K34" s="43">
        <v>1522</v>
      </c>
      <c r="L34" s="43">
        <v>1107</v>
      </c>
      <c r="M34" s="43"/>
      <c r="N34" s="43"/>
      <c r="O34" s="43"/>
      <c r="P34" s="273"/>
    </row>
    <row r="35" spans="2:17" x14ac:dyDescent="0.3">
      <c r="B35" s="1217" t="s">
        <v>601</v>
      </c>
      <c r="C35" s="1218"/>
      <c r="D35" s="1218"/>
      <c r="E35" s="1219"/>
      <c r="F35" s="43">
        <v>0</v>
      </c>
      <c r="G35" s="43">
        <v>5</v>
      </c>
      <c r="H35" s="43">
        <v>77</v>
      </c>
      <c r="I35" s="43">
        <v>307</v>
      </c>
      <c r="J35" s="43">
        <v>332</v>
      </c>
      <c r="K35" s="43">
        <v>270</v>
      </c>
      <c r="L35" s="43">
        <v>25</v>
      </c>
      <c r="M35" s="43">
        <v>32</v>
      </c>
      <c r="N35" s="43">
        <v>40</v>
      </c>
      <c r="O35" s="43">
        <v>49</v>
      </c>
      <c r="P35" s="273">
        <v>58</v>
      </c>
    </row>
    <row r="36" spans="2:17" ht="32.5" customHeight="1" x14ac:dyDescent="0.3">
      <c r="B36" s="1223" t="s">
        <v>602</v>
      </c>
      <c r="C36" s="1224"/>
      <c r="D36" s="1224"/>
      <c r="E36" s="1225"/>
      <c r="F36" s="43">
        <v>0</v>
      </c>
      <c r="G36" s="43">
        <v>0</v>
      </c>
      <c r="H36" s="43">
        <v>3768</v>
      </c>
      <c r="I36" s="43">
        <v>3428</v>
      </c>
      <c r="J36" s="43">
        <v>2176</v>
      </c>
      <c r="K36" s="43">
        <v>2304</v>
      </c>
      <c r="L36" s="43">
        <v>2129</v>
      </c>
      <c r="M36" s="43">
        <v>1335</v>
      </c>
      <c r="N36" s="43">
        <v>478</v>
      </c>
      <c r="O36" s="43">
        <v>531</v>
      </c>
      <c r="P36" s="273">
        <v>212</v>
      </c>
    </row>
    <row r="37" spans="2:17" ht="32.5" customHeight="1" x14ac:dyDescent="0.3">
      <c r="B37" s="1223" t="s">
        <v>603</v>
      </c>
      <c r="C37" s="1224"/>
      <c r="D37" s="1224"/>
      <c r="E37" s="1225"/>
      <c r="F37" s="43">
        <v>38</v>
      </c>
      <c r="G37" s="43">
        <v>81</v>
      </c>
      <c r="H37" s="43">
        <v>43</v>
      </c>
      <c r="I37" s="43"/>
      <c r="J37" s="43"/>
      <c r="K37" s="43"/>
      <c r="L37" s="43"/>
      <c r="M37" s="43"/>
      <c r="N37" s="43"/>
      <c r="O37" s="43"/>
      <c r="P37" s="273"/>
    </row>
    <row r="38" spans="2:17" x14ac:dyDescent="0.3">
      <c r="B38" s="1217" t="s">
        <v>604</v>
      </c>
      <c r="C38" s="1218"/>
      <c r="D38" s="1218"/>
      <c r="E38" s="1219"/>
      <c r="F38" s="43"/>
      <c r="G38" s="43"/>
      <c r="H38" s="43"/>
      <c r="I38" s="43">
        <v>-184</v>
      </c>
      <c r="J38" s="43">
        <v>-1830</v>
      </c>
      <c r="K38" s="43">
        <v>-2406</v>
      </c>
      <c r="L38" s="43">
        <v>-2419</v>
      </c>
      <c r="M38" s="43">
        <v>-2467</v>
      </c>
      <c r="N38" s="43">
        <v>-2531</v>
      </c>
      <c r="O38" s="43">
        <v>-2667</v>
      </c>
      <c r="P38" s="273">
        <v>-2809</v>
      </c>
    </row>
    <row r="39" spans="2:17" ht="15.65" customHeight="1" x14ac:dyDescent="0.3">
      <c r="B39" s="1214" t="s">
        <v>605</v>
      </c>
      <c r="C39" s="1215"/>
      <c r="D39" s="1215"/>
      <c r="E39" s="1216"/>
      <c r="F39" s="43">
        <v>6524</v>
      </c>
      <c r="G39" s="43">
        <v>6143</v>
      </c>
      <c r="H39" s="43"/>
      <c r="I39" s="43"/>
      <c r="J39" s="43"/>
      <c r="K39" s="43"/>
      <c r="L39" s="43"/>
      <c r="M39" s="43"/>
      <c r="N39" s="43"/>
      <c r="O39" s="43"/>
      <c r="P39" s="273"/>
    </row>
    <row r="40" spans="2:17" x14ac:dyDescent="0.3">
      <c r="B40" s="1217" t="s">
        <v>606</v>
      </c>
      <c r="C40" s="1218"/>
      <c r="D40" s="1218"/>
      <c r="E40" s="1219"/>
      <c r="F40" s="43">
        <v>50</v>
      </c>
      <c r="G40" s="43">
        <v>175</v>
      </c>
      <c r="H40" s="43">
        <v>25</v>
      </c>
      <c r="I40" s="43"/>
      <c r="J40" s="43"/>
      <c r="K40" s="43"/>
      <c r="L40" s="43"/>
      <c r="M40" s="43"/>
      <c r="N40" s="43"/>
      <c r="O40" s="43"/>
      <c r="P40" s="273"/>
    </row>
    <row r="41" spans="2:17" x14ac:dyDescent="0.3">
      <c r="B41" s="1217" t="s">
        <v>607</v>
      </c>
      <c r="C41" s="1218"/>
      <c r="D41" s="1218"/>
      <c r="E41" s="1219"/>
      <c r="F41" s="43">
        <v>829</v>
      </c>
      <c r="G41" s="43">
        <v>844</v>
      </c>
      <c r="H41" s="43"/>
      <c r="I41" s="43"/>
      <c r="J41" s="43"/>
      <c r="K41" s="43"/>
      <c r="L41" s="43"/>
      <c r="M41" s="43"/>
      <c r="N41" s="43"/>
      <c r="O41" s="43"/>
      <c r="P41" s="273"/>
    </row>
    <row r="42" spans="2:17" x14ac:dyDescent="0.3">
      <c r="B42" s="1220" t="s">
        <v>608</v>
      </c>
      <c r="C42" s="1221"/>
      <c r="D42" s="1221"/>
      <c r="E42" s="1222"/>
      <c r="F42" s="43">
        <f t="shared" ref="F42:P42" si="11">SUM(F33:F41)</f>
        <v>7728</v>
      </c>
      <c r="G42" s="43">
        <f t="shared" si="11"/>
        <v>7782</v>
      </c>
      <c r="H42" s="43">
        <f t="shared" si="11"/>
        <v>4916</v>
      </c>
      <c r="I42" s="43">
        <f t="shared" si="11"/>
        <v>4863</v>
      </c>
      <c r="J42" s="43">
        <f t="shared" si="11"/>
        <v>2095</v>
      </c>
      <c r="K42" s="43">
        <f t="shared" si="11"/>
        <v>1690</v>
      </c>
      <c r="L42" s="43">
        <f t="shared" si="11"/>
        <v>842</v>
      </c>
      <c r="M42" s="43">
        <f t="shared" si="11"/>
        <v>-1100</v>
      </c>
      <c r="N42" s="43">
        <f t="shared" si="11"/>
        <v>-2013</v>
      </c>
      <c r="O42" s="43">
        <f t="shared" si="11"/>
        <v>-2087</v>
      </c>
      <c r="P42" s="273">
        <f t="shared" si="11"/>
        <v>-2539</v>
      </c>
    </row>
    <row r="43" spans="2:17" x14ac:dyDescent="0.3">
      <c r="B43" s="1214" t="s">
        <v>609</v>
      </c>
      <c r="C43" s="1215"/>
      <c r="D43" s="1215"/>
      <c r="E43" s="1216"/>
      <c r="F43" s="43">
        <f t="shared" ref="F43:P43" si="12">F39+F37+F36</f>
        <v>6562</v>
      </c>
      <c r="G43" s="43">
        <f t="shared" si="12"/>
        <v>6224</v>
      </c>
      <c r="H43" s="43">
        <f t="shared" si="12"/>
        <v>3811</v>
      </c>
      <c r="I43" s="43">
        <f t="shared" si="12"/>
        <v>3428</v>
      </c>
      <c r="J43" s="43">
        <f t="shared" si="12"/>
        <v>2176</v>
      </c>
      <c r="K43" s="43">
        <f t="shared" si="12"/>
        <v>2304</v>
      </c>
      <c r="L43" s="43">
        <f t="shared" si="12"/>
        <v>2129</v>
      </c>
      <c r="M43" s="43">
        <f t="shared" si="12"/>
        <v>1335</v>
      </c>
      <c r="N43" s="43">
        <f t="shared" si="12"/>
        <v>478</v>
      </c>
      <c r="O43" s="43">
        <f t="shared" si="12"/>
        <v>531</v>
      </c>
      <c r="P43" s="273">
        <f t="shared" si="12"/>
        <v>212</v>
      </c>
      <c r="Q43" s="34" t="s">
        <v>610</v>
      </c>
    </row>
    <row r="44" spans="2:17" x14ac:dyDescent="0.3">
      <c r="B44" s="1217" t="s">
        <v>611</v>
      </c>
      <c r="C44" s="1218"/>
      <c r="D44" s="1218"/>
      <c r="E44" s="1219"/>
      <c r="F44" s="43">
        <f>(F43/1000)/I25</f>
        <v>9.4295157350194007E-3</v>
      </c>
      <c r="G44" s="43">
        <f>(G43/1000)/N25</f>
        <v>8.0700241985795403E-3</v>
      </c>
      <c r="H44" s="43">
        <f>(H43/1000)/S25</f>
        <v>5.140380958458775E-3</v>
      </c>
      <c r="I44" s="43">
        <f>(I43/1000)/T25</f>
        <v>4.5609974165391675E-3</v>
      </c>
      <c r="J44" s="43"/>
      <c r="K44" s="43"/>
      <c r="L44" s="43"/>
      <c r="M44" s="43"/>
      <c r="N44" s="43"/>
      <c r="O44" s="43"/>
      <c r="P44" s="273"/>
      <c r="Q44" s="34" t="s">
        <v>612</v>
      </c>
    </row>
    <row r="45" spans="2:17" x14ac:dyDescent="0.3">
      <c r="B45" s="1211" t="s">
        <v>613</v>
      </c>
      <c r="C45" s="1212"/>
      <c r="D45" s="1212"/>
      <c r="E45" s="1213"/>
      <c r="F45" s="144">
        <f t="shared" ref="F45:P45" si="13">F42-F43</f>
        <v>1166</v>
      </c>
      <c r="G45" s="144">
        <f t="shared" si="13"/>
        <v>1558</v>
      </c>
      <c r="H45" s="144">
        <f t="shared" si="13"/>
        <v>1105</v>
      </c>
      <c r="I45" s="144">
        <f t="shared" si="13"/>
        <v>1435</v>
      </c>
      <c r="J45" s="144">
        <f t="shared" si="13"/>
        <v>-81</v>
      </c>
      <c r="K45" s="144">
        <f t="shared" si="13"/>
        <v>-614</v>
      </c>
      <c r="L45" s="144">
        <f t="shared" si="13"/>
        <v>-1287</v>
      </c>
      <c r="M45" s="144">
        <f t="shared" si="13"/>
        <v>-2435</v>
      </c>
      <c r="N45" s="144">
        <f t="shared" si="13"/>
        <v>-2491</v>
      </c>
      <c r="O45" s="144">
        <f t="shared" si="13"/>
        <v>-2618</v>
      </c>
      <c r="P45" s="173">
        <f t="shared" si="13"/>
        <v>-2751</v>
      </c>
    </row>
  </sheetData>
  <mergeCells count="33">
    <mergeCell ref="I14:L14"/>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7" workbookViewId="0">
      <selection activeCell="Q15" sqref="Q15"/>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33" t="s">
        <v>76</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2:29" ht="14.15" customHeight="1" x14ac:dyDescent="0.3">
      <c r="B2" s="1134" t="s">
        <v>614</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row>
    <row r="3" spans="2:29" x14ac:dyDescent="0.3">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row>
    <row r="4" spans="2:29" x14ac:dyDescent="0.3">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row>
    <row r="6" spans="2:29" x14ac:dyDescent="0.3">
      <c r="B6" s="52" t="s">
        <v>465</v>
      </c>
    </row>
    <row r="7" spans="2:29" ht="14.5" customHeight="1" x14ac:dyDescent="0.3">
      <c r="B7" s="1138" t="s">
        <v>558</v>
      </c>
      <c r="C7" s="1198"/>
      <c r="D7" s="1145" t="s">
        <v>401</v>
      </c>
      <c r="E7" s="1146"/>
      <c r="F7" s="1146"/>
      <c r="G7" s="1146"/>
      <c r="H7" s="1146"/>
      <c r="I7" s="1146"/>
      <c r="J7" s="1146"/>
      <c r="K7" s="1146"/>
      <c r="L7" s="1146"/>
      <c r="M7" s="1146"/>
      <c r="N7" s="1146"/>
      <c r="O7" s="1147"/>
      <c r="P7" s="1174" t="s">
        <v>402</v>
      </c>
      <c r="Q7" s="1175"/>
      <c r="R7" s="1175"/>
      <c r="S7" s="1175"/>
      <c r="T7" s="1175"/>
      <c r="U7" s="1175"/>
      <c r="V7" s="1175"/>
      <c r="W7" s="1175"/>
      <c r="X7" s="1175"/>
      <c r="Y7" s="1175"/>
      <c r="Z7" s="1175"/>
      <c r="AA7" s="1175"/>
      <c r="AB7" s="1175"/>
      <c r="AC7" s="1176"/>
    </row>
    <row r="8" spans="2:29" x14ac:dyDescent="0.3">
      <c r="B8" s="1140"/>
      <c r="C8" s="1199"/>
      <c r="D8" s="524">
        <v>2018</v>
      </c>
      <c r="E8" s="1135">
        <v>2019</v>
      </c>
      <c r="F8" s="1136"/>
      <c r="G8" s="1136"/>
      <c r="H8" s="1137"/>
      <c r="I8" s="1135">
        <v>2020</v>
      </c>
      <c r="J8" s="1136"/>
      <c r="K8" s="1136"/>
      <c r="L8" s="1137"/>
      <c r="M8" s="1135">
        <v>2021</v>
      </c>
      <c r="N8" s="1136"/>
      <c r="O8" s="1137"/>
      <c r="P8" s="557">
        <v>2021</v>
      </c>
      <c r="Q8" s="1142">
        <v>2022</v>
      </c>
      <c r="R8" s="1143"/>
      <c r="S8" s="1143"/>
      <c r="T8" s="1144"/>
      <c r="U8" s="1142">
        <v>2023</v>
      </c>
      <c r="V8" s="1143"/>
      <c r="W8" s="1143"/>
      <c r="X8" s="1143"/>
      <c r="Y8" s="1142">
        <v>2024</v>
      </c>
      <c r="Z8" s="1143"/>
      <c r="AA8" s="1143"/>
      <c r="AB8" s="1144"/>
      <c r="AC8" s="329">
        <v>2025</v>
      </c>
    </row>
    <row r="9" spans="2:29" x14ac:dyDescent="0.3">
      <c r="B9" s="1140"/>
      <c r="C9" s="1199"/>
      <c r="D9" s="166" t="s">
        <v>403</v>
      </c>
      <c r="E9" s="166" t="s">
        <v>404</v>
      </c>
      <c r="F9" s="147" t="s">
        <v>405</v>
      </c>
      <c r="G9" s="147" t="s">
        <v>290</v>
      </c>
      <c r="H9" s="154" t="s">
        <v>403</v>
      </c>
      <c r="I9" s="148" t="s">
        <v>404</v>
      </c>
      <c r="J9" s="148" t="s">
        <v>405</v>
      </c>
      <c r="K9" s="148" t="s">
        <v>290</v>
      </c>
      <c r="L9" s="148" t="s">
        <v>403</v>
      </c>
      <c r="M9" s="161" t="s">
        <v>404</v>
      </c>
      <c r="N9" s="148" t="s">
        <v>405</v>
      </c>
      <c r="O9" s="154" t="s">
        <v>290</v>
      </c>
      <c r="P9" s="420" t="s">
        <v>403</v>
      </c>
      <c r="Q9" s="418" t="s">
        <v>404</v>
      </c>
      <c r="R9" s="419" t="s">
        <v>405</v>
      </c>
      <c r="S9" s="419" t="s">
        <v>290</v>
      </c>
      <c r="T9" s="419" t="s">
        <v>403</v>
      </c>
      <c r="U9" s="418" t="s">
        <v>404</v>
      </c>
      <c r="V9" s="419" t="s">
        <v>405</v>
      </c>
      <c r="W9" s="419" t="s">
        <v>290</v>
      </c>
      <c r="X9" s="419" t="s">
        <v>403</v>
      </c>
      <c r="Y9" s="418" t="s">
        <v>404</v>
      </c>
      <c r="Z9" s="384" t="s">
        <v>405</v>
      </c>
      <c r="AA9" s="419" t="s">
        <v>290</v>
      </c>
      <c r="AB9" s="420" t="s">
        <v>403</v>
      </c>
      <c r="AC9" s="71" t="s">
        <v>404</v>
      </c>
    </row>
    <row r="10" spans="2:29" ht="14.5" x14ac:dyDescent="0.35">
      <c r="B10" s="153" t="s">
        <v>615</v>
      </c>
      <c r="C10" s="943"/>
      <c r="D10" s="574">
        <f>D11 +D13</f>
        <v>754.2</v>
      </c>
      <c r="E10" s="889">
        <f t="shared" ref="E10:AC10" si="0">E11 +E13</f>
        <v>768.3</v>
      </c>
      <c r="F10" s="889">
        <f t="shared" si="0"/>
        <v>781.1</v>
      </c>
      <c r="G10" s="889">
        <f t="shared" si="0"/>
        <v>792.1</v>
      </c>
      <c r="H10" s="889">
        <f t="shared" si="0"/>
        <v>801.3</v>
      </c>
      <c r="I10" s="889">
        <f t="shared" si="0"/>
        <v>808.5</v>
      </c>
      <c r="J10" s="889">
        <f t="shared" si="0"/>
        <v>821.6</v>
      </c>
      <c r="K10" s="889">
        <f t="shared" si="0"/>
        <v>825.8</v>
      </c>
      <c r="L10" s="889">
        <f t="shared" si="0"/>
        <v>821</v>
      </c>
      <c r="M10" s="889">
        <f t="shared" si="0"/>
        <v>814.1</v>
      </c>
      <c r="N10" s="889">
        <f t="shared" si="0"/>
        <v>815.3</v>
      </c>
      <c r="O10" s="890">
        <f t="shared" si="0"/>
        <v>826.5</v>
      </c>
      <c r="P10" s="647">
        <f t="shared" si="0"/>
        <v>840.90322653846329</v>
      </c>
      <c r="Q10" s="647">
        <f t="shared" si="0"/>
        <v>840.36452608091781</v>
      </c>
      <c r="R10" s="647">
        <f t="shared" si="0"/>
        <v>856.11491844085015</v>
      </c>
      <c r="S10" s="647">
        <f t="shared" si="0"/>
        <v>858.15980902786953</v>
      </c>
      <c r="T10" s="647">
        <f t="shared" si="0"/>
        <v>874.5047043210385</v>
      </c>
      <c r="U10" s="647">
        <f t="shared" si="0"/>
        <v>891.12996993440447</v>
      </c>
      <c r="V10" s="647">
        <f t="shared" si="0"/>
        <v>908.06562072077816</v>
      </c>
      <c r="W10" s="647">
        <f t="shared" si="0"/>
        <v>925.31745141197712</v>
      </c>
      <c r="X10" s="647">
        <f t="shared" si="0"/>
        <v>942.89136492448665</v>
      </c>
      <c r="Y10" s="647">
        <f t="shared" si="0"/>
        <v>960.53728015007744</v>
      </c>
      <c r="Z10" s="647">
        <f t="shared" si="0"/>
        <v>978.50792280104577</v>
      </c>
      <c r="AA10" s="647">
        <f t="shared" si="0"/>
        <v>996.8092686456896</v>
      </c>
      <c r="AB10" s="647">
        <f t="shared" si="0"/>
        <v>1015.4474034208649</v>
      </c>
      <c r="AC10" s="944">
        <f t="shared" si="0"/>
        <v>1034.4285248556728</v>
      </c>
    </row>
    <row r="11" spans="2:29" x14ac:dyDescent="0.3">
      <c r="B11" s="81" t="s">
        <v>76</v>
      </c>
      <c r="C11" s="165" t="s">
        <v>616</v>
      </c>
      <c r="D11" s="155">
        <f>'Haver Pivoted'!GO12</f>
        <v>754.2</v>
      </c>
      <c r="E11" s="156">
        <f>'Haver Pivoted'!GP12</f>
        <v>768.3</v>
      </c>
      <c r="F11" s="156">
        <f>'Haver Pivoted'!GQ12</f>
        <v>781.1</v>
      </c>
      <c r="G11" s="156">
        <f>'Haver Pivoted'!GR12</f>
        <v>792.1</v>
      </c>
      <c r="H11" s="156">
        <f>'Haver Pivoted'!GS12</f>
        <v>801.3</v>
      </c>
      <c r="I11" s="156">
        <f>'Haver Pivoted'!GT12</f>
        <v>808.5</v>
      </c>
      <c r="J11" s="156">
        <f>'Haver Pivoted'!GU12</f>
        <v>821.6</v>
      </c>
      <c r="K11" s="156">
        <f>'Haver Pivoted'!GV12</f>
        <v>825.8</v>
      </c>
      <c r="L11" s="156">
        <f>'Haver Pivoted'!GW12</f>
        <v>821</v>
      </c>
      <c r="M11" s="156">
        <f>'Haver Pivoted'!GX12</f>
        <v>814.1</v>
      </c>
      <c r="N11" s="156">
        <f>'Haver Pivoted'!GY12</f>
        <v>815.3</v>
      </c>
      <c r="O11" s="938">
        <f>'Haver Pivoted'!GZ12</f>
        <v>826.5</v>
      </c>
      <c r="P11" s="163">
        <f t="shared" ref="P11:AC11" si="1">P12+P14</f>
        <v>840.90322653846329</v>
      </c>
      <c r="Q11" s="163">
        <f t="shared" si="1"/>
        <v>856.36452608091781</v>
      </c>
      <c r="R11" s="163">
        <f t="shared" si="1"/>
        <v>872.11491844085015</v>
      </c>
      <c r="S11" s="163">
        <f t="shared" si="1"/>
        <v>874.15980902786953</v>
      </c>
      <c r="T11" s="163">
        <f t="shared" si="1"/>
        <v>890.5047043210385</v>
      </c>
      <c r="U11" s="163">
        <f t="shared" si="1"/>
        <v>907.12996993440447</v>
      </c>
      <c r="V11" s="163">
        <f t="shared" si="1"/>
        <v>924.06562072077816</v>
      </c>
      <c r="W11" s="163">
        <f t="shared" si="1"/>
        <v>941.31745141197712</v>
      </c>
      <c r="X11" s="163">
        <f t="shared" si="1"/>
        <v>958.89136492448665</v>
      </c>
      <c r="Y11" s="163">
        <f t="shared" si="1"/>
        <v>976.53728015007744</v>
      </c>
      <c r="Z11" s="163">
        <f t="shared" si="1"/>
        <v>994.50792280104577</v>
      </c>
      <c r="AA11" s="163">
        <f t="shared" si="1"/>
        <v>1012.8092686456896</v>
      </c>
      <c r="AB11" s="163">
        <f t="shared" si="1"/>
        <v>1031.4474034208649</v>
      </c>
      <c r="AC11" s="626">
        <f t="shared" si="1"/>
        <v>1050.4285248556728</v>
      </c>
    </row>
    <row r="12" spans="2:29" x14ac:dyDescent="0.3">
      <c r="B12" s="81" t="s">
        <v>617</v>
      </c>
      <c r="C12" s="165"/>
      <c r="D12" s="155"/>
      <c r="E12" s="156"/>
      <c r="F12" s="156"/>
      <c r="G12" s="156"/>
      <c r="H12" s="156"/>
      <c r="I12" s="156"/>
      <c r="J12" s="156">
        <f>J11-J14</f>
        <v>812</v>
      </c>
      <c r="K12" s="156">
        <f t="shared" ref="K12:O12" si="2">K11-K14</f>
        <v>811.4</v>
      </c>
      <c r="L12" s="156">
        <f t="shared" si="2"/>
        <v>806.7</v>
      </c>
      <c r="M12" s="156">
        <f t="shared" si="2"/>
        <v>799.9</v>
      </c>
      <c r="N12" s="156">
        <f t="shared" si="2"/>
        <v>801.19999999999993</v>
      </c>
      <c r="O12" s="938">
        <f t="shared" si="2"/>
        <v>812.5</v>
      </c>
      <c r="P12" s="163">
        <f t="shared" ref="P12:AC12" si="3">O12*(1+O15)</f>
        <v>826.90322653846329</v>
      </c>
      <c r="Q12" s="163">
        <f t="shared" si="3"/>
        <v>842.36452608091781</v>
      </c>
      <c r="R12" s="163">
        <f t="shared" si="3"/>
        <v>858.11491844085015</v>
      </c>
      <c r="S12" s="163">
        <f t="shared" si="3"/>
        <v>874.15980902786953</v>
      </c>
      <c r="T12" s="163">
        <f t="shared" si="3"/>
        <v>890.5047043210385</v>
      </c>
      <c r="U12" s="163">
        <f t="shared" si="3"/>
        <v>907.12996993440447</v>
      </c>
      <c r="V12" s="163">
        <f t="shared" si="3"/>
        <v>924.06562072077816</v>
      </c>
      <c r="W12" s="163">
        <f t="shared" si="3"/>
        <v>941.31745141197712</v>
      </c>
      <c r="X12" s="163">
        <f t="shared" si="3"/>
        <v>958.89136492448665</v>
      </c>
      <c r="Y12" s="163">
        <f t="shared" si="3"/>
        <v>976.53728015007744</v>
      </c>
      <c r="Z12" s="163">
        <f t="shared" si="3"/>
        <v>994.50792280104577</v>
      </c>
      <c r="AA12" s="163">
        <f t="shared" si="3"/>
        <v>1012.8092686456896</v>
      </c>
      <c r="AB12" s="163">
        <f t="shared" si="3"/>
        <v>1031.4474034208649</v>
      </c>
      <c r="AC12" s="626">
        <f t="shared" si="3"/>
        <v>1050.4285248556728</v>
      </c>
    </row>
    <row r="13" spans="2:29" x14ac:dyDescent="0.3">
      <c r="B13" s="182" t="s">
        <v>618</v>
      </c>
      <c r="C13" s="184"/>
      <c r="D13" s="155"/>
      <c r="E13" s="156"/>
      <c r="F13" s="156"/>
      <c r="G13" s="156"/>
      <c r="H13" s="156"/>
      <c r="I13" s="156"/>
      <c r="J13" s="156"/>
      <c r="K13" s="156"/>
      <c r="L13" s="156"/>
      <c r="M13" s="156"/>
      <c r="N13" s="646"/>
      <c r="O13" s="945"/>
      <c r="P13" s="170"/>
      <c r="Q13" s="170">
        <v>-16</v>
      </c>
      <c r="R13" s="170">
        <f>Q13</f>
        <v>-16</v>
      </c>
      <c r="S13" s="170">
        <f t="shared" ref="S13:Y13" si="4">R13</f>
        <v>-16</v>
      </c>
      <c r="T13" s="170">
        <f t="shared" si="4"/>
        <v>-16</v>
      </c>
      <c r="U13" s="170">
        <f t="shared" si="4"/>
        <v>-16</v>
      </c>
      <c r="V13" s="170">
        <f t="shared" si="4"/>
        <v>-16</v>
      </c>
      <c r="W13" s="170">
        <f t="shared" si="4"/>
        <v>-16</v>
      </c>
      <c r="X13" s="170">
        <f t="shared" si="4"/>
        <v>-16</v>
      </c>
      <c r="Y13" s="170">
        <f t="shared" si="4"/>
        <v>-16</v>
      </c>
      <c r="Z13" s="170">
        <f t="shared" ref="Z13" si="5">Y13</f>
        <v>-16</v>
      </c>
      <c r="AA13" s="170">
        <f t="shared" ref="AA13" si="6">Z13</f>
        <v>-16</v>
      </c>
      <c r="AB13" s="170">
        <f t="shared" ref="AB13" si="7">AA13</f>
        <v>-16</v>
      </c>
      <c r="AC13" s="627">
        <f t="shared" ref="AC13" si="8">AB13</f>
        <v>-16</v>
      </c>
    </row>
    <row r="14" spans="2:29" x14ac:dyDescent="0.3">
      <c r="B14" s="182" t="s">
        <v>619</v>
      </c>
      <c r="C14" s="645" t="s">
        <v>620</v>
      </c>
      <c r="D14" s="155"/>
      <c r="E14" s="156"/>
      <c r="F14" s="156"/>
      <c r="G14" s="156"/>
      <c r="H14" s="156"/>
      <c r="I14" s="156"/>
      <c r="J14" s="156">
        <v>9.6</v>
      </c>
      <c r="K14" s="156">
        <v>14.4</v>
      </c>
      <c r="L14" s="156">
        <v>14.3</v>
      </c>
      <c r="M14" s="156">
        <v>14.2</v>
      </c>
      <c r="N14" s="646">
        <v>14.1</v>
      </c>
      <c r="O14" s="945">
        <v>14</v>
      </c>
      <c r="P14" s="170">
        <v>14</v>
      </c>
      <c r="Q14" s="170">
        <v>14</v>
      </c>
      <c r="R14" s="170">
        <v>14</v>
      </c>
      <c r="S14" s="170"/>
      <c r="T14" s="170"/>
      <c r="U14" s="170"/>
      <c r="V14" s="170"/>
      <c r="W14" s="170"/>
      <c r="X14" s="170"/>
      <c r="Y14" s="170"/>
      <c r="Z14" s="170"/>
      <c r="AA14" s="170"/>
      <c r="AB14" s="170"/>
      <c r="AC14" s="627"/>
    </row>
    <row r="15" spans="2:29" x14ac:dyDescent="0.3">
      <c r="B15" s="160" t="s">
        <v>621</v>
      </c>
      <c r="C15" s="150"/>
      <c r="D15" s="575"/>
      <c r="E15" s="576"/>
      <c r="F15" s="576"/>
      <c r="G15" s="576"/>
      <c r="H15" s="576"/>
      <c r="I15" s="576"/>
      <c r="J15" s="577"/>
      <c r="K15" s="577"/>
      <c r="L15" s="577"/>
      <c r="M15" s="577"/>
      <c r="N15" s="577">
        <f>(1 + $E$24)^0.25-1</f>
        <v>1.7727048047339489E-2</v>
      </c>
      <c r="O15" s="891">
        <f>(1 + $E$24)^0.25-1</f>
        <v>1.7727048047339489E-2</v>
      </c>
      <c r="P15" s="177">
        <f>(1 + $F$24)^0.25-1</f>
        <v>1.8697834336888208E-2</v>
      </c>
      <c r="Q15" s="177">
        <f>(1 +$F$24)^0.25-1</f>
        <v>1.8697834336888208E-2</v>
      </c>
      <c r="R15" s="177">
        <f>(1 +$F$24)^0.25-1</f>
        <v>1.8697834336888208E-2</v>
      </c>
      <c r="S15" s="177">
        <f>(1 +$F$24)^0.25-1</f>
        <v>1.8697834336888208E-2</v>
      </c>
      <c r="T15" s="177">
        <f>(1 +$G$24)^0.25-1</f>
        <v>1.8669486564971915E-2</v>
      </c>
      <c r="U15" s="177">
        <f>(1 +$G$24)^0.25-1</f>
        <v>1.8669486564971915E-2</v>
      </c>
      <c r="V15" s="177">
        <f>(1 +$G$24)^0.25-1</f>
        <v>1.8669486564971915E-2</v>
      </c>
      <c r="W15" s="177">
        <f>(1 +$G$24)^0.25-1</f>
        <v>1.8669486564971915E-2</v>
      </c>
      <c r="X15" s="177">
        <f>(1 +$H$24)^0.25-1</f>
        <v>1.8402413319240196E-2</v>
      </c>
      <c r="Y15" s="177">
        <f>(1 +$H$24)^0.25-1</f>
        <v>1.8402413319240196E-2</v>
      </c>
      <c r="Z15" s="177">
        <f t="shared" ref="Z15:AC15" si="9">(1 +$H$24)^0.25-1</f>
        <v>1.8402413319240196E-2</v>
      </c>
      <c r="AA15" s="177">
        <f t="shared" si="9"/>
        <v>1.8402413319240196E-2</v>
      </c>
      <c r="AB15" s="177">
        <f t="shared" si="9"/>
        <v>1.8402413319240196E-2</v>
      </c>
      <c r="AC15" s="628">
        <f t="shared" si="9"/>
        <v>1.8402413319240196E-2</v>
      </c>
    </row>
    <row r="16" spans="2:29" x14ac:dyDescent="0.3">
      <c r="B16" s="642"/>
      <c r="C16" s="546"/>
      <c r="D16" s="643"/>
      <c r="E16" s="643"/>
      <c r="F16" s="643"/>
      <c r="G16" s="643"/>
      <c r="H16" s="643"/>
      <c r="I16" s="643"/>
      <c r="J16" s="644"/>
      <c r="K16" s="644"/>
      <c r="L16" s="644"/>
      <c r="M16" s="644"/>
      <c r="N16" s="644"/>
      <c r="O16" s="644"/>
      <c r="P16" s="644"/>
      <c r="Q16" s="644"/>
      <c r="R16" s="644"/>
      <c r="S16" s="644"/>
      <c r="T16" s="644"/>
      <c r="U16" s="644"/>
      <c r="V16" s="644"/>
      <c r="W16" s="644"/>
      <c r="X16" s="644"/>
      <c r="Y16" s="644"/>
      <c r="Z16" s="644"/>
      <c r="AA16" s="644"/>
      <c r="AB16" s="644"/>
      <c r="AC16" s="644"/>
    </row>
    <row r="17" spans="2:17" x14ac:dyDescent="0.3">
      <c r="B17" s="52" t="s">
        <v>484</v>
      </c>
    </row>
    <row r="18" spans="2:17" x14ac:dyDescent="0.3">
      <c r="B18" s="480" t="s">
        <v>590</v>
      </c>
      <c r="C18" s="480">
        <v>2019</v>
      </c>
      <c r="D18" s="481">
        <v>2020</v>
      </c>
      <c r="E18" s="481">
        <v>2021</v>
      </c>
      <c r="F18" s="481">
        <v>2022</v>
      </c>
      <c r="G18" s="481">
        <v>2023</v>
      </c>
      <c r="H18" s="482">
        <v>2024</v>
      </c>
      <c r="I18" s="482">
        <v>2025</v>
      </c>
      <c r="J18" s="482">
        <v>2026</v>
      </c>
    </row>
    <row r="19" spans="2:17" ht="21" customHeight="1" x14ac:dyDescent="0.3">
      <c r="B19" s="138" t="s">
        <v>622</v>
      </c>
      <c r="C19" s="487">
        <v>775</v>
      </c>
      <c r="D19" s="484">
        <v>912.11599999999999</v>
      </c>
      <c r="E19" s="484">
        <v>831.48500000000001</v>
      </c>
      <c r="F19" s="484">
        <v>862.72400000000005</v>
      </c>
      <c r="G19" s="484">
        <v>1007.266</v>
      </c>
      <c r="H19" s="484">
        <v>1088.671</v>
      </c>
      <c r="I19" s="484">
        <v>1171.1110000000001</v>
      </c>
      <c r="J19" s="485">
        <v>1258.2270000000001</v>
      </c>
      <c r="K19" s="169"/>
      <c r="L19" s="169"/>
      <c r="M19" s="169"/>
      <c r="N19" s="169"/>
      <c r="O19" s="169"/>
    </row>
    <row r="20" spans="2:17" x14ac:dyDescent="0.3">
      <c r="B20" s="41" t="s">
        <v>623</v>
      </c>
      <c r="C20" s="41"/>
      <c r="D20" s="34">
        <v>47</v>
      </c>
      <c r="E20" s="34">
        <v>-46</v>
      </c>
      <c r="J20" s="40"/>
      <c r="N20" s="415"/>
      <c r="O20" s="234"/>
      <c r="P20" s="234"/>
      <c r="Q20" s="234"/>
    </row>
    <row r="21" spans="2:17" x14ac:dyDescent="0.3">
      <c r="B21" s="41" t="s">
        <v>624</v>
      </c>
      <c r="C21" s="488">
        <f>C19-C20</f>
        <v>775</v>
      </c>
      <c r="D21" s="483">
        <f t="shared" ref="D21:H21" si="10">D19-D20</f>
        <v>865.11599999999999</v>
      </c>
      <c r="E21" s="483">
        <f t="shared" si="10"/>
        <v>877.48500000000001</v>
      </c>
      <c r="F21" s="483">
        <f t="shared" si="10"/>
        <v>862.72400000000005</v>
      </c>
      <c r="G21" s="483">
        <f t="shared" si="10"/>
        <v>1007.266</v>
      </c>
      <c r="H21" s="483">
        <f t="shared" si="10"/>
        <v>1088.671</v>
      </c>
      <c r="J21" s="40"/>
      <c r="K21" s="34" t="s">
        <v>625</v>
      </c>
    </row>
    <row r="22" spans="2:17" x14ac:dyDescent="0.3">
      <c r="B22" s="41" t="s">
        <v>626</v>
      </c>
      <c r="C22" s="489">
        <f>AVERAGE(D10:G10)</f>
        <v>773.92499999999995</v>
      </c>
      <c r="D22" s="172">
        <f>AVERAGE(H10:K10)</f>
        <v>814.3</v>
      </c>
      <c r="E22" s="483">
        <f>AVERAGE(L10:O10)</f>
        <v>819.22499999999991</v>
      </c>
      <c r="F22" s="483">
        <f>AVERAGE(P10:S10)</f>
        <v>848.88562002202514</v>
      </c>
      <c r="G22" s="483">
        <f>AVERAGE(T10:W10)</f>
        <v>899.75443659704956</v>
      </c>
      <c r="K22" s="34" t="s">
        <v>627</v>
      </c>
    </row>
    <row r="23" spans="2:17" x14ac:dyDescent="0.3">
      <c r="B23" s="41" t="s">
        <v>628</v>
      </c>
      <c r="C23" s="490">
        <v>775.32100000000003</v>
      </c>
      <c r="D23" s="336">
        <v>834.85699999999997</v>
      </c>
      <c r="E23" s="336">
        <v>895.64800000000002</v>
      </c>
      <c r="F23" s="336">
        <v>964.53700000000003</v>
      </c>
      <c r="G23" s="336">
        <v>1038.6089999999999</v>
      </c>
      <c r="H23" s="336">
        <v>1117.1969999999999</v>
      </c>
      <c r="I23" s="336">
        <v>1200.6600000000001</v>
      </c>
      <c r="J23" s="337">
        <v>1286.6790000000001</v>
      </c>
    </row>
    <row r="24" spans="2:17" x14ac:dyDescent="0.3">
      <c r="B24" s="486" t="s">
        <v>629</v>
      </c>
      <c r="C24" s="137"/>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36"/>
      <c r="D26" s="336"/>
      <c r="E26" s="336"/>
      <c r="F26" s="336"/>
      <c r="G26" s="336"/>
      <c r="H26" s="336"/>
      <c r="I26" s="336"/>
      <c r="J26" s="336"/>
      <c r="K26" s="336"/>
      <c r="L26" s="336"/>
      <c r="M26" s="336"/>
      <c r="N26" s="336"/>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26" customFormat="1" ht="47.5" customHeight="1" x14ac:dyDescent="0.35">
      <c r="A1" s="535" t="s">
        <v>43</v>
      </c>
      <c r="B1" s="536" t="s">
        <v>44</v>
      </c>
      <c r="C1" s="536" t="s">
        <v>45</v>
      </c>
      <c r="D1" s="536" t="s">
        <v>46</v>
      </c>
      <c r="E1" s="536" t="s">
        <v>47</v>
      </c>
      <c r="F1" s="537" t="s">
        <v>48</v>
      </c>
    </row>
    <row r="2" spans="1:7" s="526" customFormat="1" ht="16.5" customHeight="1" x14ac:dyDescent="0.35">
      <c r="A2" s="527" t="s">
        <v>49</v>
      </c>
      <c r="B2" s="528"/>
      <c r="C2" s="529"/>
      <c r="D2" s="529"/>
      <c r="E2" s="529"/>
      <c r="F2" s="529"/>
    </row>
    <row r="3" spans="1:7" s="530" customFormat="1" ht="75.650000000000006" customHeight="1" x14ac:dyDescent="0.35">
      <c r="A3" s="531" t="s">
        <v>50</v>
      </c>
      <c r="B3" s="531" t="s">
        <v>51</v>
      </c>
      <c r="C3" s="531" t="s">
        <v>52</v>
      </c>
      <c r="D3" s="530" t="s">
        <v>104</v>
      </c>
    </row>
    <row r="4" spans="1:7" s="530" customFormat="1" ht="61.5" customHeight="1" x14ac:dyDescent="0.35">
      <c r="A4" s="530" t="s">
        <v>53</v>
      </c>
      <c r="B4" s="531" t="s">
        <v>54</v>
      </c>
      <c r="C4" s="531" t="s">
        <v>55</v>
      </c>
      <c r="D4" s="530" t="s">
        <v>104</v>
      </c>
    </row>
    <row r="5" spans="1:7" s="530" customFormat="1" ht="61.5" customHeight="1" x14ac:dyDescent="0.35">
      <c r="A5" s="530" t="s">
        <v>56</v>
      </c>
      <c r="B5" s="531" t="s">
        <v>57</v>
      </c>
      <c r="C5" s="531" t="s">
        <v>58</v>
      </c>
      <c r="D5" s="530" t="s">
        <v>104</v>
      </c>
    </row>
    <row r="6" spans="1:7" s="530" customFormat="1" ht="63.65" customHeight="1" x14ac:dyDescent="0.35">
      <c r="A6" s="530" t="s">
        <v>59</v>
      </c>
      <c r="B6" s="531" t="s">
        <v>60</v>
      </c>
      <c r="C6" s="532" t="s">
        <v>61</v>
      </c>
      <c r="D6" s="530" t="s">
        <v>104</v>
      </c>
      <c r="E6" s="637" t="s">
        <v>1225</v>
      </c>
      <c r="G6" s="610"/>
    </row>
    <row r="7" spans="1:7" s="530" customFormat="1" ht="61.5" customHeight="1" x14ac:dyDescent="0.35">
      <c r="A7" s="530" t="s">
        <v>62</v>
      </c>
      <c r="B7" s="531" t="s">
        <v>63</v>
      </c>
      <c r="C7" s="531" t="s">
        <v>1238</v>
      </c>
    </row>
    <row r="8" spans="1:7" s="530" customFormat="1" ht="54" customHeight="1" x14ac:dyDescent="0.35">
      <c r="A8" s="530" t="s">
        <v>64</v>
      </c>
      <c r="B8" s="531" t="s">
        <v>65</v>
      </c>
      <c r="C8" s="530" t="s">
        <v>66</v>
      </c>
    </row>
    <row r="9" spans="1:7" s="530" customFormat="1" ht="43" customHeight="1" x14ac:dyDescent="0.35">
      <c r="A9" s="527" t="s">
        <v>67</v>
      </c>
      <c r="B9" s="533"/>
      <c r="C9" s="534"/>
      <c r="D9" s="534"/>
      <c r="E9" s="529" t="s">
        <v>68</v>
      </c>
      <c r="F9" s="534"/>
    </row>
    <row r="10" spans="1:7" s="1" customFormat="1" ht="77.5" customHeight="1" x14ac:dyDescent="0.35">
      <c r="A10" s="41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1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1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1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13"/>
      <c r="B14" s="25" t="str">
        <f>'Federal and State Purchases'!B21</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1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1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1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1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1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13"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13" t="s">
        <v>79</v>
      </c>
      <c r="B21" s="25" t="e">
        <f>#REF!</f>
        <v>#REF!</v>
      </c>
    </row>
    <row r="22" spans="1:6" s="1" customFormat="1" ht="37.5" customHeight="1" x14ac:dyDescent="0.35">
      <c r="A22" s="498" t="s">
        <v>80</v>
      </c>
      <c r="B22" s="25" t="s">
        <v>81</v>
      </c>
    </row>
    <row r="23" spans="1:6" s="1" customFormat="1" ht="36" customHeight="1" x14ac:dyDescent="0.35">
      <c r="A23" s="498"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33" t="s">
        <v>77</v>
      </c>
      <c r="C1" s="1133"/>
      <c r="D1" s="1133"/>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1:29" ht="14.5" customHeight="1" x14ac:dyDescent="0.35">
      <c r="B2" s="1134" t="s">
        <v>630</v>
      </c>
      <c r="C2" s="1134"/>
      <c r="D2" s="1134"/>
      <c r="E2" s="1134"/>
      <c r="F2" s="1134"/>
      <c r="G2" s="1134"/>
      <c r="H2" s="1134"/>
      <c r="I2" s="1134"/>
      <c r="J2" s="1134"/>
      <c r="K2" s="1134"/>
      <c r="L2" s="1134"/>
      <c r="M2" s="1134"/>
      <c r="N2" s="1134"/>
      <c r="O2" s="1134"/>
      <c r="P2" s="1134"/>
      <c r="Q2" s="1134"/>
      <c r="R2" s="1134"/>
      <c r="S2" s="1134"/>
      <c r="T2" s="1134"/>
      <c r="U2" s="1134"/>
      <c r="V2" s="1134"/>
      <c r="W2" s="1134"/>
      <c r="X2" s="1134"/>
      <c r="Y2" s="1134"/>
      <c r="Z2" s="1134"/>
      <c r="AA2" s="1134"/>
      <c r="AB2" s="1134"/>
      <c r="AC2" s="1134"/>
    </row>
    <row r="3" spans="1:29" x14ac:dyDescent="0.35">
      <c r="B3" s="1134"/>
      <c r="C3" s="1134"/>
      <c r="D3" s="1134"/>
      <c r="E3" s="1134"/>
      <c r="F3" s="1134"/>
      <c r="G3" s="1134"/>
      <c r="H3" s="1134"/>
      <c r="I3" s="1134"/>
      <c r="J3" s="1134"/>
      <c r="K3" s="1134"/>
      <c r="L3" s="1134"/>
      <c r="M3" s="1134"/>
      <c r="N3" s="1134"/>
      <c r="O3" s="1134"/>
      <c r="P3" s="1134"/>
      <c r="Q3" s="1134"/>
      <c r="R3" s="1134"/>
      <c r="S3" s="1134"/>
      <c r="T3" s="1134"/>
      <c r="U3" s="1134"/>
      <c r="V3" s="1134"/>
      <c r="W3" s="1134"/>
      <c r="X3" s="1134"/>
      <c r="Y3" s="1134"/>
      <c r="Z3" s="1134"/>
      <c r="AA3" s="1134"/>
      <c r="AB3" s="1134"/>
      <c r="AC3" s="1134"/>
    </row>
    <row r="4" spans="1:29" x14ac:dyDescent="0.35">
      <c r="B4" s="1134"/>
      <c r="C4" s="1134"/>
      <c r="D4" s="1134"/>
      <c r="E4" s="1134"/>
      <c r="F4" s="1134"/>
      <c r="G4" s="1134"/>
      <c r="H4" s="1134"/>
      <c r="I4" s="1134"/>
      <c r="J4" s="1134"/>
      <c r="K4" s="1134"/>
      <c r="L4" s="1134"/>
      <c r="M4" s="1134"/>
      <c r="N4" s="1134"/>
      <c r="O4" s="1134"/>
      <c r="P4" s="1134"/>
      <c r="Q4" s="1134"/>
      <c r="R4" s="1134"/>
      <c r="S4" s="1134"/>
      <c r="T4" s="1134"/>
      <c r="U4" s="1134"/>
      <c r="V4" s="1134"/>
      <c r="W4" s="1134"/>
      <c r="X4" s="1134"/>
      <c r="Y4" s="1134"/>
      <c r="Z4" s="1134"/>
      <c r="AA4" s="1134"/>
      <c r="AB4" s="1134"/>
      <c r="AC4" s="1134"/>
    </row>
    <row r="5" spans="1:29" x14ac:dyDescent="0.35">
      <c r="B5" s="133"/>
      <c r="C5" s="34"/>
      <c r="D5" s="34"/>
      <c r="E5" s="34"/>
      <c r="F5" s="34"/>
      <c r="G5" s="34"/>
      <c r="H5" s="34"/>
      <c r="I5" s="34"/>
      <c r="J5" s="34"/>
      <c r="K5" s="34"/>
      <c r="L5" s="34"/>
      <c r="M5" s="34"/>
      <c r="N5" s="34"/>
      <c r="O5" s="34"/>
      <c r="P5" s="34"/>
      <c r="Q5" s="34"/>
      <c r="R5" s="34"/>
      <c r="S5" s="34"/>
      <c r="T5" s="34"/>
      <c r="U5" s="34"/>
      <c r="V5" s="34"/>
      <c r="W5" s="34"/>
      <c r="X5" s="34"/>
      <c r="Y5" s="34"/>
    </row>
    <row r="6" spans="1:29" x14ac:dyDescent="0.35">
      <c r="B6" s="1138" t="s">
        <v>558</v>
      </c>
      <c r="C6" s="1139"/>
      <c r="D6" s="1145" t="s">
        <v>401</v>
      </c>
      <c r="E6" s="1146"/>
      <c r="F6" s="1146"/>
      <c r="G6" s="1146"/>
      <c r="H6" s="1146"/>
      <c r="I6" s="1146"/>
      <c r="J6" s="1146"/>
      <c r="K6" s="1146"/>
      <c r="L6" s="1146"/>
      <c r="M6" s="1146"/>
      <c r="N6" s="1146"/>
      <c r="O6" s="1147"/>
      <c r="P6" s="1174" t="s">
        <v>402</v>
      </c>
      <c r="Q6" s="1175"/>
      <c r="R6" s="1175"/>
      <c r="S6" s="1175"/>
      <c r="T6" s="1175"/>
      <c r="U6" s="1175"/>
      <c r="V6" s="1175"/>
      <c r="W6" s="1175"/>
      <c r="X6" s="1175"/>
      <c r="Y6" s="1175"/>
      <c r="Z6" s="1175"/>
      <c r="AA6" s="1175"/>
      <c r="AB6" s="1175"/>
      <c r="AC6" s="1176"/>
    </row>
    <row r="7" spans="1:29" x14ac:dyDescent="0.35">
      <c r="B7" s="1140"/>
      <c r="C7" s="1141"/>
      <c r="D7" s="524">
        <v>2018</v>
      </c>
      <c r="E7" s="1135">
        <v>2019</v>
      </c>
      <c r="F7" s="1136"/>
      <c r="G7" s="1136"/>
      <c r="H7" s="1137"/>
      <c r="I7" s="1135">
        <v>2020</v>
      </c>
      <c r="J7" s="1136"/>
      <c r="K7" s="1136"/>
      <c r="L7" s="1137"/>
      <c r="M7" s="1135">
        <v>2021</v>
      </c>
      <c r="N7" s="1136"/>
      <c r="O7" s="1137"/>
      <c r="P7" s="557">
        <v>2021</v>
      </c>
      <c r="Q7" s="1142">
        <v>2022</v>
      </c>
      <c r="R7" s="1143"/>
      <c r="S7" s="1143"/>
      <c r="T7" s="1144"/>
      <c r="U7" s="1142">
        <v>2023</v>
      </c>
      <c r="V7" s="1143"/>
      <c r="W7" s="1143"/>
      <c r="X7" s="1143"/>
      <c r="Y7" s="1142">
        <v>2024</v>
      </c>
      <c r="Z7" s="1143"/>
      <c r="AA7" s="1143"/>
      <c r="AB7" s="1144"/>
      <c r="AC7" s="329">
        <v>2025</v>
      </c>
    </row>
    <row r="8" spans="1:29" x14ac:dyDescent="0.35">
      <c r="B8" s="1178"/>
      <c r="C8" s="1179"/>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1:29" x14ac:dyDescent="0.35">
      <c r="B9" s="138" t="s">
        <v>77</v>
      </c>
      <c r="C9" s="233" t="s">
        <v>631</v>
      </c>
      <c r="D9" s="138"/>
      <c r="E9" s="233"/>
      <c r="F9" s="233"/>
      <c r="G9" s="233"/>
      <c r="H9" s="233"/>
      <c r="I9" s="233"/>
      <c r="J9" s="760">
        <f>'Haver Pivoted'!GU45</f>
        <v>1078.0999999999999</v>
      </c>
      <c r="K9" s="760">
        <f>'Haver Pivoted'!GV45</f>
        <v>15.6</v>
      </c>
      <c r="L9" s="760">
        <f>'Haver Pivoted'!GW45</f>
        <v>5</v>
      </c>
      <c r="M9" s="760">
        <f>'Haver Pivoted'!GX45</f>
        <v>1933.7</v>
      </c>
      <c r="N9" s="760">
        <f>'Haver Pivoted'!GY45</f>
        <v>290.10000000000002</v>
      </c>
      <c r="O9" s="761">
        <f>'Haver Pivoted'!GZ45</f>
        <v>38.9</v>
      </c>
      <c r="P9" s="676"/>
      <c r="Q9" s="676"/>
      <c r="R9" s="676"/>
      <c r="S9" s="676"/>
      <c r="T9" s="676"/>
      <c r="U9" s="676"/>
      <c r="V9" s="676"/>
      <c r="W9" s="676"/>
      <c r="X9" s="676"/>
      <c r="Y9" s="676"/>
      <c r="Z9" s="676"/>
      <c r="AA9" s="676"/>
      <c r="AB9" s="676"/>
      <c r="AC9" s="549"/>
    </row>
    <row r="10" spans="1:29" x14ac:dyDescent="0.35">
      <c r="B10" s="139" t="s">
        <v>258</v>
      </c>
      <c r="C10" s="140"/>
      <c r="D10" s="139"/>
      <c r="E10" s="140"/>
      <c r="F10" s="140"/>
      <c r="G10" s="140"/>
      <c r="H10" s="140"/>
      <c r="I10" s="140"/>
      <c r="J10" s="572"/>
      <c r="K10" s="572"/>
      <c r="L10" s="572"/>
      <c r="M10" s="572">
        <f>M9-M11</f>
        <v>1348.1</v>
      </c>
      <c r="N10" s="572">
        <f>N9-N11</f>
        <v>290.10000000000002</v>
      </c>
      <c r="O10" s="997">
        <f>O9-O11</f>
        <v>38.9</v>
      </c>
      <c r="P10" s="428"/>
      <c r="Q10" s="428">
        <f>'ARP Score'!B6*4/2 -20</f>
        <v>14.93</v>
      </c>
      <c r="R10" s="428">
        <f>'ARP Score'!B6*4/2-20</f>
        <v>14.93</v>
      </c>
      <c r="S10" s="428"/>
      <c r="T10" s="428"/>
      <c r="U10" s="428"/>
      <c r="V10" s="428"/>
      <c r="W10" s="428"/>
      <c r="X10" s="428"/>
      <c r="Y10" s="428"/>
      <c r="Z10" s="428"/>
      <c r="AA10" s="428"/>
      <c r="AB10" s="428"/>
      <c r="AC10" s="629"/>
    </row>
    <row r="11" spans="1:29" x14ac:dyDescent="0.35">
      <c r="B11" s="141" t="s">
        <v>632</v>
      </c>
      <c r="C11" s="142"/>
      <c r="D11" s="141"/>
      <c r="E11" s="142"/>
      <c r="F11" s="142"/>
      <c r="G11" s="142"/>
      <c r="H11" s="142"/>
      <c r="I11" s="142"/>
      <c r="J11" s="573">
        <f t="shared" ref="J11:L11" si="0">J9-J10</f>
        <v>1078.0999999999999</v>
      </c>
      <c r="K11" s="573">
        <f t="shared" si="0"/>
        <v>15.6</v>
      </c>
      <c r="L11" s="573">
        <f t="shared" si="0"/>
        <v>5</v>
      </c>
      <c r="M11" s="573">
        <f>SUM(C17:D17)/12*4</f>
        <v>585.6</v>
      </c>
      <c r="N11" s="573">
        <v>0</v>
      </c>
      <c r="O11" s="892">
        <v>0</v>
      </c>
      <c r="P11" s="429"/>
      <c r="Q11" s="429"/>
      <c r="R11" s="429"/>
      <c r="S11" s="429"/>
      <c r="T11" s="429"/>
      <c r="U11" s="429"/>
      <c r="V11" s="429"/>
      <c r="W11" s="429"/>
      <c r="X11" s="429"/>
      <c r="Y11" s="429"/>
      <c r="Z11" s="429"/>
      <c r="AA11" s="429"/>
      <c r="AB11" s="429"/>
      <c r="AC11" s="630"/>
    </row>
    <row r="12" spans="1:29" x14ac:dyDescent="0.35">
      <c r="B12" s="34"/>
      <c r="C12" s="34"/>
      <c r="D12" s="34"/>
      <c r="E12" s="34"/>
      <c r="F12" s="34"/>
      <c r="G12" s="34"/>
      <c r="H12" s="34"/>
      <c r="I12" s="34"/>
      <c r="J12" s="34"/>
      <c r="K12" s="34"/>
      <c r="L12" s="34"/>
      <c r="M12" s="34"/>
      <c r="N12" s="34"/>
      <c r="O12" s="998"/>
      <c r="P12" s="34"/>
      <c r="Q12" s="34"/>
      <c r="R12" s="34"/>
      <c r="S12" s="34"/>
      <c r="T12" s="34"/>
      <c r="U12" s="34"/>
      <c r="V12" s="34"/>
      <c r="W12" s="34"/>
      <c r="X12" s="34"/>
      <c r="Y12" s="34"/>
    </row>
    <row r="13" spans="1:29" x14ac:dyDescent="0.35">
      <c r="A13" s="990"/>
      <c r="B13" s="990"/>
      <c r="C13" s="990"/>
      <c r="D13" s="990"/>
      <c r="E13" s="990"/>
      <c r="F13" s="990"/>
      <c r="G13" s="990"/>
      <c r="H13" s="990"/>
      <c r="I13" s="990"/>
      <c r="J13" s="990"/>
      <c r="K13" s="990"/>
      <c r="L13" s="304"/>
      <c r="M13" s="304"/>
      <c r="N13" s="304"/>
      <c r="T13" s="34"/>
      <c r="U13" s="34"/>
      <c r="V13" s="34"/>
      <c r="W13" s="34"/>
      <c r="X13" s="34"/>
      <c r="Y13" s="34"/>
    </row>
    <row r="14" spans="1:29" x14ac:dyDescent="0.35">
      <c r="A14" s="278"/>
      <c r="N14" s="989"/>
      <c r="O14" s="989"/>
      <c r="P14" s="989"/>
      <c r="Q14" s="989"/>
      <c r="R14" s="989"/>
      <c r="S14" s="989"/>
      <c r="T14" s="34"/>
      <c r="U14" s="34"/>
      <c r="V14" s="34"/>
      <c r="W14" s="34"/>
      <c r="X14" s="34"/>
      <c r="Y14" s="34"/>
    </row>
    <row r="15" spans="1:29" x14ac:dyDescent="0.35">
      <c r="A15" s="220"/>
      <c r="B15" s="1229" t="s">
        <v>633</v>
      </c>
      <c r="C15" s="1167">
        <v>2021</v>
      </c>
      <c r="D15" s="1168"/>
      <c r="E15" s="1168"/>
      <c r="F15" s="1168"/>
      <c r="G15" s="424"/>
      <c r="K15" s="1231"/>
      <c r="L15" s="1231"/>
      <c r="M15" s="1231"/>
      <c r="N15" s="1231"/>
      <c r="O15" s="1231"/>
      <c r="P15" s="1231"/>
      <c r="Q15" s="34"/>
      <c r="R15" s="34"/>
      <c r="S15" s="34"/>
      <c r="T15" s="34"/>
      <c r="U15" s="34"/>
      <c r="V15" s="34"/>
    </row>
    <row r="16" spans="1:29" x14ac:dyDescent="0.35">
      <c r="B16" s="1230"/>
      <c r="C16" s="307" t="s">
        <v>281</v>
      </c>
      <c r="D16" s="308" t="s">
        <v>282</v>
      </c>
      <c r="E16" s="308" t="s">
        <v>283</v>
      </c>
      <c r="F16" s="308" t="s">
        <v>284</v>
      </c>
      <c r="G16" s="425"/>
      <c r="H16" s="220"/>
      <c r="I16" s="220"/>
      <c r="J16" s="220"/>
      <c r="K16" s="220"/>
      <c r="L16" s="220"/>
      <c r="M16" s="220"/>
      <c r="N16" s="220"/>
      <c r="O16" s="220"/>
      <c r="P16" s="220"/>
      <c r="Q16" s="34"/>
      <c r="R16" s="34"/>
      <c r="S16" s="34"/>
      <c r="T16" s="34"/>
      <c r="U16" s="34"/>
      <c r="V16" s="34"/>
    </row>
    <row r="17" spans="2:25" ht="16.5" x14ac:dyDescent="0.35">
      <c r="B17" s="306" t="s">
        <v>634</v>
      </c>
      <c r="C17" s="426">
        <v>1660.9</v>
      </c>
      <c r="D17" s="426">
        <v>95.9</v>
      </c>
      <c r="E17" s="426">
        <v>4044.2</v>
      </c>
      <c r="F17" s="427">
        <v>688</v>
      </c>
      <c r="G17" s="305"/>
      <c r="H17" s="305"/>
      <c r="I17" s="305"/>
      <c r="J17" s="305"/>
      <c r="K17" s="305"/>
      <c r="L17" s="305"/>
      <c r="M17" s="34"/>
      <c r="N17" s="34"/>
      <c r="O17" s="34"/>
      <c r="P17" s="34"/>
      <c r="Q17" s="34"/>
      <c r="R17" s="34"/>
    </row>
    <row r="18" spans="2:25" x14ac:dyDescent="0.35">
      <c r="B18" s="309"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3"/>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8"/>
  <sheetViews>
    <sheetView topLeftCell="A33" zoomScale="61" zoomScaleNormal="70" workbookViewId="0">
      <selection activeCell="N48" sqref="N48"/>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232" t="s">
        <v>636</v>
      </c>
      <c r="C1" s="1232"/>
      <c r="D1" s="1232"/>
      <c r="E1" s="1232"/>
      <c r="F1" s="1232"/>
      <c r="G1" s="1232"/>
      <c r="H1" s="1232"/>
      <c r="I1" s="1232"/>
      <c r="J1" s="1232"/>
      <c r="K1" s="1232"/>
      <c r="L1" s="1232"/>
      <c r="M1" s="1232"/>
      <c r="N1" s="1232"/>
      <c r="O1" s="1232"/>
      <c r="P1" s="1232"/>
      <c r="Q1" s="1232"/>
      <c r="R1" s="1232"/>
      <c r="S1" s="1232"/>
      <c r="T1" s="1232"/>
      <c r="U1" s="1232"/>
      <c r="V1" s="1232"/>
      <c r="W1" s="1232"/>
      <c r="X1" s="1232"/>
      <c r="Y1" s="1232"/>
      <c r="Z1" s="1232"/>
      <c r="AA1" s="1232"/>
      <c r="AB1" s="1232"/>
      <c r="AC1" s="1232"/>
    </row>
    <row r="2" spans="2:29" ht="82" customHeight="1" x14ac:dyDescent="0.3">
      <c r="B2" s="1152" t="s">
        <v>637</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29" ht="3" customHeight="1"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29" ht="10" hidden="1" customHeight="1"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5" spans="2:29" ht="14.15" hidden="1" customHeight="1" x14ac:dyDescent="0.3">
      <c r="B5" s="1152"/>
      <c r="C5" s="1152"/>
      <c r="D5" s="1152"/>
      <c r="E5" s="1152"/>
      <c r="F5" s="1152"/>
      <c r="G5" s="1152"/>
      <c r="H5" s="1152"/>
      <c r="I5" s="1152"/>
      <c r="J5" s="1152"/>
      <c r="K5" s="1152"/>
      <c r="L5" s="1152"/>
      <c r="M5" s="1152"/>
      <c r="N5" s="1152"/>
      <c r="O5" s="1152"/>
      <c r="P5" s="1152"/>
      <c r="Q5" s="1152"/>
      <c r="R5" s="1152"/>
      <c r="S5" s="1152"/>
      <c r="T5" s="1152"/>
      <c r="U5" s="1152"/>
      <c r="V5" s="1152"/>
      <c r="W5" s="1152"/>
      <c r="X5" s="1152"/>
      <c r="Y5" s="1152"/>
      <c r="Z5" s="1152"/>
      <c r="AA5" s="1152"/>
      <c r="AB5" s="1152"/>
      <c r="AC5" s="1152"/>
    </row>
    <row r="6" spans="2:29" ht="14.15" hidden="1" customHeight="1" x14ac:dyDescent="0.3">
      <c r="B6" s="1152"/>
      <c r="C6" s="1152"/>
      <c r="D6" s="1152"/>
      <c r="E6" s="1152"/>
      <c r="F6" s="1152"/>
      <c r="G6" s="1152"/>
      <c r="H6" s="1152"/>
      <c r="I6" s="1152"/>
      <c r="J6" s="1152"/>
      <c r="K6" s="1152"/>
      <c r="L6" s="1152"/>
      <c r="M6" s="1152"/>
      <c r="N6" s="1152"/>
      <c r="O6" s="1152"/>
      <c r="P6" s="1152"/>
      <c r="Q6" s="1152"/>
      <c r="R6" s="1152"/>
      <c r="S6" s="1152"/>
      <c r="T6" s="1152"/>
      <c r="U6" s="1152"/>
      <c r="V6" s="1152"/>
      <c r="W6" s="1152"/>
      <c r="X6" s="1152"/>
      <c r="Y6" s="1152"/>
      <c r="Z6" s="1152"/>
      <c r="AA6" s="1152"/>
      <c r="AB6" s="1152"/>
      <c r="AC6" s="1152"/>
    </row>
    <row r="7" spans="2:29" x14ac:dyDescent="0.3">
      <c r="B7" s="357" t="s">
        <v>465</v>
      </c>
      <c r="C7" s="46"/>
      <c r="D7" s="46"/>
      <c r="E7" s="46"/>
      <c r="F7" s="46"/>
      <c r="G7" s="46"/>
      <c r="H7" s="47"/>
      <c r="I7" s="47"/>
      <c r="J7" s="47"/>
      <c r="K7" s="47"/>
      <c r="L7" s="47"/>
      <c r="M7" s="47"/>
      <c r="N7" s="47"/>
      <c r="O7" s="47"/>
      <c r="P7" s="47"/>
      <c r="Q7" s="47"/>
      <c r="R7" s="47"/>
      <c r="S7" s="47"/>
      <c r="T7" s="47"/>
      <c r="U7" s="47"/>
    </row>
    <row r="8" spans="2:29" ht="14.5" customHeight="1" x14ac:dyDescent="0.3">
      <c r="B8" s="1138" t="s">
        <v>429</v>
      </c>
      <c r="C8" s="1139"/>
      <c r="D8" s="1145" t="s">
        <v>401</v>
      </c>
      <c r="E8" s="1146"/>
      <c r="F8" s="1146"/>
      <c r="G8" s="1146"/>
      <c r="H8" s="1146"/>
      <c r="I8" s="1146"/>
      <c r="J8" s="1146"/>
      <c r="K8" s="1146"/>
      <c r="L8" s="1146"/>
      <c r="M8" s="1146"/>
      <c r="N8" s="1146"/>
      <c r="O8" s="1147"/>
      <c r="P8" s="1174" t="s">
        <v>402</v>
      </c>
      <c r="Q8" s="1175"/>
      <c r="R8" s="1175"/>
      <c r="S8" s="1175"/>
      <c r="T8" s="1175"/>
      <c r="U8" s="1175"/>
      <c r="V8" s="1175"/>
      <c r="W8" s="1175"/>
      <c r="X8" s="1175"/>
      <c r="Y8" s="1175"/>
      <c r="Z8" s="1175"/>
      <c r="AA8" s="1175"/>
      <c r="AB8" s="1175"/>
      <c r="AC8" s="1176"/>
    </row>
    <row r="9" spans="2:29" ht="14.5" customHeight="1" x14ac:dyDescent="0.3">
      <c r="B9" s="1140"/>
      <c r="C9" s="1199"/>
      <c r="D9" s="524">
        <v>2018</v>
      </c>
      <c r="E9" s="1135">
        <v>2019</v>
      </c>
      <c r="F9" s="1136"/>
      <c r="G9" s="1136"/>
      <c r="H9" s="1137"/>
      <c r="I9" s="1135">
        <v>2020</v>
      </c>
      <c r="J9" s="1136"/>
      <c r="K9" s="1136"/>
      <c r="L9" s="1137"/>
      <c r="M9" s="1135">
        <v>2021</v>
      </c>
      <c r="N9" s="1136"/>
      <c r="O9" s="1137"/>
      <c r="P9" s="557">
        <v>2021</v>
      </c>
      <c r="Q9" s="1142">
        <v>2022</v>
      </c>
      <c r="R9" s="1143"/>
      <c r="S9" s="1143"/>
      <c r="T9" s="1144"/>
      <c r="U9" s="1142">
        <v>2023</v>
      </c>
      <c r="V9" s="1143"/>
      <c r="W9" s="1143"/>
      <c r="X9" s="1143"/>
      <c r="Y9" s="1142">
        <v>2024</v>
      </c>
      <c r="Z9" s="1143"/>
      <c r="AA9" s="1143"/>
      <c r="AB9" s="1144"/>
      <c r="AC9" s="329">
        <v>2025</v>
      </c>
    </row>
    <row r="10" spans="2:29" x14ac:dyDescent="0.3">
      <c r="B10" s="1140"/>
      <c r="C10" s="1199"/>
      <c r="D10" s="166" t="s">
        <v>403</v>
      </c>
      <c r="E10" s="166" t="s">
        <v>404</v>
      </c>
      <c r="F10" s="147" t="s">
        <v>405</v>
      </c>
      <c r="G10" s="147" t="s">
        <v>290</v>
      </c>
      <c r="H10" s="154" t="s">
        <v>403</v>
      </c>
      <c r="I10" s="148" t="s">
        <v>404</v>
      </c>
      <c r="J10" s="148" t="s">
        <v>405</v>
      </c>
      <c r="K10" s="148" t="s">
        <v>290</v>
      </c>
      <c r="L10" s="148" t="s">
        <v>403</v>
      </c>
      <c r="M10" s="161" t="s">
        <v>404</v>
      </c>
      <c r="N10" s="148" t="s">
        <v>405</v>
      </c>
      <c r="O10" s="154" t="s">
        <v>290</v>
      </c>
      <c r="P10" s="420" t="s">
        <v>403</v>
      </c>
      <c r="Q10" s="418" t="s">
        <v>404</v>
      </c>
      <c r="R10" s="419" t="s">
        <v>405</v>
      </c>
      <c r="S10" s="419" t="s">
        <v>290</v>
      </c>
      <c r="T10" s="419" t="s">
        <v>403</v>
      </c>
      <c r="U10" s="418" t="s">
        <v>404</v>
      </c>
      <c r="V10" s="419" t="s">
        <v>405</v>
      </c>
      <c r="W10" s="419" t="s">
        <v>290</v>
      </c>
      <c r="X10" s="419" t="s">
        <v>403</v>
      </c>
      <c r="Y10" s="418" t="s">
        <v>404</v>
      </c>
      <c r="Z10" s="384" t="s">
        <v>405</v>
      </c>
      <c r="AA10" s="419" t="s">
        <v>290</v>
      </c>
      <c r="AB10" s="420" t="s">
        <v>403</v>
      </c>
      <c r="AC10" s="71" t="s">
        <v>404</v>
      </c>
    </row>
    <row r="11" spans="2:29" x14ac:dyDescent="0.3">
      <c r="B11" s="1236" t="s">
        <v>638</v>
      </c>
      <c r="C11" s="1237"/>
      <c r="D11" s="833"/>
      <c r="E11" s="893"/>
      <c r="F11" s="893"/>
      <c r="G11" s="893"/>
      <c r="H11" s="760"/>
      <c r="I11" s="760"/>
      <c r="J11" s="760"/>
      <c r="K11" s="760"/>
      <c r="L11" s="760"/>
      <c r="M11" s="760"/>
      <c r="N11" s="760"/>
      <c r="O11" s="761"/>
      <c r="P11" s="676"/>
      <c r="Q11" s="676"/>
      <c r="R11" s="676"/>
      <c r="S11" s="676"/>
      <c r="T11" s="676"/>
      <c r="U11" s="676"/>
      <c r="V11" s="676"/>
      <c r="W11" s="676"/>
      <c r="X11" s="676"/>
      <c r="Y11" s="676"/>
      <c r="Z11" s="676"/>
      <c r="AA11" s="676"/>
      <c r="AB11" s="676"/>
      <c r="AC11" s="549"/>
    </row>
    <row r="12" spans="2:29" x14ac:dyDescent="0.3">
      <c r="B12" s="157" t="s">
        <v>639</v>
      </c>
      <c r="C12" s="34" t="s">
        <v>640</v>
      </c>
      <c r="D12" s="155">
        <f>'Haver Pivoted'!GO31</f>
        <v>2222.3000000000002</v>
      </c>
      <c r="E12" s="156">
        <f>'Haver Pivoted'!GP31</f>
        <v>2298.1</v>
      </c>
      <c r="F12" s="156">
        <f>'Haver Pivoted'!GQ31</f>
        <v>2315.5</v>
      </c>
      <c r="G12" s="156">
        <f>'Haver Pivoted'!GR31</f>
        <v>2333.1999999999998</v>
      </c>
      <c r="H12" s="156">
        <f>'Haver Pivoted'!GS31</f>
        <v>2350.8000000000002</v>
      </c>
      <c r="I12" s="156">
        <f>'Haver Pivoted'!GT31</f>
        <v>2417.9</v>
      </c>
      <c r="J12" s="156">
        <f>'Haver Pivoted'!GU31</f>
        <v>4766.7</v>
      </c>
      <c r="K12" s="156">
        <f>'Haver Pivoted'!GV31</f>
        <v>3468.3</v>
      </c>
      <c r="L12" s="156">
        <f>'Haver Pivoted'!GW31</f>
        <v>2839.1</v>
      </c>
      <c r="M12" s="156">
        <f>'Haver Pivoted'!GX31</f>
        <v>5070.6000000000004</v>
      </c>
      <c r="N12" s="156">
        <f>'Haver Pivoted'!GY31</f>
        <v>3372.3</v>
      </c>
      <c r="O12" s="938">
        <f>'Haver Pivoted'!GZ31</f>
        <v>3141.4</v>
      </c>
      <c r="P12" s="158">
        <f t="shared" ref="P12:Y12" si="0">SUM(P13:P22)</f>
        <v>2705.0478827068837</v>
      </c>
      <c r="Q12" s="158">
        <f t="shared" si="0"/>
        <v>2882.4035298341651</v>
      </c>
      <c r="R12" s="158">
        <f t="shared" si="0"/>
        <v>2898.2496689473442</v>
      </c>
      <c r="S12" s="158">
        <f t="shared" si="0"/>
        <v>2844.5011114824156</v>
      </c>
      <c r="T12" s="158">
        <f t="shared" si="0"/>
        <v>2803.5695457366237</v>
      </c>
      <c r="U12" s="158">
        <f t="shared" si="0"/>
        <v>2819.2531123653007</v>
      </c>
      <c r="V12" s="158">
        <f t="shared" si="0"/>
        <v>2843.6825813334926</v>
      </c>
      <c r="W12" s="158">
        <f t="shared" si="0"/>
        <v>2868.4352626740429</v>
      </c>
      <c r="X12" s="158">
        <f t="shared" si="0"/>
        <v>2885.8161242385004</v>
      </c>
      <c r="Y12" s="158">
        <f t="shared" si="0"/>
        <v>2981.0020495843564</v>
      </c>
      <c r="Z12" s="158">
        <f t="shared" ref="Z12:AC12" si="1">SUM(Z13:Z22)</f>
        <v>3006.508705222338</v>
      </c>
      <c r="AA12" s="158">
        <f t="shared" si="1"/>
        <v>3032.2546419760729</v>
      </c>
      <c r="AB12" s="158">
        <f t="shared" si="1"/>
        <v>3056.7227572707288</v>
      </c>
      <c r="AC12" s="625">
        <f t="shared" si="1"/>
        <v>3083.2187942899527</v>
      </c>
    </row>
    <row r="13" spans="2:29" ht="28" x14ac:dyDescent="0.3">
      <c r="B13" s="183" t="s">
        <v>641</v>
      </c>
      <c r="D13" s="155">
        <f>'Unemployment Insurance'!D20+'Unemployment Insurance'!D19</f>
        <v>27.1</v>
      </c>
      <c r="E13" s="156">
        <f>'Unemployment Insurance'!E20+'Unemployment Insurance'!E19</f>
        <v>28.4</v>
      </c>
      <c r="F13" s="156">
        <f>'Unemployment Insurance'!F20+'Unemployment Insurance'!F19</f>
        <v>27.8</v>
      </c>
      <c r="G13" s="156">
        <f>'Unemployment Insurance'!G20+'Unemployment Insurance'!G19</f>
        <v>27.4</v>
      </c>
      <c r="H13" s="156">
        <f>'Unemployment Insurance'!H20+'Unemployment Insurance'!H19</f>
        <v>26.8</v>
      </c>
      <c r="I13" s="156">
        <f>'Unemployment Insurance'!I20+'Unemployment Insurance'!I19</f>
        <v>39.5</v>
      </c>
      <c r="J13" s="156">
        <f>'Unemployment Insurance'!J20+'Unemployment Insurance'!J19</f>
        <v>1039.4000000000001</v>
      </c>
      <c r="K13" s="156">
        <f>'Unemployment Insurance'!K20+'Unemployment Insurance'!K19</f>
        <v>767.8</v>
      </c>
      <c r="L13" s="156">
        <f>'Unemployment Insurance'!L20+'Unemployment Insurance'!L19</f>
        <v>299.89999999999998</v>
      </c>
      <c r="M13" s="156">
        <f>'Unemployment Insurance'!M20+'Unemployment Insurance'!M19</f>
        <v>565.79999999999995</v>
      </c>
      <c r="N13" s="156">
        <f>'Unemployment Insurance'!N20+'Unemployment Insurance'!N19</f>
        <v>480.4</v>
      </c>
      <c r="O13" s="938">
        <f>'Unemployment Insurance'!O20+'Unemployment Insurance'!O19</f>
        <v>272.60000000000002</v>
      </c>
      <c r="P13" s="158">
        <f>'Unemployment Insurance'!P20+'Unemployment Insurance'!P19</f>
        <v>32.412642857142878</v>
      </c>
      <c r="Q13" s="158">
        <f>'Unemployment Insurance'!Q20+'Unemployment Insurance'!Q19</f>
        <v>28.861246753246771</v>
      </c>
      <c r="R13" s="158">
        <f>'Unemployment Insurance'!R20+'Unemployment Insurance'!R19</f>
        <v>26.856993506493524</v>
      </c>
      <c r="S13" s="158">
        <f>'Unemployment Insurance'!S20+'Unemployment Insurance'!S19</f>
        <v>25.893545454545471</v>
      </c>
      <c r="T13" s="158">
        <f>'Unemployment Insurance'!T20+'Unemployment Insurance'!T19</f>
        <v>25.57708441558443</v>
      </c>
      <c r="U13" s="158">
        <f>'Unemployment Insurance'!U20+'Unemployment Insurance'!U19</f>
        <v>25.752896103896116</v>
      </c>
      <c r="V13" s="158">
        <f>'Unemployment Insurance'!V20+'Unemployment Insurance'!V19</f>
        <v>26.1467142857143</v>
      </c>
      <c r="W13" s="158">
        <f>'Unemployment Insurance'!W20+'Unemployment Insurance'!W19</f>
        <v>26.547564935064948</v>
      </c>
      <c r="X13" s="158">
        <f>'Unemployment Insurance'!X20+'Unemployment Insurance'!X19</f>
        <v>26.969512987013001</v>
      </c>
      <c r="Y13" s="158">
        <f>'Unemployment Insurance'!Y20+'Unemployment Insurance'!Y19</f>
        <v>27.496948051948067</v>
      </c>
      <c r="Z13" s="158">
        <f>'Unemployment Insurance'!Z20+'Unemployment Insurance'!Z19</f>
        <v>27.932961038961054</v>
      </c>
      <c r="AA13" s="158">
        <f>'Unemployment Insurance'!AA20+'Unemployment Insurance'!AA19</f>
        <v>28.277551948051961</v>
      </c>
      <c r="AB13" s="158">
        <f>'Unemployment Insurance'!AB20+'Unemployment Insurance'!AB19</f>
        <v>28.706532467532483</v>
      </c>
      <c r="AC13" s="625">
        <f>'Unemployment Insurance'!AC20+'Unemployment Insurance'!AC19</f>
        <v>29.121448051948068</v>
      </c>
    </row>
    <row r="14" spans="2:29" x14ac:dyDescent="0.3">
      <c r="B14" s="183" t="s">
        <v>76</v>
      </c>
      <c r="D14" s="155">
        <f>Medicare!D10</f>
        <v>754.2</v>
      </c>
      <c r="E14" s="156">
        <f>Medicare!E10</f>
        <v>768.3</v>
      </c>
      <c r="F14" s="156">
        <f>Medicare!F10</f>
        <v>781.1</v>
      </c>
      <c r="G14" s="156">
        <f>Medicare!G10</f>
        <v>792.1</v>
      </c>
      <c r="H14" s="156">
        <f>Medicare!H10</f>
        <v>801.3</v>
      </c>
      <c r="I14" s="156">
        <f>Medicare!I10</f>
        <v>808.5</v>
      </c>
      <c r="J14" s="156">
        <f>Medicare!J10</f>
        <v>821.6</v>
      </c>
      <c r="K14" s="156">
        <f>Medicare!K10</f>
        <v>825.8</v>
      </c>
      <c r="L14" s="156">
        <f>Medicare!L10</f>
        <v>821</v>
      </c>
      <c r="M14" s="156">
        <f>Medicare!M10</f>
        <v>814.1</v>
      </c>
      <c r="N14" s="156">
        <f>Medicare!N10</f>
        <v>815.3</v>
      </c>
      <c r="O14" s="938">
        <f>Medicare!O10</f>
        <v>826.5</v>
      </c>
      <c r="P14" s="158">
        <f>Medicare!P10</f>
        <v>840.90322653846329</v>
      </c>
      <c r="Q14" s="158">
        <f>Medicare!Q10</f>
        <v>840.36452608091781</v>
      </c>
      <c r="R14" s="158">
        <f>Medicare!R10</f>
        <v>856.11491844085015</v>
      </c>
      <c r="S14" s="158">
        <f>Medicare!S10</f>
        <v>858.15980902786953</v>
      </c>
      <c r="T14" s="158">
        <f>Medicare!T10</f>
        <v>874.5047043210385</v>
      </c>
      <c r="U14" s="158">
        <f>Medicare!U10</f>
        <v>891.12996993440447</v>
      </c>
      <c r="V14" s="158">
        <f>Medicare!V10</f>
        <v>908.06562072077816</v>
      </c>
      <c r="W14" s="158">
        <f>Medicare!W10</f>
        <v>925.31745141197712</v>
      </c>
      <c r="X14" s="158">
        <f>Medicare!X10</f>
        <v>942.89136492448665</v>
      </c>
      <c r="Y14" s="158">
        <f>Medicare!Y10</f>
        <v>960.53728015007744</v>
      </c>
      <c r="Z14" s="158">
        <f>Medicare!Z10</f>
        <v>978.50792280104577</v>
      </c>
      <c r="AA14" s="158">
        <f>Medicare!AA10</f>
        <v>996.8092686456896</v>
      </c>
      <c r="AB14" s="158">
        <f>Medicare!AB10</f>
        <v>1015.4474034208649</v>
      </c>
      <c r="AC14" s="625">
        <f>Medicare!AC10</f>
        <v>1034.4285248556728</v>
      </c>
    </row>
    <row r="15" spans="2:29" ht="28" x14ac:dyDescent="0.3">
      <c r="B15" s="179" t="s">
        <v>642</v>
      </c>
      <c r="D15" s="41"/>
      <c r="H15" s="156">
        <f>'Rebate Checks'!H10 +'Rebate Checks'!H11</f>
        <v>0</v>
      </c>
      <c r="I15" s="156">
        <f>'Rebate Checks'!I10 +'Rebate Checks'!I11</f>
        <v>0</v>
      </c>
      <c r="J15" s="156">
        <f>'Rebate Checks'!J10 +'Rebate Checks'!J11</f>
        <v>1078.0999999999999</v>
      </c>
      <c r="K15" s="156">
        <f>'Rebate Checks'!K10 +'Rebate Checks'!K11</f>
        <v>15.6</v>
      </c>
      <c r="L15" s="156">
        <f>'Rebate Checks'!L10 +'Rebate Checks'!L11</f>
        <v>5</v>
      </c>
      <c r="M15" s="156">
        <f>'Rebate Checks'!M10 +'Rebate Checks'!M11</f>
        <v>1933.6999999999998</v>
      </c>
      <c r="N15" s="156">
        <f>'Rebate Checks'!N10 +'Rebate Checks'!N11</f>
        <v>290.10000000000002</v>
      </c>
      <c r="O15" s="938">
        <f>'Rebate Checks'!O10 +'Rebate Checks'!O11</f>
        <v>38.9</v>
      </c>
      <c r="P15" s="158">
        <f>'Rebate Checks'!P10 +'Rebate Checks'!P11</f>
        <v>0</v>
      </c>
      <c r="Q15" s="158">
        <f>'Rebate Checks'!Q10 +'Rebate Checks'!Q11</f>
        <v>14.93</v>
      </c>
      <c r="R15" s="158">
        <f>'Rebate Checks'!R10 +'Rebate Checks'!R11</f>
        <v>14.93</v>
      </c>
      <c r="S15" s="158">
        <f>'Rebate Checks'!S10 +'Rebate Checks'!S11</f>
        <v>0</v>
      </c>
      <c r="T15" s="158">
        <f>'Rebate Checks'!T10 +'Rebate Checks'!T11</f>
        <v>0</v>
      </c>
      <c r="U15" s="158">
        <f>'Rebate Checks'!U10 +'Rebate Checks'!U11</f>
        <v>0</v>
      </c>
      <c r="V15" s="158">
        <f>'Rebate Checks'!V10 +'Rebate Checks'!V11</f>
        <v>0</v>
      </c>
      <c r="W15" s="158">
        <f>'Rebate Checks'!W10 +'Rebate Checks'!W11</f>
        <v>0</v>
      </c>
      <c r="X15" s="158">
        <f>'Rebate Checks'!X10 +'Rebate Checks'!X11</f>
        <v>0</v>
      </c>
      <c r="Y15" s="158">
        <f>'Rebate Checks'!Y10 +'Rebate Checks'!Y11</f>
        <v>0</v>
      </c>
      <c r="Z15" s="158">
        <f>'Rebate Checks'!Z10 +'Rebate Checks'!Z11</f>
        <v>0</v>
      </c>
      <c r="AA15" s="158">
        <f>'Rebate Checks'!AA10 +'Rebate Checks'!AA11</f>
        <v>0</v>
      </c>
      <c r="AB15" s="158">
        <f>'Rebate Checks'!AB10 +'Rebate Checks'!AB11</f>
        <v>0</v>
      </c>
      <c r="AC15" s="625">
        <f>'Rebate Checks'!AC10 +'Rebate Checks'!AC11</f>
        <v>0</v>
      </c>
    </row>
    <row r="16" spans="2:29" ht="28" x14ac:dyDescent="0.3">
      <c r="B16" s="179" t="s">
        <v>643</v>
      </c>
      <c r="D16" s="41"/>
      <c r="H16" s="156"/>
      <c r="I16" s="156">
        <f>I69</f>
        <v>2.5817499999999995</v>
      </c>
      <c r="J16" s="156">
        <f t="shared" ref="J16:Y16" si="2">J69</f>
        <v>37.358750000000001</v>
      </c>
      <c r="K16" s="156">
        <f t="shared" si="2"/>
        <v>38.026749999999993</v>
      </c>
      <c r="L16" s="156">
        <f t="shared" si="2"/>
        <v>38.350750000000005</v>
      </c>
      <c r="M16" s="156">
        <f t="shared" si="2"/>
        <v>54.966750000000005</v>
      </c>
      <c r="N16" s="156">
        <f t="shared" si="2"/>
        <v>74.252749999999992</v>
      </c>
      <c r="O16" s="938">
        <f t="shared" si="2"/>
        <v>85.407749999999993</v>
      </c>
      <c r="P16" s="158">
        <f t="shared" si="2"/>
        <v>50</v>
      </c>
      <c r="Q16" s="158">
        <f t="shared" si="2"/>
        <v>25</v>
      </c>
      <c r="R16" s="158">
        <f t="shared" si="2"/>
        <v>20</v>
      </c>
      <c r="S16" s="158">
        <f t="shared" si="2"/>
        <v>5</v>
      </c>
      <c r="T16" s="158">
        <f t="shared" si="2"/>
        <v>0</v>
      </c>
      <c r="U16" s="158">
        <f t="shared" si="2"/>
        <v>0</v>
      </c>
      <c r="V16" s="158">
        <f t="shared" si="2"/>
        <v>0</v>
      </c>
      <c r="W16" s="158">
        <f t="shared" si="2"/>
        <v>0</v>
      </c>
      <c r="X16" s="158">
        <f t="shared" si="2"/>
        <v>0</v>
      </c>
      <c r="Y16" s="158">
        <f t="shared" si="2"/>
        <v>0</v>
      </c>
      <c r="Z16" s="158">
        <f t="shared" ref="Z16:AC16" si="3">Z69</f>
        <v>0</v>
      </c>
      <c r="AA16" s="158">
        <f t="shared" si="3"/>
        <v>0</v>
      </c>
      <c r="AB16" s="158">
        <f t="shared" si="3"/>
        <v>0</v>
      </c>
      <c r="AC16" s="625">
        <f t="shared" si="3"/>
        <v>0</v>
      </c>
    </row>
    <row r="17" spans="2:29" x14ac:dyDescent="0.3">
      <c r="B17" s="179" t="s">
        <v>644</v>
      </c>
      <c r="D17" s="41"/>
      <c r="H17" s="156"/>
      <c r="I17" s="156"/>
      <c r="J17" s="63">
        <v>19.100000000000001</v>
      </c>
      <c r="K17" s="63">
        <v>27</v>
      </c>
      <c r="L17" s="63">
        <v>10.8</v>
      </c>
      <c r="M17" s="63">
        <v>10.8</v>
      </c>
      <c r="N17" s="156">
        <f>PPP!N53</f>
        <v>24.7</v>
      </c>
      <c r="O17" s="938">
        <f>PPP!O53</f>
        <v>14</v>
      </c>
      <c r="P17" s="158">
        <f>PPP!P53</f>
        <v>1.6983733112765369</v>
      </c>
      <c r="Q17" s="158"/>
      <c r="R17" s="158"/>
      <c r="S17" s="158"/>
      <c r="T17" s="158"/>
      <c r="U17" s="158"/>
      <c r="V17" s="158"/>
      <c r="W17" s="158"/>
      <c r="X17" s="158"/>
      <c r="Y17" s="158"/>
      <c r="Z17" s="158"/>
      <c r="AA17" s="158"/>
      <c r="AB17" s="158"/>
      <c r="AC17" s="625"/>
    </row>
    <row r="18" spans="2:29" x14ac:dyDescent="0.3">
      <c r="B18" s="179" t="s">
        <v>645</v>
      </c>
      <c r="D18" s="41"/>
      <c r="H18" s="156"/>
      <c r="I18" s="156"/>
      <c r="J18" s="63">
        <v>160.9</v>
      </c>
      <c r="K18" s="63">
        <v>58.4</v>
      </c>
      <c r="L18" s="63">
        <v>34.5</v>
      </c>
      <c r="M18" s="63">
        <v>43</v>
      </c>
      <c r="N18" s="156">
        <f>'Provider Relief'!N11</f>
        <v>26.6</v>
      </c>
      <c r="O18" s="938">
        <f>'Provider Relief'!O11</f>
        <v>37.4</v>
      </c>
      <c r="P18" s="158">
        <f>'Provider Relief'!P11</f>
        <v>12.2</v>
      </c>
      <c r="Q18" s="158">
        <f>'Provider Relief'!Q11</f>
        <v>0</v>
      </c>
      <c r="R18" s="158">
        <f>'Provider Relief'!R11</f>
        <v>0</v>
      </c>
      <c r="S18" s="158"/>
      <c r="T18" s="158"/>
      <c r="U18" s="158"/>
      <c r="V18" s="158"/>
      <c r="W18" s="158"/>
      <c r="X18" s="158"/>
      <c r="Y18" s="158"/>
      <c r="Z18" s="158"/>
      <c r="AA18" s="158"/>
      <c r="AB18" s="158"/>
      <c r="AC18" s="625"/>
    </row>
    <row r="19" spans="2:29" ht="42" x14ac:dyDescent="0.3">
      <c r="B19" s="999" t="s">
        <v>1248</v>
      </c>
      <c r="D19" s="1007">
        <v>30</v>
      </c>
      <c r="E19" s="1007">
        <v>30</v>
      </c>
      <c r="F19" s="1007">
        <v>30</v>
      </c>
      <c r="G19" s="1007">
        <v>30</v>
      </c>
      <c r="H19" s="1007">
        <v>30</v>
      </c>
      <c r="I19" s="1007">
        <v>30</v>
      </c>
      <c r="J19" s="1007">
        <v>30</v>
      </c>
      <c r="K19" s="63">
        <v>30.2</v>
      </c>
      <c r="L19" s="63">
        <v>30.2</v>
      </c>
      <c r="M19" s="63">
        <v>34.4</v>
      </c>
      <c r="N19" s="156">
        <v>34.4</v>
      </c>
      <c r="O19" s="938">
        <v>218.9</v>
      </c>
      <c r="P19" s="158">
        <f>55*4 + 34</f>
        <v>254</v>
      </c>
      <c r="Q19" s="158">
        <f>8*4 + 34</f>
        <v>66</v>
      </c>
      <c r="R19" s="158">
        <f>8*4 + 34</f>
        <v>66</v>
      </c>
      <c r="S19" s="158">
        <v>34</v>
      </c>
      <c r="T19" s="158">
        <v>34</v>
      </c>
      <c r="U19" s="158">
        <v>34</v>
      </c>
      <c r="V19" s="158">
        <v>34</v>
      </c>
      <c r="W19" s="158">
        <v>34</v>
      </c>
      <c r="X19" s="158">
        <v>34</v>
      </c>
      <c r="Y19" s="158">
        <v>34</v>
      </c>
      <c r="Z19" s="158">
        <v>34</v>
      </c>
      <c r="AA19" s="158">
        <v>34</v>
      </c>
      <c r="AB19" s="158">
        <v>34</v>
      </c>
      <c r="AC19" s="158">
        <v>34</v>
      </c>
    </row>
    <row r="20" spans="2:29" x14ac:dyDescent="0.3">
      <c r="B20" s="179" t="s">
        <v>646</v>
      </c>
      <c r="D20" s="41"/>
      <c r="H20" s="156"/>
      <c r="I20" s="156"/>
      <c r="J20" s="63"/>
      <c r="K20" s="63"/>
      <c r="L20" s="63"/>
      <c r="M20" s="63"/>
      <c r="N20" s="156">
        <f>N25</f>
        <v>80.048640000000034</v>
      </c>
      <c r="O20" s="938">
        <f>O25</f>
        <v>177.9433600000001</v>
      </c>
      <c r="P20" s="158">
        <f t="shared" ref="P20:Y20" si="4">P25</f>
        <v>84.676000000000002</v>
      </c>
      <c r="Q20" s="158">
        <f t="shared" si="4"/>
        <v>72.475999999999999</v>
      </c>
      <c r="R20" s="158">
        <f t="shared" si="4"/>
        <v>72.475999999999999</v>
      </c>
      <c r="S20" s="158">
        <f t="shared" si="4"/>
        <v>72.475999999999999</v>
      </c>
      <c r="T20" s="158">
        <f t="shared" si="4"/>
        <v>13.416</v>
      </c>
      <c r="U20" s="158">
        <f t="shared" si="4"/>
        <v>13.416</v>
      </c>
      <c r="V20" s="158">
        <f t="shared" si="4"/>
        <v>13.416</v>
      </c>
      <c r="W20" s="158">
        <f t="shared" si="4"/>
        <v>13.416</v>
      </c>
      <c r="X20" s="158">
        <f t="shared" si="4"/>
        <v>5.7009999999999996</v>
      </c>
      <c r="Y20" s="158">
        <f t="shared" si="4"/>
        <v>5.7009999999999996</v>
      </c>
      <c r="Z20" s="158">
        <f t="shared" ref="Z20:AC20" si="5">Z25</f>
        <v>5.7009999999999996</v>
      </c>
      <c r="AA20" s="158">
        <f t="shared" si="5"/>
        <v>5.7009999999999996</v>
      </c>
      <c r="AB20" s="158">
        <f t="shared" si="5"/>
        <v>4.0019999999999998</v>
      </c>
      <c r="AC20" s="625">
        <f t="shared" si="5"/>
        <v>4.0019999999999998</v>
      </c>
    </row>
    <row r="21" spans="2:29" x14ac:dyDescent="0.3">
      <c r="B21" s="245" t="s">
        <v>1235</v>
      </c>
      <c r="D21" s="495">
        <f>D61</f>
        <v>0</v>
      </c>
      <c r="E21" s="295">
        <f t="shared" ref="E21:N21" si="6">E61</f>
        <v>0</v>
      </c>
      <c r="F21" s="295">
        <f t="shared" si="6"/>
        <v>0</v>
      </c>
      <c r="G21" s="295">
        <f t="shared" si="6"/>
        <v>0</v>
      </c>
      <c r="H21" s="295">
        <f t="shared" si="6"/>
        <v>0</v>
      </c>
      <c r="I21" s="295">
        <f t="shared" si="6"/>
        <v>-2.5817500000000564</v>
      </c>
      <c r="J21" s="295">
        <f t="shared" si="6"/>
        <v>33.241249999999809</v>
      </c>
      <c r="K21" s="295">
        <f>K61</f>
        <v>151.37324999999987</v>
      </c>
      <c r="L21" s="295">
        <f t="shared" si="6"/>
        <v>38.149249999999256</v>
      </c>
      <c r="M21" s="295">
        <f t="shared" si="6"/>
        <v>28.032249999999522</v>
      </c>
      <c r="N21" s="295">
        <f t="shared" si="6"/>
        <v>33.646249999999554</v>
      </c>
      <c r="O21" s="916">
        <f>O61</f>
        <v>47.691249999998945</v>
      </c>
      <c r="P21" s="349">
        <v>0</v>
      </c>
      <c r="Q21" s="349">
        <v>0</v>
      </c>
      <c r="R21" s="349">
        <v>0</v>
      </c>
      <c r="S21" s="349">
        <v>0</v>
      </c>
      <c r="T21" s="349">
        <v>0</v>
      </c>
      <c r="U21" s="349">
        <v>0</v>
      </c>
      <c r="V21" s="349">
        <v>0</v>
      </c>
      <c r="W21" s="349">
        <v>0</v>
      </c>
      <c r="X21" s="349">
        <v>0</v>
      </c>
      <c r="Y21" s="349">
        <v>0</v>
      </c>
      <c r="Z21" s="349">
        <v>0</v>
      </c>
      <c r="AA21" s="349">
        <v>0</v>
      </c>
      <c r="AB21" s="349">
        <v>0</v>
      </c>
      <c r="AC21" s="350">
        <v>0</v>
      </c>
    </row>
    <row r="22" spans="2:29" ht="28" x14ac:dyDescent="0.3">
      <c r="B22" s="49" t="s">
        <v>1250</v>
      </c>
      <c r="D22" s="155">
        <f>D12-SUM(D13:D21)</f>
        <v>1411</v>
      </c>
      <c r="E22" s="1000">
        <f t="shared" ref="E22:N22" si="7">E12-SUM(E13:E21)</f>
        <v>1471.4</v>
      </c>
      <c r="F22" s="1000">
        <f>F12-SUM(F13:F21)</f>
        <v>1476.6</v>
      </c>
      <c r="G22" s="1000">
        <f t="shared" si="7"/>
        <v>1483.6999999999998</v>
      </c>
      <c r="H22" s="1000">
        <f>H12-SUM(H13:H21)</f>
        <v>1492.7000000000003</v>
      </c>
      <c r="I22" s="1000">
        <f t="shared" si="7"/>
        <v>1539.9</v>
      </c>
      <c r="J22" s="1000">
        <f t="shared" si="7"/>
        <v>1547</v>
      </c>
      <c r="K22" s="1000">
        <f t="shared" si="7"/>
        <v>1554.1000000000004</v>
      </c>
      <c r="L22" s="1000">
        <f t="shared" si="7"/>
        <v>1561.2000000000005</v>
      </c>
      <c r="M22" s="1000">
        <f t="shared" si="7"/>
        <v>1585.8010000000004</v>
      </c>
      <c r="N22" s="1000">
        <f t="shared" si="7"/>
        <v>1512.8523600000008</v>
      </c>
      <c r="O22" s="1000">
        <f>O12-SUM(O13:O21)</f>
        <v>1422.0576400000009</v>
      </c>
      <c r="P22" s="634">
        <f>O22+($L22-$I22)/3</f>
        <v>1429.157640000001</v>
      </c>
      <c r="Q22" s="1001">
        <f>M22*E48</f>
        <v>1834.7717570000004</v>
      </c>
      <c r="R22" s="634">
        <f>Q22+($L22-$I22)/3</f>
        <v>1841.8717570000006</v>
      </c>
      <c r="S22" s="634">
        <f>R22+($L22-$I22)/3</f>
        <v>1848.9717570000007</v>
      </c>
      <c r="T22" s="634">
        <f>S22+($L22-$I22)/3</f>
        <v>1856.0717570000008</v>
      </c>
      <c r="U22" s="1001">
        <f>Q22*F48</f>
        <v>1854.9542463270002</v>
      </c>
      <c r="V22" s="634">
        <f>U22+($L22-$I22)/3</f>
        <v>1862.0542463270003</v>
      </c>
      <c r="W22" s="634">
        <f>V22+($L22-$I22)/3</f>
        <v>1869.1542463270005</v>
      </c>
      <c r="X22" s="634">
        <f>W22+($L22-$I22)/3</f>
        <v>1876.2542463270006</v>
      </c>
      <c r="Y22" s="1001">
        <f>U22*$G$48</f>
        <v>1953.266821382331</v>
      </c>
      <c r="Z22" s="634">
        <f>Y22+($L22-$I22)/3</f>
        <v>1960.3668213823312</v>
      </c>
      <c r="AA22" s="634">
        <f t="shared" ref="AA22:AC22" si="8">Z22+($L22-$I22)/3</f>
        <v>1967.4668213823313</v>
      </c>
      <c r="AB22" s="634">
        <f t="shared" si="8"/>
        <v>1974.5668213823315</v>
      </c>
      <c r="AC22" s="635">
        <f t="shared" si="8"/>
        <v>1981.6668213823316</v>
      </c>
    </row>
    <row r="23" spans="2:29" x14ac:dyDescent="0.3">
      <c r="B23" s="97" t="s">
        <v>1296</v>
      </c>
      <c r="D23" s="155"/>
      <c r="E23" s="1000"/>
      <c r="F23" s="1000"/>
      <c r="G23" s="1000"/>
      <c r="H23" s="1000"/>
      <c r="I23" s="1000"/>
      <c r="J23" s="1000"/>
      <c r="K23" s="1000"/>
      <c r="L23" s="1000"/>
      <c r="M23" s="1000"/>
      <c r="N23" s="1000"/>
      <c r="O23" s="1000"/>
      <c r="P23" s="1045">
        <v>-2.5</v>
      </c>
      <c r="Q23" s="1045">
        <v>-2.5</v>
      </c>
      <c r="R23" s="1045">
        <v>-2.5</v>
      </c>
      <c r="S23" s="1045">
        <v>-2.5</v>
      </c>
      <c r="T23" s="1045">
        <v>-6</v>
      </c>
      <c r="U23" s="1045">
        <v>-6</v>
      </c>
      <c r="V23" s="1045">
        <v>-6</v>
      </c>
      <c r="W23" s="1045">
        <v>-6</v>
      </c>
      <c r="X23" s="1045">
        <v>-4.3</v>
      </c>
      <c r="Y23" s="1045">
        <v>-4.3</v>
      </c>
      <c r="Z23" s="1045">
        <v>-4.3</v>
      </c>
      <c r="AA23" s="1045">
        <v>-4.3</v>
      </c>
      <c r="AB23" s="1045">
        <v>-4.8</v>
      </c>
      <c r="AC23" s="1045">
        <v>-4.8</v>
      </c>
    </row>
    <row r="24" spans="2:29" s="140" customFormat="1" ht="14.5" x14ac:dyDescent="0.35">
      <c r="B24" s="414" t="s">
        <v>1251</v>
      </c>
      <c r="D24" s="590">
        <f>D22 +D19+D16 +D17</f>
        <v>1441</v>
      </c>
      <c r="E24" s="590">
        <f t="shared" ref="E24:AC24" si="9">E22 +E19+E16 +E17</f>
        <v>1501.4</v>
      </c>
      <c r="F24" s="590">
        <f t="shared" si="9"/>
        <v>1506.6</v>
      </c>
      <c r="G24" s="590">
        <f t="shared" si="9"/>
        <v>1513.6999999999998</v>
      </c>
      <c r="H24" s="590">
        <f t="shared" si="9"/>
        <v>1522.7000000000003</v>
      </c>
      <c r="I24" s="590">
        <f t="shared" si="9"/>
        <v>1572.4817500000001</v>
      </c>
      <c r="J24" s="590">
        <f t="shared" si="9"/>
        <v>1633.45875</v>
      </c>
      <c r="K24" s="590">
        <f t="shared" si="9"/>
        <v>1649.3267500000004</v>
      </c>
      <c r="L24" s="590">
        <f t="shared" si="9"/>
        <v>1640.5507500000006</v>
      </c>
      <c r="M24" s="590">
        <f t="shared" si="9"/>
        <v>1685.9677500000005</v>
      </c>
      <c r="N24" s="590">
        <f t="shared" si="9"/>
        <v>1646.205110000001</v>
      </c>
      <c r="O24" s="590">
        <f t="shared" si="9"/>
        <v>1740.3653900000011</v>
      </c>
      <c r="P24" s="590">
        <f t="shared" si="9"/>
        <v>1734.8560133112776</v>
      </c>
      <c r="Q24" s="590">
        <f t="shared" si="9"/>
        <v>1925.7717570000004</v>
      </c>
      <c r="R24" s="590">
        <f t="shared" si="9"/>
        <v>1927.8717570000006</v>
      </c>
      <c r="S24" s="590">
        <f t="shared" si="9"/>
        <v>1887.9717570000007</v>
      </c>
      <c r="T24" s="590">
        <f t="shared" si="9"/>
        <v>1890.0717570000008</v>
      </c>
      <c r="U24" s="590">
        <f t="shared" si="9"/>
        <v>1888.9542463270002</v>
      </c>
      <c r="V24" s="590">
        <f t="shared" si="9"/>
        <v>1896.0542463270003</v>
      </c>
      <c r="W24" s="590">
        <f t="shared" si="9"/>
        <v>1903.1542463270005</v>
      </c>
      <c r="X24" s="590">
        <f t="shared" si="9"/>
        <v>1910.2542463270006</v>
      </c>
      <c r="Y24" s="590">
        <f t="shared" si="9"/>
        <v>1987.266821382331</v>
      </c>
      <c r="Z24" s="590">
        <f t="shared" si="9"/>
        <v>1994.3668213823312</v>
      </c>
      <c r="AA24" s="590">
        <f t="shared" si="9"/>
        <v>2001.4668213823313</v>
      </c>
      <c r="AB24" s="590">
        <f t="shared" si="9"/>
        <v>2008.5668213823315</v>
      </c>
      <c r="AC24" s="590">
        <f t="shared" si="9"/>
        <v>2015.6668213823316</v>
      </c>
    </row>
    <row r="25" spans="2:29" ht="28" x14ac:dyDescent="0.3">
      <c r="B25" s="49" t="s">
        <v>647</v>
      </c>
      <c r="D25" s="41"/>
      <c r="H25" s="156"/>
      <c r="I25" s="156"/>
      <c r="J25" s="156"/>
      <c r="K25" s="156"/>
      <c r="L25" s="156"/>
      <c r="M25" s="156">
        <f t="shared" ref="M25:Y25" si="10">SUM(M26:M27)</f>
        <v>43</v>
      </c>
      <c r="N25" s="156">
        <f t="shared" si="10"/>
        <v>80.048640000000034</v>
      </c>
      <c r="O25" s="938">
        <f>SUM(O26:O27)</f>
        <v>177.9433600000001</v>
      </c>
      <c r="P25" s="158">
        <f t="shared" si="10"/>
        <v>84.676000000000002</v>
      </c>
      <c r="Q25" s="158">
        <f t="shared" si="10"/>
        <v>72.475999999999999</v>
      </c>
      <c r="R25" s="158">
        <f t="shared" si="10"/>
        <v>72.475999999999999</v>
      </c>
      <c r="S25" s="158">
        <f t="shared" si="10"/>
        <v>72.475999999999999</v>
      </c>
      <c r="T25" s="158">
        <f t="shared" si="10"/>
        <v>13.416</v>
      </c>
      <c r="U25" s="158">
        <f t="shared" si="10"/>
        <v>13.416</v>
      </c>
      <c r="V25" s="158">
        <f t="shared" si="10"/>
        <v>13.416</v>
      </c>
      <c r="W25" s="158">
        <f t="shared" si="10"/>
        <v>13.416</v>
      </c>
      <c r="X25" s="158">
        <f t="shared" si="10"/>
        <v>5.7009999999999996</v>
      </c>
      <c r="Y25" s="158">
        <f t="shared" si="10"/>
        <v>5.7009999999999996</v>
      </c>
      <c r="Z25" s="158">
        <f t="shared" ref="Z25:AC25" si="11">SUM(Z26:Z27)</f>
        <v>5.7009999999999996</v>
      </c>
      <c r="AA25" s="158">
        <f t="shared" si="11"/>
        <v>5.7009999999999996</v>
      </c>
      <c r="AB25" s="158">
        <f t="shared" si="11"/>
        <v>4.0019999999999998</v>
      </c>
      <c r="AC25" s="625">
        <f t="shared" si="11"/>
        <v>4.0019999999999998</v>
      </c>
    </row>
    <row r="26" spans="2:29" s="140" customFormat="1" ht="14.5" x14ac:dyDescent="0.35">
      <c r="B26" s="50" t="s">
        <v>648</v>
      </c>
      <c r="D26" s="139"/>
      <c r="H26" s="191"/>
      <c r="I26" s="191"/>
      <c r="J26" s="191"/>
      <c r="K26" s="191"/>
      <c r="L26" s="191"/>
      <c r="M26" s="191">
        <f>'ARP Quarterly'!C5</f>
        <v>0</v>
      </c>
      <c r="N26" s="191">
        <f>'ARP Quarterly'!D5</f>
        <v>53.448640000000026</v>
      </c>
      <c r="O26" s="942">
        <f>'ARP Quarterly'!E5</f>
        <v>137.43936000000005</v>
      </c>
      <c r="P26" s="333">
        <f>'ARP Quarterly'!F5</f>
        <v>52.756999999999998</v>
      </c>
      <c r="Q26" s="333">
        <f>'ARP Quarterly'!G5</f>
        <v>52.756999999999998</v>
      </c>
      <c r="R26" s="333">
        <f>'ARP Quarterly'!H5</f>
        <v>52.756999999999998</v>
      </c>
      <c r="S26" s="333">
        <f>'ARP Quarterly'!I5</f>
        <v>52.756999999999998</v>
      </c>
      <c r="T26" s="333">
        <f>'ARP Quarterly'!J5</f>
        <v>12</v>
      </c>
      <c r="U26" s="333">
        <f>'ARP Quarterly'!K5</f>
        <v>12</v>
      </c>
      <c r="V26" s="333">
        <f>'ARP Quarterly'!L5</f>
        <v>12</v>
      </c>
      <c r="W26" s="333">
        <f>'ARP Quarterly'!M5</f>
        <v>12</v>
      </c>
      <c r="X26" s="333">
        <f>'ARP Quarterly'!N5</f>
        <v>4.2219999999999995</v>
      </c>
      <c r="Y26" s="333">
        <f>'ARP Quarterly'!O5</f>
        <v>4.2219999999999995</v>
      </c>
      <c r="Z26" s="333">
        <f>'ARP Quarterly'!P5</f>
        <v>4.2219999999999995</v>
      </c>
      <c r="AA26" s="333">
        <f>'ARP Quarterly'!Q5</f>
        <v>4.2219999999999995</v>
      </c>
      <c r="AB26" s="333">
        <f>'ARP Quarterly'!R5</f>
        <v>2.3719999999999999</v>
      </c>
      <c r="AC26" s="334">
        <f>'ARP Quarterly'!S5</f>
        <v>2.3719999999999999</v>
      </c>
    </row>
    <row r="27" spans="2:29" ht="14.5" x14ac:dyDescent="0.35">
      <c r="B27" s="50" t="s">
        <v>1252</v>
      </c>
      <c r="C27" s="140"/>
      <c r="D27" s="191">
        <f t="shared" ref="D27:K27" si="12">D18</f>
        <v>0</v>
      </c>
      <c r="E27" s="191">
        <f t="shared" si="12"/>
        <v>0</v>
      </c>
      <c r="F27" s="191">
        <f t="shared" si="12"/>
        <v>0</v>
      </c>
      <c r="G27" s="191">
        <f t="shared" si="12"/>
        <v>0</v>
      </c>
      <c r="H27" s="191">
        <f t="shared" si="12"/>
        <v>0</v>
      </c>
      <c r="I27" s="191">
        <f t="shared" si="12"/>
        <v>0</v>
      </c>
      <c r="J27" s="191">
        <f t="shared" si="12"/>
        <v>160.9</v>
      </c>
      <c r="K27" s="191">
        <f t="shared" si="12"/>
        <v>58.4</v>
      </c>
      <c r="L27" s="191">
        <f>L18</f>
        <v>34.5</v>
      </c>
      <c r="M27" s="191">
        <f>'ARP Quarterly'!C4 +M18</f>
        <v>43</v>
      </c>
      <c r="N27" s="191">
        <f>'ARP Quarterly'!D4 +N18</f>
        <v>26.6</v>
      </c>
      <c r="O27" s="191">
        <f>'ARP Quarterly'!E4 +O18</f>
        <v>40.50400000000004</v>
      </c>
      <c r="P27" s="191">
        <f>'ARP Quarterly'!F4 +P18</f>
        <v>31.919000000000004</v>
      </c>
      <c r="Q27" s="191">
        <f>'ARP Quarterly'!G4 +Q18</f>
        <v>19.719000000000005</v>
      </c>
      <c r="R27" s="191">
        <f>'ARP Quarterly'!H4 +R18</f>
        <v>19.719000000000005</v>
      </c>
      <c r="S27" s="191">
        <f>'ARP Quarterly'!I4 +S18</f>
        <v>19.719000000000005</v>
      </c>
      <c r="T27" s="191">
        <f>'ARP Quarterly'!J4 +T18</f>
        <v>1.4159999999999999</v>
      </c>
      <c r="U27" s="191">
        <f>'ARP Quarterly'!K4 +U18</f>
        <v>1.4159999999999999</v>
      </c>
      <c r="V27" s="191">
        <f>'ARP Quarterly'!L4 +V18</f>
        <v>1.4159999999999999</v>
      </c>
      <c r="W27" s="191">
        <f>'ARP Quarterly'!M4 +W18</f>
        <v>1.4159999999999999</v>
      </c>
      <c r="X27" s="191">
        <f>'ARP Quarterly'!N4 +X18</f>
        <v>1.4790000000000001</v>
      </c>
      <c r="Y27" s="191">
        <f>'ARP Quarterly'!O4 +Y18</f>
        <v>1.4790000000000001</v>
      </c>
      <c r="Z27" s="191">
        <f>'ARP Quarterly'!P4 +Z18</f>
        <v>1.4790000000000001</v>
      </c>
      <c r="AA27" s="191">
        <f>'ARP Quarterly'!Q4 +AA18</f>
        <v>1.4790000000000001</v>
      </c>
      <c r="AB27" s="191">
        <f>'ARP Quarterly'!R4 +AB18</f>
        <v>1.63</v>
      </c>
      <c r="AC27" s="191">
        <f>'ARP Quarterly'!S4 +AC18</f>
        <v>1.63</v>
      </c>
    </row>
    <row r="28" spans="2:29" ht="14.5" x14ac:dyDescent="0.35">
      <c r="B28" s="189"/>
      <c r="C28" s="140"/>
      <c r="D28" s="139"/>
      <c r="E28" s="140"/>
      <c r="F28" s="140"/>
      <c r="G28" s="140"/>
      <c r="H28" s="191"/>
      <c r="I28" s="191"/>
      <c r="J28" s="191"/>
      <c r="K28" s="191"/>
      <c r="L28" s="191"/>
      <c r="M28" s="191"/>
      <c r="N28" s="191"/>
      <c r="O28" s="942"/>
      <c r="P28" s="333"/>
      <c r="Q28" s="333"/>
      <c r="R28" s="333"/>
      <c r="S28" s="333"/>
      <c r="T28" s="333"/>
      <c r="U28" s="333"/>
      <c r="V28" s="333"/>
      <c r="W28" s="333"/>
      <c r="X28" s="333"/>
      <c r="Y28" s="333"/>
      <c r="Z28" s="333"/>
      <c r="AA28" s="333"/>
      <c r="AB28" s="333"/>
      <c r="AC28" s="334"/>
    </row>
    <row r="29" spans="2:29" x14ac:dyDescent="0.3">
      <c r="B29" s="1238" t="s">
        <v>649</v>
      </c>
      <c r="C29" s="1235"/>
      <c r="D29" s="894"/>
      <c r="E29" s="180"/>
      <c r="F29" s="180"/>
      <c r="G29" s="180"/>
      <c r="H29" s="156"/>
      <c r="I29" s="156"/>
      <c r="J29" s="156"/>
      <c r="K29" s="156"/>
      <c r="L29" s="156"/>
      <c r="M29" s="156"/>
      <c r="N29" s="156"/>
      <c r="O29" s="938"/>
      <c r="P29" s="937"/>
      <c r="Q29" s="937"/>
      <c r="R29" s="937"/>
      <c r="S29" s="937"/>
      <c r="T29" s="937"/>
      <c r="U29" s="937"/>
      <c r="V29" s="937"/>
      <c r="W29" s="937"/>
      <c r="X29" s="937"/>
      <c r="Y29" s="937"/>
      <c r="Z29" s="937"/>
      <c r="AA29" s="937"/>
      <c r="AB29" s="937"/>
      <c r="AC29" s="624"/>
    </row>
    <row r="30" spans="2:29" x14ac:dyDescent="0.3">
      <c r="B30" s="157" t="s">
        <v>172</v>
      </c>
      <c r="C30" s="34" t="s">
        <v>650</v>
      </c>
      <c r="D30" s="155">
        <f>'Haver Pivoted'!GO37</f>
        <v>731.6</v>
      </c>
      <c r="E30" s="156">
        <f>'Haver Pivoted'!GP37</f>
        <v>741.5</v>
      </c>
      <c r="F30" s="156">
        <f>'Haver Pivoted'!GQ37</f>
        <v>758.6</v>
      </c>
      <c r="G30" s="156">
        <f>'Haver Pivoted'!GR37</f>
        <v>767.8</v>
      </c>
      <c r="H30" s="156">
        <f>'Haver Pivoted'!GS37</f>
        <v>767.1</v>
      </c>
      <c r="I30" s="156">
        <f>'Haver Pivoted'!GT37</f>
        <v>755.9</v>
      </c>
      <c r="J30" s="156">
        <f>'Haver Pivoted'!GU37</f>
        <v>803.8</v>
      </c>
      <c r="K30" s="156">
        <f>'Haver Pivoted'!GV37</f>
        <v>842.2</v>
      </c>
      <c r="L30" s="156">
        <f>'Haver Pivoted'!GW37</f>
        <v>831.1</v>
      </c>
      <c r="M30" s="156">
        <f>'Haver Pivoted'!GX37</f>
        <v>850</v>
      </c>
      <c r="N30" s="156">
        <f>'Haver Pivoted'!GY37</f>
        <v>885.5</v>
      </c>
      <c r="O30" s="938">
        <f>'Haver Pivoted'!GZ37</f>
        <v>897.4</v>
      </c>
      <c r="P30" s="665">
        <f t="shared" ref="P30:Y30" si="13">P31+P32</f>
        <v>909.56604023327361</v>
      </c>
      <c r="Q30" s="665">
        <f t="shared" si="13"/>
        <v>921.89746267280611</v>
      </c>
      <c r="R30" s="665">
        <f t="shared" si="13"/>
        <v>934.39652099343903</v>
      </c>
      <c r="S30" s="665">
        <f t="shared" si="13"/>
        <v>947.0654996486594</v>
      </c>
      <c r="T30" s="665">
        <f t="shared" si="13"/>
        <v>938.70471427917096</v>
      </c>
      <c r="U30" s="665">
        <f t="shared" si="13"/>
        <v>930.50470593239356</v>
      </c>
      <c r="V30" s="665">
        <f t="shared" si="13"/>
        <v>922.46395042734275</v>
      </c>
      <c r="W30" s="665">
        <f t="shared" si="13"/>
        <v>914.58095100343405</v>
      </c>
      <c r="X30" s="665">
        <f t="shared" si="13"/>
        <v>926.86907315530857</v>
      </c>
      <c r="Y30" s="665">
        <f t="shared" si="13"/>
        <v>939.32272059258514</v>
      </c>
      <c r="Z30" s="665">
        <f t="shared" ref="Z30:AC30" si="14">Z31+Z32</f>
        <v>951.94412822989182</v>
      </c>
      <c r="AA30" s="665">
        <f t="shared" si="14"/>
        <v>964.73556122185835</v>
      </c>
      <c r="AB30" s="665">
        <f t="shared" si="14"/>
        <v>977.69931537307434</v>
      </c>
      <c r="AC30" s="946">
        <f t="shared" si="14"/>
        <v>990.83771755361295</v>
      </c>
    </row>
    <row r="31" spans="2:29" x14ac:dyDescent="0.3">
      <c r="B31" s="162" t="s">
        <v>651</v>
      </c>
      <c r="D31" s="155">
        <v>589.54899999999998</v>
      </c>
      <c r="E31" s="156">
        <v>598.78200000000004</v>
      </c>
      <c r="F31" s="156">
        <v>614.49400000000003</v>
      </c>
      <c r="G31" s="156">
        <v>622.35699999999997</v>
      </c>
      <c r="H31" s="156">
        <f>Medicaid!D25</f>
        <v>620.5</v>
      </c>
      <c r="I31" s="156">
        <f>Medicaid!E25</f>
        <v>606.20000000000005</v>
      </c>
      <c r="J31" s="156">
        <f>Medicaid!F25</f>
        <v>654.20000000000005</v>
      </c>
      <c r="K31" s="156">
        <f>Medicaid!G25</f>
        <v>690.4</v>
      </c>
      <c r="L31" s="156">
        <f>Medicaid!H25</f>
        <v>678.3</v>
      </c>
      <c r="M31" s="156">
        <f>Medicaid!I25</f>
        <v>695.9</v>
      </c>
      <c r="N31" s="156">
        <f>Medicaid!J25</f>
        <v>730.5</v>
      </c>
      <c r="O31" s="938">
        <f>Medicaid!K25</f>
        <v>740</v>
      </c>
      <c r="P31" s="665">
        <f>Medicaid!L25</f>
        <v>750.27313417313019</v>
      </c>
      <c r="Q31" s="665">
        <f>Medicaid!M25</f>
        <v>760.68888629996195</v>
      </c>
      <c r="R31" s="665">
        <f>Medicaid!N25</f>
        <v>771.24923629045986</v>
      </c>
      <c r="S31" s="665">
        <f>Medicaid!O25</f>
        <v>781.95619154091401</v>
      </c>
      <c r="T31" s="665">
        <f>Medicaid!P25</f>
        <v>771.60978730291697</v>
      </c>
      <c r="U31" s="665">
        <f>Medicaid!Q25</f>
        <v>761.40028086279415</v>
      </c>
      <c r="V31" s="665">
        <f>Medicaid!R25</f>
        <v>751.32586086593074</v>
      </c>
      <c r="W31" s="665">
        <f>Medicaid!S25</f>
        <v>741.3847399245368</v>
      </c>
      <c r="X31" s="665">
        <f>Medicaid!T25</f>
        <v>751.58998941094046</v>
      </c>
      <c r="Y31" s="665">
        <f>Medicaid!U25</f>
        <v>761.93571537530659</v>
      </c>
      <c r="Z31" s="665">
        <f>Medicaid!V25</f>
        <v>772.42385149313111</v>
      </c>
      <c r="AA31" s="665">
        <f>Medicaid!W25</f>
        <v>783.05635805718384</v>
      </c>
      <c r="AB31" s="665">
        <f>Medicaid!X25</f>
        <v>793.83522234389898</v>
      </c>
      <c r="AC31" s="665">
        <f>Medicaid!Y25</f>
        <v>804.76245898480795</v>
      </c>
    </row>
    <row r="32" spans="2:29" ht="28" customHeight="1" x14ac:dyDescent="0.35">
      <c r="B32" s="186" t="s">
        <v>652</v>
      </c>
      <c r="C32" s="140"/>
      <c r="D32" s="590">
        <f t="shared" ref="D32:O32" si="15">D30-D31</f>
        <v>142.05100000000004</v>
      </c>
      <c r="E32" s="191">
        <f t="shared" si="15"/>
        <v>142.71799999999996</v>
      </c>
      <c r="F32" s="191">
        <f t="shared" si="15"/>
        <v>144.10599999999999</v>
      </c>
      <c r="G32" s="191">
        <f t="shared" si="15"/>
        <v>145.44299999999998</v>
      </c>
      <c r="H32" s="191">
        <f t="shared" si="15"/>
        <v>146.60000000000002</v>
      </c>
      <c r="I32" s="191">
        <f t="shared" si="15"/>
        <v>149.69999999999993</v>
      </c>
      <c r="J32" s="191">
        <f t="shared" si="15"/>
        <v>149.59999999999991</v>
      </c>
      <c r="K32" s="191">
        <f t="shared" si="15"/>
        <v>151.80000000000007</v>
      </c>
      <c r="L32" s="191">
        <f t="shared" si="15"/>
        <v>152.80000000000007</v>
      </c>
      <c r="M32" s="191">
        <f t="shared" si="15"/>
        <v>154.10000000000002</v>
      </c>
      <c r="N32" s="191">
        <f t="shared" si="15"/>
        <v>155</v>
      </c>
      <c r="O32" s="942">
        <f t="shared" si="15"/>
        <v>157.39999999999998</v>
      </c>
      <c r="P32" s="333">
        <f t="shared" ref="P32:Y32" si="16">O32*(1+AVERAGE($F$33:$I$33))</f>
        <v>159.29290606014339</v>
      </c>
      <c r="Q32" s="333">
        <f t="shared" si="16"/>
        <v>161.20857637284416</v>
      </c>
      <c r="R32" s="333">
        <f t="shared" si="16"/>
        <v>163.14728470297916</v>
      </c>
      <c r="S32" s="333">
        <f t="shared" si="16"/>
        <v>165.10930810774545</v>
      </c>
      <c r="T32" s="333">
        <f t="shared" si="16"/>
        <v>167.09492697625396</v>
      </c>
      <c r="U32" s="333">
        <f t="shared" si="16"/>
        <v>169.10442506959942</v>
      </c>
      <c r="V32" s="333">
        <f t="shared" si="16"/>
        <v>171.13808956141207</v>
      </c>
      <c r="W32" s="333">
        <f t="shared" si="16"/>
        <v>173.19621107889725</v>
      </c>
      <c r="X32" s="333">
        <f t="shared" si="16"/>
        <v>175.27908374436817</v>
      </c>
      <c r="Y32" s="333">
        <f t="shared" si="16"/>
        <v>177.38700521727858</v>
      </c>
      <c r="Z32" s="333">
        <f t="shared" ref="Z32" si="17">Y32*(1+AVERAGE($F$33:$I$33))</f>
        <v>179.52027673676068</v>
      </c>
      <c r="AA32" s="333">
        <f t="shared" ref="AA32" si="18">Z32*(1+AVERAGE($F$33:$I$33))</f>
        <v>181.6792031646745</v>
      </c>
      <c r="AB32" s="333">
        <f t="shared" ref="AB32" si="19">AA32*(1+AVERAGE($F$33:$I$33))</f>
        <v>183.86409302917539</v>
      </c>
      <c r="AC32" s="334">
        <f t="shared" ref="AC32" si="20">AB32*(1+AVERAGE($F$33:$I$33))</f>
        <v>186.075258568805</v>
      </c>
    </row>
    <row r="33" spans="2:29" ht="19" customHeight="1" x14ac:dyDescent="0.3">
      <c r="B33" s="188" t="s">
        <v>629</v>
      </c>
      <c r="D33" s="137"/>
      <c r="E33" s="185">
        <f t="shared" ref="E33:M33" si="21">E32/D32-1</f>
        <v>4.6954966878087756E-3</v>
      </c>
      <c r="F33" s="185">
        <f t="shared" si="21"/>
        <v>9.7254726103226385E-3</v>
      </c>
      <c r="G33" s="185">
        <f t="shared" si="21"/>
        <v>9.2778926623457991E-3</v>
      </c>
      <c r="H33" s="185">
        <f t="shared" si="21"/>
        <v>7.9550064286355582E-3</v>
      </c>
      <c r="I33" s="185">
        <f t="shared" si="21"/>
        <v>2.1145975443382703E-2</v>
      </c>
      <c r="J33" s="185">
        <f t="shared" si="21"/>
        <v>-6.6800267201083674E-4</v>
      </c>
      <c r="K33" s="185">
        <f t="shared" si="21"/>
        <v>1.4705882352942234E-2</v>
      </c>
      <c r="L33" s="185">
        <f t="shared" si="21"/>
        <v>6.5876152832673451E-3</v>
      </c>
      <c r="M33" s="185">
        <f t="shared" si="21"/>
        <v>8.5078534031410857E-3</v>
      </c>
      <c r="N33" s="185">
        <f t="shared" ref="N33" si="22">N32/M32-1</f>
        <v>5.8403634003891813E-3</v>
      </c>
      <c r="O33" s="168">
        <f t="shared" ref="O33" si="23">O32/N32-1</f>
        <v>1.5483870967741842E-2</v>
      </c>
      <c r="P33" s="335">
        <f t="shared" ref="P33" si="24">P32/O32-1</f>
        <v>1.2026086786171675E-2</v>
      </c>
      <c r="Q33" s="335">
        <f t="shared" ref="Q33" si="25">Q32/P32-1</f>
        <v>1.2026086786171675E-2</v>
      </c>
      <c r="R33" s="335">
        <f t="shared" ref="R33" si="26">R32/Q32-1</f>
        <v>1.2026086786171675E-2</v>
      </c>
      <c r="S33" s="335">
        <f t="shared" ref="S33" si="27">S32/R32-1</f>
        <v>1.2026086786171675E-2</v>
      </c>
      <c r="T33" s="335">
        <f t="shared" ref="T33" si="28">T32/S32-1</f>
        <v>1.2026086786171675E-2</v>
      </c>
      <c r="U33" s="335">
        <f t="shared" ref="U33" si="29">U32/T32-1</f>
        <v>1.2026086786171675E-2</v>
      </c>
      <c r="V33" s="335">
        <f t="shared" ref="V33" si="30">V32/U32-1</f>
        <v>1.2026086786171675E-2</v>
      </c>
      <c r="W33" s="335">
        <f t="shared" ref="W33" si="31">W32/V32-1</f>
        <v>1.2026086786171675E-2</v>
      </c>
      <c r="X33" s="335">
        <f t="shared" ref="X33" si="32">X32/W32-1</f>
        <v>1.2026086786171675E-2</v>
      </c>
      <c r="Y33" s="335">
        <f t="shared" ref="Y33" si="33">Y32/X32-1</f>
        <v>1.2026086786171675E-2</v>
      </c>
      <c r="Z33" s="335">
        <f t="shared" ref="Z33" si="34">Z32/Y32-1</f>
        <v>1.2026086786171675E-2</v>
      </c>
      <c r="AA33" s="335">
        <f t="shared" ref="AA33" si="35">AA32/Z32-1</f>
        <v>1.2026086786171675E-2</v>
      </c>
      <c r="AB33" s="335">
        <f t="shared" ref="AB33" si="36">AB32/AA32-1</f>
        <v>1.2026086786171675E-2</v>
      </c>
      <c r="AC33" s="623">
        <f t="shared" ref="AC33" si="37">AC32/AB32-1</f>
        <v>1.2026086786171675E-2</v>
      </c>
    </row>
    <row r="34" spans="2:29" x14ac:dyDescent="0.3">
      <c r="B34" s="1235"/>
      <c r="C34" s="1235"/>
      <c r="D34" s="180"/>
      <c r="E34" s="180"/>
      <c r="F34" s="180"/>
      <c r="G34" s="180"/>
      <c r="H34" s="43"/>
      <c r="I34" s="43"/>
      <c r="J34" s="43"/>
      <c r="K34" s="43"/>
      <c r="L34" s="43"/>
      <c r="M34" s="43"/>
      <c r="N34" s="43"/>
      <c r="O34" s="43"/>
      <c r="P34" s="43"/>
      <c r="Q34" s="43"/>
      <c r="R34" s="43"/>
      <c r="S34" s="43"/>
      <c r="T34" s="43"/>
      <c r="U34" s="43"/>
      <c r="V34" s="43"/>
      <c r="W34" s="43"/>
      <c r="X34" s="43"/>
      <c r="Y34" s="43"/>
    </row>
    <row r="35" spans="2:29" x14ac:dyDescent="0.3">
      <c r="B35" s="52" t="s">
        <v>484</v>
      </c>
    </row>
    <row r="36" spans="2:29" ht="23.15" customHeight="1" x14ac:dyDescent="0.35">
      <c r="B36" s="1055" t="s">
        <v>653</v>
      </c>
      <c r="C36" s="1056">
        <v>2020</v>
      </c>
      <c r="D36" s="1057">
        <v>2021</v>
      </c>
      <c r="E36" s="1057">
        <v>2022</v>
      </c>
      <c r="F36" s="1057">
        <v>2023</v>
      </c>
      <c r="G36" s="1058">
        <v>2024</v>
      </c>
      <c r="H36" s="34" t="s">
        <v>1297</v>
      </c>
      <c r="L36" s="217"/>
      <c r="M36" s="217"/>
      <c r="N36" s="217"/>
      <c r="O36" s="90"/>
    </row>
    <row r="37" spans="2:29" ht="23.15" customHeight="1" x14ac:dyDescent="0.3">
      <c r="B37" s="1059" t="s">
        <v>654</v>
      </c>
      <c r="C37" s="1060">
        <v>1090</v>
      </c>
      <c r="D37" s="1061">
        <v>1129</v>
      </c>
      <c r="E37" s="1061">
        <v>1203</v>
      </c>
      <c r="F37" s="1061">
        <v>1281</v>
      </c>
      <c r="G37" s="1062">
        <v>1358</v>
      </c>
    </row>
    <row r="38" spans="2:29" x14ac:dyDescent="0.3">
      <c r="B38" s="1059" t="s">
        <v>655</v>
      </c>
      <c r="C38" s="1060">
        <v>300.51900000000001</v>
      </c>
      <c r="D38" s="1061">
        <v>300.82</v>
      </c>
      <c r="E38" s="1061">
        <v>307.28300000000002</v>
      </c>
      <c r="F38" s="1061">
        <v>320.10899999999998</v>
      </c>
      <c r="G38" s="1062">
        <v>329.596</v>
      </c>
      <c r="L38" s="172"/>
      <c r="M38" s="172"/>
      <c r="N38" s="172"/>
      <c r="O38" s="172"/>
    </row>
    <row r="39" spans="2:29" x14ac:dyDescent="0.3">
      <c r="B39" s="1059" t="s">
        <v>656</v>
      </c>
      <c r="C39" s="1060">
        <v>124.39699999999999</v>
      </c>
      <c r="D39" s="1061">
        <v>129.75700000000001</v>
      </c>
      <c r="E39" s="1061">
        <v>133.31899999999999</v>
      </c>
      <c r="F39" s="1061">
        <v>138.328</v>
      </c>
      <c r="G39" s="1062">
        <v>144.351</v>
      </c>
    </row>
    <row r="40" spans="2:29" x14ac:dyDescent="0.3">
      <c r="B40" s="1059" t="s">
        <v>657</v>
      </c>
      <c r="C40" s="1060">
        <v>1.976</v>
      </c>
      <c r="D40" s="1061">
        <v>3.512</v>
      </c>
      <c r="E40" s="1061">
        <v>4.5960000000000001</v>
      </c>
      <c r="F40" s="1061">
        <v>5.24</v>
      </c>
      <c r="G40" s="1062">
        <v>5.3659999999999997</v>
      </c>
    </row>
    <row r="41" spans="2:29" x14ac:dyDescent="0.3">
      <c r="B41" s="1063"/>
      <c r="C41" s="1064"/>
      <c r="D41" s="1065"/>
      <c r="E41" s="1065"/>
      <c r="F41" s="1065"/>
      <c r="G41" s="1066"/>
    </row>
    <row r="42" spans="2:29" x14ac:dyDescent="0.3">
      <c r="B42" s="1063" t="s">
        <v>658</v>
      </c>
      <c r="C42" s="1067">
        <f>SUM(C37:C40)</f>
        <v>1516.8920000000001</v>
      </c>
      <c r="D42" s="1068">
        <f t="shared" ref="D42:G42" si="38">SUM(D37:D40)</f>
        <v>1563.0889999999999</v>
      </c>
      <c r="E42" s="1068">
        <f>SUM(E37:E40)</f>
        <v>1648.1979999999999</v>
      </c>
      <c r="F42" s="1068">
        <f t="shared" si="38"/>
        <v>1744.6769999999999</v>
      </c>
      <c r="G42" s="1069">
        <f t="shared" si="38"/>
        <v>1837.3130000000001</v>
      </c>
    </row>
    <row r="43" spans="2:29" x14ac:dyDescent="0.3">
      <c r="B43" s="44" t="s">
        <v>1255</v>
      </c>
      <c r="C43" s="1049"/>
      <c r="D43" s="1050">
        <v>3605.8330000000001</v>
      </c>
      <c r="E43" s="1050">
        <v>2832.5949999999998</v>
      </c>
      <c r="F43" s="1050">
        <v>2833.72</v>
      </c>
      <c r="G43" s="1051">
        <v>2976.7339999999999</v>
      </c>
    </row>
    <row r="44" spans="2:29" x14ac:dyDescent="0.3">
      <c r="B44" s="44" t="s">
        <v>1298</v>
      </c>
      <c r="C44" s="1049"/>
      <c r="D44" s="1050">
        <f>D43-D46</f>
        <v>2786.6080000000002</v>
      </c>
      <c r="E44" s="1050">
        <f t="shared" ref="E44:G44" si="39">E43-E46</f>
        <v>1983.7093799779745</v>
      </c>
      <c r="F44" s="1050">
        <f t="shared" si="39"/>
        <v>1933.9655634029502</v>
      </c>
      <c r="G44" s="1051">
        <f t="shared" si="39"/>
        <v>2007.047540869675</v>
      </c>
    </row>
    <row r="45" spans="2:29" x14ac:dyDescent="0.3">
      <c r="B45" s="44" t="s">
        <v>1299</v>
      </c>
      <c r="C45" s="1049"/>
      <c r="D45" s="1050">
        <f>AVERAGE(L12:O12)-AVERAGE(L14:O14)</f>
        <v>2786.625</v>
      </c>
      <c r="E45" s="1050">
        <f>AVERAGE(P12:S12)-AVERAGE(P14:S14)</f>
        <v>1983.6649282206768</v>
      </c>
      <c r="F45" s="1050">
        <f>AVERAGE(T12:W12)-AVERAGE(T14:W14)</f>
        <v>1933.9806889303156</v>
      </c>
      <c r="G45" s="1051">
        <f>AVERAGE(X12:AA12)-AVERAGE(X14:AA14)</f>
        <v>2006.708921124992</v>
      </c>
    </row>
    <row r="46" spans="2:29" x14ac:dyDescent="0.3">
      <c r="B46" s="44" t="s">
        <v>76</v>
      </c>
      <c r="C46" s="1049"/>
      <c r="D46" s="1050">
        <f>AVERAGE(Medicare!L10:O10)</f>
        <v>819.22499999999991</v>
      </c>
      <c r="E46" s="1050">
        <f>AVERAGE(Medicare!P10:S10)</f>
        <v>848.88562002202514</v>
      </c>
      <c r="F46" s="1050">
        <f>AVERAGE(Medicare!T10:W10)</f>
        <v>899.75443659704956</v>
      </c>
      <c r="G46" s="1051">
        <f>AVERAGE(Medicare!X10:AA10)</f>
        <v>969.68645913032492</v>
      </c>
    </row>
    <row r="47" spans="2:29" x14ac:dyDescent="0.3">
      <c r="B47" s="44" t="s">
        <v>639</v>
      </c>
      <c r="C47" s="1049"/>
      <c r="D47" s="1050">
        <f>AVERAGE(L12:O12)</f>
        <v>3605.85</v>
      </c>
      <c r="E47" s="1050">
        <f t="shared" ref="E47:G47" si="40">AVERAGE(M12:P12)</f>
        <v>3572.3369706767212</v>
      </c>
      <c r="F47" s="1050">
        <f>AVERAGE(N12:Q12)</f>
        <v>3025.2878531352626</v>
      </c>
      <c r="G47" s="1051">
        <f t="shared" si="40"/>
        <v>2906.775270372098</v>
      </c>
    </row>
    <row r="48" spans="2:29" ht="42" x14ac:dyDescent="0.3">
      <c r="B48" s="1047" t="s">
        <v>1300</v>
      </c>
      <c r="C48" s="1052"/>
      <c r="D48" s="1053"/>
      <c r="E48" s="1053">
        <v>1.157</v>
      </c>
      <c r="F48" s="1053">
        <v>1.0109999999999999</v>
      </c>
      <c r="G48" s="1054">
        <v>1.0529999999999999</v>
      </c>
    </row>
    <row r="52" spans="2:29" x14ac:dyDescent="0.3">
      <c r="B52" s="52" t="s">
        <v>497</v>
      </c>
    </row>
    <row r="53" spans="2:29" x14ac:dyDescent="0.3">
      <c r="B53" s="1138" t="s">
        <v>659</v>
      </c>
      <c r="C53" s="1139"/>
      <c r="D53" s="1145" t="s">
        <v>401</v>
      </c>
      <c r="E53" s="1146"/>
      <c r="F53" s="1146"/>
      <c r="G53" s="1146"/>
      <c r="H53" s="1146"/>
      <c r="I53" s="1146"/>
      <c r="J53" s="1146"/>
      <c r="K53" s="1146"/>
      <c r="L53" s="1146"/>
      <c r="M53" s="1146"/>
      <c r="N53" s="1146"/>
      <c r="O53" s="1147"/>
      <c r="P53" s="1174" t="s">
        <v>402</v>
      </c>
      <c r="Q53" s="1175"/>
      <c r="R53" s="1175"/>
      <c r="S53" s="1175"/>
      <c r="T53" s="1175"/>
      <c r="U53" s="1175"/>
      <c r="V53" s="1175"/>
      <c r="W53" s="1175"/>
      <c r="X53" s="1175"/>
      <c r="Y53" s="1175"/>
      <c r="Z53" s="1175"/>
      <c r="AA53" s="1175"/>
      <c r="AB53" s="1175"/>
      <c r="AC53" s="1176"/>
    </row>
    <row r="54" spans="2:29" x14ac:dyDescent="0.3">
      <c r="B54" s="1140"/>
      <c r="C54" s="1199"/>
      <c r="D54" s="524">
        <v>2018</v>
      </c>
      <c r="E54" s="1135">
        <v>2019</v>
      </c>
      <c r="F54" s="1136"/>
      <c r="G54" s="1136"/>
      <c r="H54" s="1137"/>
      <c r="I54" s="1135">
        <v>2020</v>
      </c>
      <c r="J54" s="1136"/>
      <c r="K54" s="1136"/>
      <c r="L54" s="1137"/>
      <c r="M54" s="1135">
        <v>2021</v>
      </c>
      <c r="N54" s="1136"/>
      <c r="O54" s="1137"/>
      <c r="P54" s="557">
        <v>2021</v>
      </c>
      <c r="Q54" s="1142">
        <v>2022</v>
      </c>
      <c r="R54" s="1143"/>
      <c r="S54" s="1143"/>
      <c r="T54" s="1144"/>
      <c r="U54" s="1142">
        <v>2023</v>
      </c>
      <c r="V54" s="1143"/>
      <c r="W54" s="1143"/>
      <c r="X54" s="1143"/>
      <c r="Y54" s="1142">
        <v>2024</v>
      </c>
      <c r="Z54" s="1143"/>
      <c r="AA54" s="1143"/>
      <c r="AB54" s="1144"/>
      <c r="AC54" s="329">
        <v>2025</v>
      </c>
    </row>
    <row r="55" spans="2:29" x14ac:dyDescent="0.3">
      <c r="B55" s="1140"/>
      <c r="C55" s="1199"/>
      <c r="D55" s="166" t="s">
        <v>403</v>
      </c>
      <c r="E55" s="166" t="s">
        <v>404</v>
      </c>
      <c r="F55" s="147" t="s">
        <v>405</v>
      </c>
      <c r="G55" s="147" t="s">
        <v>290</v>
      </c>
      <c r="H55" s="154" t="s">
        <v>403</v>
      </c>
      <c r="I55" s="148" t="s">
        <v>404</v>
      </c>
      <c r="J55" s="148" t="s">
        <v>405</v>
      </c>
      <c r="K55" s="148" t="s">
        <v>290</v>
      </c>
      <c r="L55" s="148" t="s">
        <v>403</v>
      </c>
      <c r="M55" s="161" t="s">
        <v>404</v>
      </c>
      <c r="N55" s="148" t="s">
        <v>405</v>
      </c>
      <c r="O55" s="154" t="s">
        <v>290</v>
      </c>
      <c r="P55" s="420" t="s">
        <v>403</v>
      </c>
      <c r="Q55" s="418" t="s">
        <v>404</v>
      </c>
      <c r="R55" s="419" t="s">
        <v>405</v>
      </c>
      <c r="S55" s="419" t="s">
        <v>290</v>
      </c>
      <c r="T55" s="419" t="s">
        <v>403</v>
      </c>
      <c r="U55" s="418" t="s">
        <v>404</v>
      </c>
      <c r="V55" s="419" t="s">
        <v>405</v>
      </c>
      <c r="W55" s="419" t="s">
        <v>290</v>
      </c>
      <c r="X55" s="419" t="s">
        <v>403</v>
      </c>
      <c r="Y55" s="418" t="s">
        <v>404</v>
      </c>
      <c r="Z55" s="384" t="s">
        <v>405</v>
      </c>
      <c r="AA55" s="419" t="s">
        <v>290</v>
      </c>
      <c r="AB55" s="420" t="s">
        <v>403</v>
      </c>
      <c r="AC55" s="71" t="s">
        <v>404</v>
      </c>
    </row>
    <row r="56" spans="2:29" x14ac:dyDescent="0.3">
      <c r="B56" s="41" t="s">
        <v>660</v>
      </c>
      <c r="D56" s="449">
        <f>SUM(D13:D19)</f>
        <v>811.30000000000007</v>
      </c>
      <c r="E56" s="449">
        <f t="shared" ref="E56:AC56" si="41">SUM(E13:E19)</f>
        <v>826.69999999999993</v>
      </c>
      <c r="F56" s="449">
        <f t="shared" si="41"/>
        <v>838.9</v>
      </c>
      <c r="G56" s="449">
        <f>SUM(G13:G19)</f>
        <v>849.5</v>
      </c>
      <c r="H56" s="449">
        <f t="shared" si="41"/>
        <v>858.09999999999991</v>
      </c>
      <c r="I56" s="449">
        <f t="shared" si="41"/>
        <v>880.58175000000006</v>
      </c>
      <c r="J56" s="449">
        <f t="shared" si="41"/>
        <v>3186.4587499999998</v>
      </c>
      <c r="K56" s="449">
        <f t="shared" si="41"/>
        <v>1762.8267499999999</v>
      </c>
      <c r="L56" s="449">
        <f t="shared" si="41"/>
        <v>1239.7507500000002</v>
      </c>
      <c r="M56" s="449">
        <f>SUM(M13:M19)</f>
        <v>3456.7667500000002</v>
      </c>
      <c r="N56" s="449">
        <f t="shared" si="41"/>
        <v>1745.7527499999999</v>
      </c>
      <c r="O56" s="449">
        <f t="shared" si="41"/>
        <v>1493.7077500000003</v>
      </c>
      <c r="P56" s="449">
        <f t="shared" si="41"/>
        <v>1191.2142427068827</v>
      </c>
      <c r="Q56" s="449">
        <f t="shared" si="41"/>
        <v>975.15577283416451</v>
      </c>
      <c r="R56" s="449">
        <f t="shared" si="41"/>
        <v>983.90191194734359</v>
      </c>
      <c r="S56" s="449">
        <f t="shared" si="41"/>
        <v>923.05335448241499</v>
      </c>
      <c r="T56" s="449">
        <f t="shared" si="41"/>
        <v>934.08178873662291</v>
      </c>
      <c r="U56" s="449">
        <f t="shared" si="41"/>
        <v>950.88286603830056</v>
      </c>
      <c r="V56" s="449">
        <f t="shared" si="41"/>
        <v>968.21233500649248</v>
      </c>
      <c r="W56" s="449">
        <f t="shared" si="41"/>
        <v>985.86501634704211</v>
      </c>
      <c r="X56" s="449">
        <f t="shared" si="41"/>
        <v>1003.8608779114996</v>
      </c>
      <c r="Y56" s="449">
        <f t="shared" si="41"/>
        <v>1022.0342282020255</v>
      </c>
      <c r="Z56" s="449">
        <f t="shared" si="41"/>
        <v>1040.4408838400068</v>
      </c>
      <c r="AA56" s="449">
        <f t="shared" si="41"/>
        <v>1059.0868205937415</v>
      </c>
      <c r="AB56" s="449">
        <f t="shared" si="41"/>
        <v>1078.1539358883974</v>
      </c>
      <c r="AC56" s="449">
        <f t="shared" si="41"/>
        <v>1097.5499729076209</v>
      </c>
    </row>
    <row r="57" spans="2:29" x14ac:dyDescent="0.3">
      <c r="B57" s="41" t="s">
        <v>661</v>
      </c>
      <c r="D57" s="155">
        <f t="shared" ref="D57:Y57" si="42">D12</f>
        <v>2222.3000000000002</v>
      </c>
      <c r="E57" s="156">
        <f t="shared" si="42"/>
        <v>2298.1</v>
      </c>
      <c r="F57" s="156">
        <f t="shared" si="42"/>
        <v>2315.5</v>
      </c>
      <c r="G57" s="156">
        <f t="shared" si="42"/>
        <v>2333.1999999999998</v>
      </c>
      <c r="H57" s="156">
        <f t="shared" si="42"/>
        <v>2350.8000000000002</v>
      </c>
      <c r="I57" s="156">
        <f t="shared" si="42"/>
        <v>2417.9</v>
      </c>
      <c r="J57" s="156">
        <f t="shared" si="42"/>
        <v>4766.7</v>
      </c>
      <c r="K57" s="156">
        <f t="shared" si="42"/>
        <v>3468.3</v>
      </c>
      <c r="L57" s="156">
        <f t="shared" si="42"/>
        <v>2839.1</v>
      </c>
      <c r="M57" s="156">
        <f t="shared" si="42"/>
        <v>5070.6000000000004</v>
      </c>
      <c r="N57" s="156">
        <f t="shared" si="42"/>
        <v>3372.3</v>
      </c>
      <c r="O57" s="947">
        <f t="shared" si="42"/>
        <v>3141.4</v>
      </c>
      <c r="P57" s="158">
        <f t="shared" si="42"/>
        <v>2705.0478827068837</v>
      </c>
      <c r="Q57" s="158">
        <f t="shared" si="42"/>
        <v>2882.4035298341651</v>
      </c>
      <c r="R57" s="158">
        <f t="shared" si="42"/>
        <v>2898.2496689473442</v>
      </c>
      <c r="S57" s="158">
        <f t="shared" si="42"/>
        <v>2844.5011114824156</v>
      </c>
      <c r="T57" s="158">
        <f t="shared" si="42"/>
        <v>2803.5695457366237</v>
      </c>
      <c r="U57" s="158">
        <f t="shared" si="42"/>
        <v>2819.2531123653007</v>
      </c>
      <c r="V57" s="158">
        <f t="shared" si="42"/>
        <v>2843.6825813334926</v>
      </c>
      <c r="W57" s="158">
        <f t="shared" si="42"/>
        <v>2868.4352626740429</v>
      </c>
      <c r="X57" s="158">
        <f t="shared" si="42"/>
        <v>2885.8161242385004</v>
      </c>
      <c r="Y57" s="158">
        <f t="shared" si="42"/>
        <v>2981.0020495843564</v>
      </c>
      <c r="Z57" s="158">
        <f t="shared" ref="Z57:AC57" si="43">Z12</f>
        <v>3006.508705222338</v>
      </c>
      <c r="AA57" s="158">
        <f t="shared" si="43"/>
        <v>3032.2546419760729</v>
      </c>
      <c r="AB57" s="158">
        <f t="shared" si="43"/>
        <v>3056.7227572707288</v>
      </c>
      <c r="AC57" s="625">
        <f t="shared" si="43"/>
        <v>3083.2187942899527</v>
      </c>
    </row>
    <row r="58" spans="2:29" x14ac:dyDescent="0.3">
      <c r="B58" s="41" t="s">
        <v>662</v>
      </c>
      <c r="D58" s="155">
        <f>D57-D56</f>
        <v>1411</v>
      </c>
      <c r="E58" s="156">
        <f t="shared" ref="E58:N58" si="44">E57-E56</f>
        <v>1471.4</v>
      </c>
      <c r="F58" s="156">
        <f t="shared" si="44"/>
        <v>1476.6</v>
      </c>
      <c r="G58" s="156">
        <f t="shared" si="44"/>
        <v>1483.6999999999998</v>
      </c>
      <c r="H58" s="156">
        <f t="shared" si="44"/>
        <v>1492.7000000000003</v>
      </c>
      <c r="I58" s="156">
        <f t="shared" si="44"/>
        <v>1537.31825</v>
      </c>
      <c r="J58" s="156">
        <f t="shared" si="44"/>
        <v>1580.24125</v>
      </c>
      <c r="K58" s="156">
        <f t="shared" si="44"/>
        <v>1705.4732500000002</v>
      </c>
      <c r="L58" s="156">
        <f t="shared" si="44"/>
        <v>1599.3492499999998</v>
      </c>
      <c r="M58" s="156">
        <f t="shared" si="44"/>
        <v>1613.8332500000001</v>
      </c>
      <c r="N58" s="156">
        <f t="shared" si="44"/>
        <v>1626.5472500000003</v>
      </c>
      <c r="O58" s="947">
        <f>O57-O56</f>
        <v>1647.6922499999998</v>
      </c>
      <c r="P58" s="419"/>
      <c r="Q58" s="419"/>
      <c r="R58" s="419"/>
      <c r="S58" s="419"/>
      <c r="T58" s="419"/>
      <c r="U58" s="419"/>
      <c r="V58" s="419"/>
      <c r="W58" s="419"/>
      <c r="X58" s="419"/>
      <c r="Y58" s="419"/>
      <c r="Z58" s="419"/>
      <c r="AA58" s="419"/>
      <c r="AB58" s="419"/>
      <c r="AC58" s="420"/>
    </row>
    <row r="59" spans="2:29" x14ac:dyDescent="0.3">
      <c r="B59" s="41" t="s">
        <v>1254</v>
      </c>
      <c r="D59" s="396">
        <f>D57-D13 -D14 -D19</f>
        <v>1411.0000000000002</v>
      </c>
      <c r="E59" s="396">
        <f t="shared" ref="E59:I59" si="45">E57-E13 -E14 -E19</f>
        <v>1471.3999999999999</v>
      </c>
      <c r="F59" s="396">
        <f t="shared" si="45"/>
        <v>1476.6</v>
      </c>
      <c r="G59" s="396">
        <f t="shared" si="45"/>
        <v>1483.6999999999998</v>
      </c>
      <c r="H59" s="396">
        <f t="shared" si="45"/>
        <v>1492.7</v>
      </c>
      <c r="I59" s="396">
        <f t="shared" si="45"/>
        <v>1539.9</v>
      </c>
      <c r="J59" s="397">
        <f>I59+($H$59-$E$59)/3</f>
        <v>1547.0000000000002</v>
      </c>
      <c r="K59" s="397">
        <f t="shared" ref="K59" si="46">J59+($H$59-$E$59)/3</f>
        <v>1554.1000000000004</v>
      </c>
      <c r="L59" s="397">
        <f>K59+($H$59-$E$59)/3</f>
        <v>1561.2000000000005</v>
      </c>
      <c r="M59" s="588">
        <f>L59+($H$59-$E$59)/3 +(M60-L60)</f>
        <v>1585.8010000000006</v>
      </c>
      <c r="N59" s="397">
        <f>M59+($H$59-$E$59)/3</f>
        <v>1592.9010000000007</v>
      </c>
      <c r="O59" s="397">
        <f>N59+($H$59-$E$59)/3</f>
        <v>1600.0010000000009</v>
      </c>
      <c r="P59" s="419"/>
      <c r="Q59" s="419"/>
      <c r="R59" s="419"/>
      <c r="S59" s="419"/>
      <c r="T59" s="419"/>
      <c r="U59" s="419"/>
      <c r="V59" s="419"/>
      <c r="W59" s="419"/>
      <c r="X59" s="419"/>
      <c r="Y59" s="419"/>
      <c r="Z59" s="419"/>
      <c r="AA59" s="419"/>
      <c r="AB59" s="419"/>
      <c r="AC59" s="420"/>
    </row>
    <row r="60" spans="2:29" x14ac:dyDescent="0.3">
      <c r="B60" s="162" t="s">
        <v>663</v>
      </c>
      <c r="C60" s="34" t="s">
        <v>664</v>
      </c>
      <c r="D60" s="589">
        <f>'Haver Pivoted'!GO88/1000</f>
        <v>983.95899999999995</v>
      </c>
      <c r="E60" s="589">
        <f>'Haver Pivoted'!GP88/1000</f>
        <v>1019.419</v>
      </c>
      <c r="F60" s="589">
        <f>'Haver Pivoted'!GQ88/1000</f>
        <v>1026.4179999999999</v>
      </c>
      <c r="G60" s="589">
        <f>'Haver Pivoted'!GR88/1000</f>
        <v>1034.2080000000001</v>
      </c>
      <c r="H60" s="589">
        <f>'Haver Pivoted'!GS88/1000</f>
        <v>1042.9269999999999</v>
      </c>
      <c r="I60" s="589">
        <f>'Haver Pivoted'!GT88/1000</f>
        <v>1067.885</v>
      </c>
      <c r="J60" s="589">
        <f>'Haver Pivoted'!GU88/1000</f>
        <v>1074.7909999999999</v>
      </c>
      <c r="K60" s="589">
        <f>'Haver Pivoted'!GV88/1000</f>
        <v>1080.221</v>
      </c>
      <c r="L60" s="589">
        <f>'Haver Pivoted'!GW88/1000</f>
        <v>1088.8150000000001</v>
      </c>
      <c r="M60" s="589">
        <f>'Haver Pivoted'!GX88/1000</f>
        <v>1106.316</v>
      </c>
      <c r="N60" s="589">
        <f>'Haver Pivoted'!GY88/1000</f>
        <v>1109.664</v>
      </c>
      <c r="O60" s="589">
        <f>'Haver Pivoted'!GZ88/1000</f>
        <v>1117.5540000000001</v>
      </c>
      <c r="P60" s="419"/>
      <c r="Q60" s="419"/>
      <c r="R60" s="419"/>
      <c r="S60" s="419"/>
      <c r="T60" s="419"/>
      <c r="U60" s="419"/>
      <c r="V60" s="419"/>
      <c r="W60" s="419"/>
      <c r="X60" s="419"/>
      <c r="Y60" s="419"/>
      <c r="Z60" s="419"/>
      <c r="AA60" s="419"/>
      <c r="AB60" s="419"/>
      <c r="AC60" s="420"/>
    </row>
    <row r="61" spans="2:29" x14ac:dyDescent="0.3">
      <c r="B61" s="137" t="s">
        <v>1234</v>
      </c>
      <c r="C61" s="42"/>
      <c r="D61" s="272">
        <f>D58-D59</f>
        <v>0</v>
      </c>
      <c r="E61" s="271">
        <f t="shared" ref="E61:N61" si="47">E58-E59</f>
        <v>0</v>
      </c>
      <c r="F61" s="271">
        <f t="shared" si="47"/>
        <v>0</v>
      </c>
      <c r="G61" s="271">
        <f t="shared" si="47"/>
        <v>0</v>
      </c>
      <c r="H61" s="271">
        <f t="shared" si="47"/>
        <v>0</v>
      </c>
      <c r="I61" s="271">
        <f t="shared" si="47"/>
        <v>-2.5817500000000564</v>
      </c>
      <c r="J61" s="271">
        <f t="shared" si="47"/>
        <v>33.241249999999809</v>
      </c>
      <c r="K61" s="271">
        <f t="shared" si="47"/>
        <v>151.37324999999987</v>
      </c>
      <c r="L61" s="271">
        <f t="shared" si="47"/>
        <v>38.149249999999256</v>
      </c>
      <c r="M61" s="271">
        <f>M58-M59</f>
        <v>28.032249999999522</v>
      </c>
      <c r="N61" s="271">
        <f t="shared" si="47"/>
        <v>33.646249999999554</v>
      </c>
      <c r="O61" s="758">
        <f>O58-O59</f>
        <v>47.691249999998945</v>
      </c>
      <c r="P61" s="631">
        <v>30</v>
      </c>
      <c r="Q61" s="631">
        <v>30</v>
      </c>
      <c r="R61" s="631">
        <v>25</v>
      </c>
      <c r="S61" s="631">
        <v>20</v>
      </c>
      <c r="T61" s="631">
        <v>15</v>
      </c>
      <c r="U61" s="59">
        <v>10</v>
      </c>
      <c r="V61" s="59">
        <v>5</v>
      </c>
      <c r="W61" s="59"/>
      <c r="X61" s="59"/>
      <c r="Y61" s="59"/>
      <c r="Z61" s="59"/>
      <c r="AA61" s="59"/>
      <c r="AB61" s="59"/>
      <c r="AC61" s="60"/>
    </row>
    <row r="62" spans="2:29" ht="39.65" customHeight="1" x14ac:dyDescent="0.3">
      <c r="B62" s="1234" t="s">
        <v>665</v>
      </c>
      <c r="C62" s="1234"/>
      <c r="D62" s="1152"/>
      <c r="E62" s="1152"/>
      <c r="F62" s="1152"/>
      <c r="G62" s="1152"/>
      <c r="H62" s="1152"/>
      <c r="I62" s="1152"/>
      <c r="J62" s="1152"/>
      <c r="K62" s="1152"/>
      <c r="L62" s="1152"/>
      <c r="M62" s="1152"/>
      <c r="N62" s="1152"/>
      <c r="O62" s="1152"/>
      <c r="P62" s="1234"/>
      <c r="Q62" s="1234"/>
      <c r="R62" s="1234"/>
      <c r="S62" s="1234"/>
      <c r="T62" s="1234"/>
      <c r="U62" s="1234"/>
      <c r="V62" s="1234"/>
      <c r="W62" s="1234"/>
      <c r="X62" s="1234"/>
      <c r="Y62" s="1234"/>
      <c r="Z62" s="1234"/>
      <c r="AA62" s="1234"/>
      <c r="AB62" s="1234"/>
      <c r="AC62" s="1234"/>
    </row>
    <row r="63" spans="2:29" x14ac:dyDescent="0.3">
      <c r="D63" s="43"/>
      <c r="E63" s="43"/>
      <c r="F63" s="43"/>
      <c r="G63" s="43"/>
      <c r="H63" s="43"/>
      <c r="I63" s="43"/>
      <c r="J63" s="43"/>
      <c r="K63" s="43"/>
      <c r="L63" s="43"/>
      <c r="M63" s="43"/>
      <c r="N63" s="43"/>
      <c r="O63" s="43"/>
      <c r="P63" s="43"/>
      <c r="Q63" s="43"/>
      <c r="R63" s="43"/>
      <c r="S63" s="43"/>
      <c r="T63" s="43"/>
      <c r="U63" s="43"/>
      <c r="V63" s="43"/>
      <c r="W63" s="43"/>
      <c r="X63" s="43"/>
      <c r="Y63" s="43"/>
    </row>
    <row r="64" spans="2:29" x14ac:dyDescent="0.3">
      <c r="B64" s="52" t="s">
        <v>507</v>
      </c>
      <c r="D64" s="43"/>
      <c r="E64" s="43"/>
      <c r="F64" s="43"/>
      <c r="G64" s="43"/>
      <c r="H64" s="43"/>
      <c r="I64" s="43"/>
      <c r="J64" s="43"/>
      <c r="K64" s="43"/>
      <c r="L64" s="43"/>
      <c r="M64" s="43"/>
      <c r="N64" s="43"/>
      <c r="O64" s="43"/>
      <c r="P64" s="43"/>
      <c r="Q64" s="43"/>
      <c r="R64" s="43"/>
      <c r="S64" s="43"/>
      <c r="T64" s="43"/>
      <c r="U64" s="43"/>
      <c r="V64" s="43"/>
      <c r="W64" s="43"/>
      <c r="X64" s="43"/>
      <c r="Y64" s="43"/>
    </row>
    <row r="65" spans="2:29" ht="45.65" customHeight="1" x14ac:dyDescent="0.3">
      <c r="B65" s="1233" t="s">
        <v>666</v>
      </c>
      <c r="C65" s="1233"/>
      <c r="D65" s="1233"/>
      <c r="E65" s="1233"/>
      <c r="F65" s="1233"/>
      <c r="G65" s="1233"/>
      <c r="H65" s="1233"/>
      <c r="I65" s="1233"/>
      <c r="J65" s="1233"/>
      <c r="K65" s="1233"/>
      <c r="L65" s="1233"/>
      <c r="M65" s="1233"/>
      <c r="N65" s="1233"/>
      <c r="O65" s="1233"/>
      <c r="P65" s="1233"/>
      <c r="Q65" s="1233"/>
      <c r="R65" s="1233"/>
      <c r="S65" s="1233"/>
      <c r="T65" s="1233"/>
      <c r="U65" s="1233"/>
      <c r="V65" s="1233"/>
      <c r="W65" s="1233"/>
      <c r="X65" s="1233"/>
      <c r="Y65" s="1233"/>
      <c r="Z65" s="1233"/>
      <c r="AA65" s="1233"/>
      <c r="AB65" s="1233"/>
      <c r="AC65" s="1233"/>
    </row>
    <row r="66" spans="2:29" ht="14.5" customHeight="1" x14ac:dyDescent="0.3">
      <c r="B66" s="1140" t="s">
        <v>667</v>
      </c>
      <c r="C66" s="1141"/>
      <c r="D66" s="1145" t="s">
        <v>401</v>
      </c>
      <c r="E66" s="1146"/>
      <c r="F66" s="1146"/>
      <c r="G66" s="1146"/>
      <c r="H66" s="1146"/>
      <c r="I66" s="1146"/>
      <c r="J66" s="1146"/>
      <c r="K66" s="1146"/>
      <c r="L66" s="1146"/>
      <c r="M66" s="1146"/>
      <c r="N66" s="1146"/>
      <c r="O66" s="1147"/>
      <c r="P66" s="1174" t="s">
        <v>402</v>
      </c>
      <c r="Q66" s="1175"/>
      <c r="R66" s="1175"/>
      <c r="S66" s="1175"/>
      <c r="T66" s="1175"/>
      <c r="U66" s="1175"/>
      <c r="V66" s="1175"/>
      <c r="W66" s="1175"/>
      <c r="X66" s="1175"/>
      <c r="Y66" s="1175"/>
      <c r="Z66" s="1175"/>
      <c r="AA66" s="1175"/>
      <c r="AB66" s="1175"/>
      <c r="AC66" s="1176"/>
    </row>
    <row r="67" spans="2:29" x14ac:dyDescent="0.3">
      <c r="B67" s="1140"/>
      <c r="C67" s="1141"/>
      <c r="D67" s="524">
        <v>2018</v>
      </c>
      <c r="E67" s="1135">
        <v>2019</v>
      </c>
      <c r="F67" s="1136"/>
      <c r="G67" s="1136"/>
      <c r="H67" s="1137"/>
      <c r="I67" s="1135">
        <v>2020</v>
      </c>
      <c r="J67" s="1136"/>
      <c r="K67" s="1136"/>
      <c r="L67" s="1137"/>
      <c r="M67" s="1135">
        <v>2021</v>
      </c>
      <c r="N67" s="1136"/>
      <c r="O67" s="1137"/>
      <c r="P67" s="557">
        <v>2021</v>
      </c>
      <c r="Q67" s="1142">
        <v>2022</v>
      </c>
      <c r="R67" s="1143"/>
      <c r="S67" s="1143"/>
      <c r="T67" s="1144"/>
      <c r="U67" s="1142">
        <v>2023</v>
      </c>
      <c r="V67" s="1143"/>
      <c r="W67" s="1143"/>
      <c r="X67" s="1143"/>
      <c r="Y67" s="1142">
        <v>2024</v>
      </c>
      <c r="Z67" s="1143"/>
      <c r="AA67" s="1143"/>
      <c r="AB67" s="1144"/>
      <c r="AC67" s="329">
        <v>2025</v>
      </c>
    </row>
    <row r="68" spans="2:29" x14ac:dyDescent="0.3">
      <c r="B68" s="1178"/>
      <c r="C68" s="1179"/>
      <c r="D68" s="166" t="s">
        <v>403</v>
      </c>
      <c r="E68" s="166" t="s">
        <v>404</v>
      </c>
      <c r="F68" s="147" t="s">
        <v>405</v>
      </c>
      <c r="G68" s="147" t="s">
        <v>290</v>
      </c>
      <c r="H68" s="154" t="s">
        <v>403</v>
      </c>
      <c r="I68" s="148" t="s">
        <v>404</v>
      </c>
      <c r="J68" s="148" t="s">
        <v>405</v>
      </c>
      <c r="K68" s="148" t="s">
        <v>290</v>
      </c>
      <c r="L68" s="148" t="s">
        <v>403</v>
      </c>
      <c r="M68" s="161" t="s">
        <v>404</v>
      </c>
      <c r="N68" s="148" t="s">
        <v>405</v>
      </c>
      <c r="O68" s="154" t="s">
        <v>290</v>
      </c>
      <c r="P68" s="420" t="s">
        <v>403</v>
      </c>
      <c r="Q68" s="418" t="s">
        <v>404</v>
      </c>
      <c r="R68" s="419" t="s">
        <v>405</v>
      </c>
      <c r="S68" s="419" t="s">
        <v>290</v>
      </c>
      <c r="T68" s="419" t="s">
        <v>403</v>
      </c>
      <c r="U68" s="418" t="s">
        <v>404</v>
      </c>
      <c r="V68" s="419" t="s">
        <v>405</v>
      </c>
      <c r="W68" s="419" t="s">
        <v>290</v>
      </c>
      <c r="X68" s="419" t="s">
        <v>403</v>
      </c>
      <c r="Y68" s="418" t="s">
        <v>404</v>
      </c>
      <c r="Z68" s="384" t="s">
        <v>405</v>
      </c>
      <c r="AA68" s="419" t="s">
        <v>290</v>
      </c>
      <c r="AB68" s="420" t="s">
        <v>403</v>
      </c>
      <c r="AC68" s="71" t="s">
        <v>404</v>
      </c>
    </row>
    <row r="69" spans="2:29" x14ac:dyDescent="0.3">
      <c r="B69" s="41" t="s">
        <v>668</v>
      </c>
      <c r="D69" s="569"/>
      <c r="E69" s="760"/>
      <c r="F69" s="760"/>
      <c r="G69" s="760"/>
      <c r="H69" s="760"/>
      <c r="I69" s="251">
        <f>(I70-AVERAGE($E70:$H70))</f>
        <v>2.5817499999999995</v>
      </c>
      <c r="J69" s="251">
        <f t="shared" ref="J69:O69" si="48">(J70-AVERAGE($E70:$H70))</f>
        <v>37.358750000000001</v>
      </c>
      <c r="K69" s="251">
        <f t="shared" si="48"/>
        <v>38.026749999999993</v>
      </c>
      <c r="L69" s="251">
        <f t="shared" si="48"/>
        <v>38.350750000000005</v>
      </c>
      <c r="M69" s="251">
        <f t="shared" si="48"/>
        <v>54.966750000000005</v>
      </c>
      <c r="N69" s="251">
        <f t="shared" si="48"/>
        <v>74.252749999999992</v>
      </c>
      <c r="O69" s="888">
        <f t="shared" si="48"/>
        <v>85.407749999999993</v>
      </c>
      <c r="P69" s="676">
        <v>50</v>
      </c>
      <c r="Q69" s="676">
        <v>25</v>
      </c>
      <c r="R69" s="937">
        <v>20</v>
      </c>
      <c r="S69" s="937">
        <v>5</v>
      </c>
      <c r="T69" s="937">
        <v>0</v>
      </c>
      <c r="U69" s="676"/>
      <c r="V69" s="676"/>
      <c r="W69" s="676"/>
      <c r="X69" s="676"/>
      <c r="Y69" s="676"/>
      <c r="Z69" s="676"/>
      <c r="AA69" s="676"/>
      <c r="AB69" s="676"/>
      <c r="AC69" s="549"/>
    </row>
    <row r="70" spans="2:29" x14ac:dyDescent="0.3">
      <c r="B70" s="41" t="s">
        <v>203</v>
      </c>
      <c r="C70" s="34" t="s">
        <v>669</v>
      </c>
      <c r="D70" s="145">
        <f>'Haver Pivoted'!GO66</f>
        <v>57.116</v>
      </c>
      <c r="E70" s="43">
        <f>'Haver Pivoted'!GP66</f>
        <v>55.898000000000003</v>
      </c>
      <c r="F70" s="43">
        <f>'Haver Pivoted'!GQ66</f>
        <v>54.478000000000002</v>
      </c>
      <c r="G70" s="43">
        <f>'Haver Pivoted'!GR66</f>
        <v>54.216000000000001</v>
      </c>
      <c r="H70" s="43">
        <f>'Haver Pivoted'!GS66</f>
        <v>54.152999999999999</v>
      </c>
      <c r="I70" s="43">
        <f>'Haver Pivoted'!GT66</f>
        <v>57.268000000000001</v>
      </c>
      <c r="J70" s="43">
        <f>'Haver Pivoted'!GU66</f>
        <v>92.045000000000002</v>
      </c>
      <c r="K70" s="43">
        <f>'Haver Pivoted'!GV66</f>
        <v>92.712999999999994</v>
      </c>
      <c r="L70" s="43">
        <f>'Haver Pivoted'!GW66</f>
        <v>93.037000000000006</v>
      </c>
      <c r="M70" s="43">
        <f>'Haver Pivoted'!GX66</f>
        <v>109.65300000000001</v>
      </c>
      <c r="N70" s="43">
        <f>'Haver Pivoted'!GY66</f>
        <v>128.93899999999999</v>
      </c>
      <c r="O70" s="273">
        <f>'Haver Pivoted'!GZ66</f>
        <v>140.09399999999999</v>
      </c>
      <c r="P70" s="419"/>
      <c r="Q70" s="419"/>
      <c r="R70" s="419"/>
      <c r="S70" s="419"/>
      <c r="T70" s="419"/>
      <c r="U70" s="419"/>
      <c r="V70" s="419"/>
      <c r="W70" s="419"/>
      <c r="X70" s="419"/>
      <c r="Y70" s="419"/>
      <c r="Z70" s="419"/>
      <c r="AA70" s="419"/>
      <c r="AB70" s="419"/>
      <c r="AC70" s="420"/>
    </row>
    <row r="71" spans="2:29" x14ac:dyDescent="0.3">
      <c r="B71" s="137" t="s">
        <v>670</v>
      </c>
      <c r="C71" s="42"/>
      <c r="D71" s="146"/>
      <c r="E71" s="144"/>
      <c r="F71" s="144"/>
      <c r="G71" s="144"/>
      <c r="H71" s="144"/>
      <c r="I71" s="144"/>
      <c r="J71" s="144">
        <f t="shared" ref="J71:O71" si="49">J70-$H70</f>
        <v>37.892000000000003</v>
      </c>
      <c r="K71" s="144">
        <f t="shared" si="49"/>
        <v>38.559999999999995</v>
      </c>
      <c r="L71" s="144">
        <f t="shared" si="49"/>
        <v>38.884000000000007</v>
      </c>
      <c r="M71" s="144">
        <f t="shared" si="49"/>
        <v>55.500000000000007</v>
      </c>
      <c r="N71" s="144">
        <f t="shared" si="49"/>
        <v>74.786000000000001</v>
      </c>
      <c r="O71" s="173">
        <f t="shared" si="49"/>
        <v>85.941000000000003</v>
      </c>
      <c r="P71" s="59"/>
      <c r="Q71" s="59"/>
      <c r="R71" s="59"/>
      <c r="S71" s="59"/>
      <c r="T71" s="59"/>
      <c r="U71" s="59"/>
      <c r="V71" s="59"/>
      <c r="W71" s="59"/>
      <c r="X71" s="59"/>
      <c r="Y71" s="59"/>
      <c r="Z71" s="59"/>
      <c r="AA71" s="59"/>
      <c r="AB71" s="59"/>
      <c r="AC71" s="60"/>
    </row>
    <row r="72" spans="2:29" ht="14.15" customHeight="1" x14ac:dyDescent="0.3">
      <c r="B72" s="548"/>
      <c r="C72" s="548"/>
      <c r="D72" s="358"/>
      <c r="E72" s="358"/>
      <c r="F72" s="358"/>
      <c r="G72" s="358"/>
      <c r="H72" s="358"/>
      <c r="I72" s="358"/>
      <c r="J72" s="358"/>
      <c r="K72" s="358"/>
      <c r="L72" s="358"/>
      <c r="M72" s="358"/>
      <c r="N72" s="358"/>
      <c r="O72" s="358"/>
      <c r="P72" s="358"/>
      <c r="Q72" s="358"/>
      <c r="R72" s="358"/>
      <c r="S72" s="358"/>
      <c r="T72" s="358"/>
      <c r="U72" s="358"/>
      <c r="V72" s="358"/>
      <c r="W72" s="358"/>
      <c r="X72" s="358"/>
      <c r="Y72" s="358"/>
    </row>
    <row r="73" spans="2:29" ht="14.15" customHeight="1" x14ac:dyDescent="0.3">
      <c r="B73" s="358"/>
      <c r="C73" s="358"/>
      <c r="D73" s="358"/>
      <c r="E73" s="358"/>
      <c r="F73" s="358"/>
      <c r="G73" s="358"/>
      <c r="H73" s="358"/>
      <c r="I73" s="358"/>
      <c r="J73" s="358"/>
      <c r="K73" s="358"/>
      <c r="L73" s="358"/>
      <c r="M73" s="358"/>
      <c r="N73" s="358"/>
      <c r="O73" s="358"/>
      <c r="P73" s="358"/>
      <c r="Q73" s="358"/>
      <c r="R73" s="358"/>
      <c r="S73" s="358"/>
      <c r="T73" s="358"/>
      <c r="U73" s="358"/>
      <c r="V73" s="358"/>
      <c r="W73" s="358"/>
      <c r="X73" s="358"/>
      <c r="Y73" s="358"/>
    </row>
    <row r="74" spans="2:29" ht="14.15" customHeight="1" x14ac:dyDescent="0.3">
      <c r="B74" s="358"/>
      <c r="C74" s="358"/>
      <c r="D74" s="358"/>
      <c r="E74" s="358"/>
      <c r="F74" s="358"/>
      <c r="G74" s="358"/>
      <c r="H74" s="358"/>
      <c r="I74" s="358"/>
      <c r="J74" s="358"/>
      <c r="K74" s="358"/>
      <c r="L74" s="358"/>
      <c r="M74" s="358"/>
      <c r="N74" s="358"/>
      <c r="O74" s="358"/>
      <c r="P74" s="358"/>
      <c r="Q74" s="358"/>
      <c r="R74" s="358"/>
      <c r="S74" s="358"/>
      <c r="T74" s="358"/>
      <c r="U74" s="358"/>
      <c r="V74" s="358"/>
      <c r="W74" s="358"/>
      <c r="X74" s="358"/>
      <c r="Y74" s="358"/>
    </row>
    <row r="75" spans="2:29" x14ac:dyDescent="0.3">
      <c r="D75" s="399"/>
      <c r="E75" s="399"/>
      <c r="F75" s="399"/>
      <c r="G75" s="399"/>
      <c r="H75" s="399"/>
      <c r="I75" s="399"/>
      <c r="J75" s="399"/>
      <c r="K75" s="399"/>
      <c r="L75" s="399"/>
      <c r="M75" s="399"/>
      <c r="N75" s="399"/>
      <c r="O75" s="399"/>
      <c r="P75" s="398"/>
    </row>
    <row r="76" spans="2:29" ht="14.5" x14ac:dyDescent="0.35">
      <c r="B76" s="652"/>
      <c r="D76" s="653"/>
      <c r="E76"/>
      <c r="F76"/>
      <c r="G76"/>
      <c r="H76"/>
      <c r="I76"/>
      <c r="J76"/>
      <c r="K76"/>
      <c r="L76"/>
      <c r="M76"/>
      <c r="N76"/>
      <c r="O76" s="398"/>
      <c r="P76" s="398"/>
    </row>
    <row r="77" spans="2:29" ht="14.5" x14ac:dyDescent="0.35">
      <c r="B77"/>
      <c r="D77" s="653"/>
      <c r="E77"/>
      <c r="F77"/>
      <c r="G77"/>
      <c r="H77"/>
      <c r="I77"/>
      <c r="J77"/>
      <c r="K77"/>
      <c r="L77"/>
      <c r="M77"/>
      <c r="N77"/>
    </row>
    <row r="78" spans="2:29" ht="14.5" x14ac:dyDescent="0.35">
      <c r="B78"/>
      <c r="D78" s="653"/>
      <c r="E78"/>
      <c r="F78"/>
      <c r="G78"/>
      <c r="H78"/>
      <c r="I78"/>
      <c r="J78"/>
      <c r="K78"/>
      <c r="L78"/>
      <c r="M78"/>
      <c r="N78"/>
    </row>
    <row r="79" spans="2:29" ht="14.15" customHeight="1" x14ac:dyDescent="0.35">
      <c r="B79"/>
      <c r="C79" s="25"/>
      <c r="D79" s="653"/>
      <c r="E79"/>
      <c r="F79"/>
      <c r="G79"/>
      <c r="H79"/>
      <c r="I79"/>
      <c r="J79"/>
      <c r="K79"/>
      <c r="L79"/>
      <c r="M79"/>
      <c r="N79"/>
      <c r="O79" s="25"/>
      <c r="P79" s="25"/>
      <c r="Q79" s="25"/>
      <c r="R79" s="25"/>
      <c r="S79" s="25"/>
      <c r="T79" s="25"/>
      <c r="U79" s="25"/>
      <c r="V79" s="25"/>
      <c r="W79" s="25"/>
      <c r="X79" s="25"/>
    </row>
    <row r="80" spans="2:29" ht="14.15" customHeight="1" x14ac:dyDescent="0.35">
      <c r="B80"/>
      <c r="C80" s="25"/>
      <c r="D80" s="653"/>
      <c r="E80"/>
      <c r="F80"/>
      <c r="G80"/>
      <c r="H80"/>
      <c r="I80"/>
      <c r="J80"/>
      <c r="K80"/>
      <c r="L80"/>
      <c r="M80"/>
      <c r="N80"/>
      <c r="O80" s="25"/>
      <c r="P80" s="25"/>
      <c r="Q80" s="25"/>
      <c r="R80" s="25"/>
      <c r="S80" s="25"/>
      <c r="T80" s="25"/>
      <c r="U80" s="25"/>
      <c r="V80" s="25"/>
      <c r="W80" s="25"/>
      <c r="X80" s="25"/>
    </row>
    <row r="81" spans="2:24" ht="14.15" customHeight="1" x14ac:dyDescent="0.35">
      <c r="B81"/>
      <c r="C81" s="25"/>
      <c r="D81" s="653"/>
      <c r="E81"/>
      <c r="F81"/>
      <c r="G81"/>
      <c r="H81"/>
      <c r="I81"/>
      <c r="J81"/>
      <c r="K81"/>
      <c r="L81"/>
      <c r="M81"/>
      <c r="N81"/>
      <c r="O81" s="25"/>
      <c r="P81" s="25"/>
      <c r="Q81" s="25"/>
      <c r="R81" s="25"/>
      <c r="S81" s="25"/>
      <c r="T81" s="25"/>
      <c r="U81" s="25"/>
      <c r="V81" s="25"/>
      <c r="W81" s="25"/>
      <c r="X81" s="25"/>
    </row>
    <row r="82" spans="2:24" ht="14.5" x14ac:dyDescent="0.35">
      <c r="B82"/>
      <c r="D82" s="653"/>
      <c r="E82"/>
      <c r="F82"/>
      <c r="G82"/>
      <c r="H82"/>
      <c r="I82"/>
      <c r="J82"/>
      <c r="K82"/>
      <c r="L82"/>
      <c r="M82"/>
      <c r="N82"/>
    </row>
    <row r="83" spans="2:24" ht="14.5" x14ac:dyDescent="0.35">
      <c r="B83"/>
      <c r="D83" s="653"/>
      <c r="E83"/>
      <c r="F83"/>
      <c r="G83"/>
      <c r="H83"/>
      <c r="I83"/>
      <c r="J83"/>
      <c r="K83"/>
      <c r="L83"/>
      <c r="M83"/>
      <c r="N83"/>
    </row>
    <row r="84" spans="2:24" ht="14.5" x14ac:dyDescent="0.35">
      <c r="B84"/>
      <c r="D84" s="653"/>
      <c r="E84"/>
      <c r="F84"/>
      <c r="G84"/>
      <c r="H84"/>
      <c r="I84"/>
      <c r="J84"/>
      <c r="K84"/>
      <c r="L84"/>
      <c r="M84"/>
      <c r="N84"/>
    </row>
    <row r="85" spans="2:24" ht="14.5" x14ac:dyDescent="0.35">
      <c r="B85"/>
      <c r="D85" s="653"/>
      <c r="E85"/>
      <c r="F85"/>
      <c r="G85"/>
      <c r="H85"/>
      <c r="I85"/>
      <c r="J85"/>
      <c r="K85"/>
      <c r="L85"/>
      <c r="M85"/>
      <c r="N85"/>
    </row>
    <row r="86" spans="2:24" ht="14.5" x14ac:dyDescent="0.35">
      <c r="B86"/>
      <c r="D86" s="653"/>
      <c r="E86"/>
      <c r="F86"/>
      <c r="G86"/>
      <c r="H86"/>
      <c r="I86"/>
      <c r="J86"/>
      <c r="K86"/>
      <c r="L86"/>
      <c r="M86"/>
      <c r="N86"/>
    </row>
    <row r="87" spans="2:24" ht="14.5" x14ac:dyDescent="0.35">
      <c r="B87"/>
      <c r="D87" s="653"/>
      <c r="E87"/>
      <c r="F87"/>
      <c r="G87"/>
      <c r="H87"/>
      <c r="I87"/>
      <c r="J87"/>
      <c r="K87"/>
      <c r="L87"/>
      <c r="M87"/>
      <c r="N87"/>
    </row>
    <row r="88" spans="2:24" ht="14.5" x14ac:dyDescent="0.35">
      <c r="B88"/>
      <c r="D88" s="653"/>
      <c r="E88"/>
      <c r="F88"/>
      <c r="G88"/>
      <c r="H88"/>
      <c r="I88"/>
      <c r="J88"/>
      <c r="K88"/>
      <c r="L88"/>
      <c r="M88"/>
      <c r="N88"/>
    </row>
    <row r="89" spans="2:24" ht="14.5" x14ac:dyDescent="0.35">
      <c r="B89"/>
      <c r="D89" s="653"/>
      <c r="E89"/>
      <c r="F89"/>
      <c r="G89"/>
      <c r="H89"/>
      <c r="I89"/>
      <c r="J89"/>
      <c r="K89"/>
      <c r="L89"/>
      <c r="M89"/>
      <c r="N89"/>
    </row>
    <row r="90" spans="2:24" ht="14.5" x14ac:dyDescent="0.35">
      <c r="B90"/>
      <c r="D90" s="653"/>
      <c r="E90"/>
      <c r="F90"/>
      <c r="G90"/>
      <c r="H90"/>
      <c r="I90"/>
      <c r="J90"/>
      <c r="K90"/>
      <c r="L90"/>
      <c r="M90"/>
      <c r="N90"/>
    </row>
    <row r="91" spans="2:24" ht="14.5" x14ac:dyDescent="0.35">
      <c r="B91"/>
      <c r="D91" s="653"/>
      <c r="E91"/>
      <c r="F91"/>
      <c r="G91"/>
      <c r="H91"/>
      <c r="I91"/>
      <c r="J91"/>
      <c r="K91"/>
      <c r="L91"/>
      <c r="M91"/>
      <c r="N91"/>
    </row>
    <row r="94" spans="2:24" x14ac:dyDescent="0.3">
      <c r="J94" s="496"/>
      <c r="K94" s="496"/>
      <c r="L94" s="496"/>
      <c r="M94" s="496"/>
      <c r="N94" s="496"/>
    </row>
    <row r="98" spans="2:14" x14ac:dyDescent="0.3">
      <c r="D98" s="399"/>
      <c r="E98" s="399"/>
      <c r="F98" s="399"/>
      <c r="G98" s="399"/>
      <c r="H98" s="399"/>
      <c r="I98" s="399"/>
      <c r="J98" s="399"/>
      <c r="K98" s="399"/>
      <c r="L98" s="399"/>
      <c r="M98" s="399"/>
      <c r="N98" s="399"/>
    </row>
    <row r="99" spans="2:14" ht="14.5" x14ac:dyDescent="0.35">
      <c r="B99" s="652"/>
      <c r="D99" s="653"/>
      <c r="E99"/>
      <c r="F99"/>
      <c r="G99"/>
      <c r="H99"/>
      <c r="I99"/>
      <c r="J99"/>
      <c r="K99"/>
      <c r="L99"/>
      <c r="M99"/>
      <c r="N99"/>
    </row>
    <row r="100" spans="2:14" ht="14.5" x14ac:dyDescent="0.35">
      <c r="B100"/>
      <c r="D100" s="653"/>
      <c r="E100"/>
      <c r="F100"/>
      <c r="G100"/>
      <c r="H100"/>
      <c r="I100"/>
      <c r="J100"/>
      <c r="K100"/>
      <c r="L100"/>
      <c r="M100"/>
      <c r="N100"/>
    </row>
    <row r="101" spans="2:14" ht="14.5" x14ac:dyDescent="0.35">
      <c r="B101"/>
      <c r="D101" s="653"/>
      <c r="E101"/>
      <c r="F101"/>
      <c r="G101"/>
      <c r="H101"/>
      <c r="I101"/>
      <c r="J101"/>
      <c r="K101"/>
      <c r="L101"/>
      <c r="M101"/>
      <c r="N101"/>
    </row>
    <row r="102" spans="2:14" ht="14.5" x14ac:dyDescent="0.35">
      <c r="B102"/>
      <c r="C102" s="25"/>
      <c r="D102" s="653"/>
      <c r="E102"/>
      <c r="F102"/>
      <c r="G102"/>
      <c r="H102"/>
      <c r="I102"/>
      <c r="J102"/>
      <c r="K102"/>
      <c r="L102"/>
      <c r="M102"/>
      <c r="N102"/>
    </row>
    <row r="103" spans="2:14" ht="14.5" x14ac:dyDescent="0.35">
      <c r="B103"/>
      <c r="C103" s="25"/>
      <c r="D103" s="653"/>
      <c r="E103"/>
      <c r="F103"/>
      <c r="G103"/>
      <c r="H103"/>
      <c r="I103"/>
      <c r="J103"/>
      <c r="K103"/>
      <c r="L103"/>
      <c r="M103"/>
      <c r="N103"/>
    </row>
    <row r="104" spans="2:14" ht="14.5" x14ac:dyDescent="0.35">
      <c r="B104"/>
      <c r="C104" s="25"/>
      <c r="D104" s="653"/>
      <c r="E104"/>
      <c r="F104"/>
      <c r="G104"/>
      <c r="H104"/>
      <c r="I104"/>
      <c r="J104"/>
      <c r="K104"/>
      <c r="L104"/>
      <c r="M104"/>
      <c r="N104"/>
    </row>
    <row r="105" spans="2:14" ht="14.5" x14ac:dyDescent="0.35">
      <c r="B105"/>
      <c r="D105" s="653"/>
      <c r="E105"/>
      <c r="F105"/>
      <c r="G105"/>
      <c r="H105"/>
      <c r="I105"/>
      <c r="J105"/>
      <c r="K105"/>
      <c r="L105"/>
      <c r="M105"/>
      <c r="N105"/>
    </row>
    <row r="106" spans="2:14" ht="14.5" x14ac:dyDescent="0.35">
      <c r="B106"/>
      <c r="D106" s="653"/>
      <c r="E106"/>
      <c r="F106"/>
      <c r="G106"/>
      <c r="H106"/>
      <c r="I106"/>
      <c r="J106"/>
      <c r="K106"/>
      <c r="L106"/>
      <c r="M106"/>
      <c r="N106"/>
    </row>
    <row r="107" spans="2:14" ht="14.5" x14ac:dyDescent="0.35">
      <c r="B107"/>
      <c r="D107" s="653"/>
      <c r="E107"/>
      <c r="F107"/>
      <c r="G107"/>
      <c r="H107"/>
      <c r="I107"/>
      <c r="J107"/>
      <c r="K107"/>
      <c r="L107"/>
      <c r="M107"/>
      <c r="N107"/>
    </row>
    <row r="108" spans="2:14" ht="14.5" x14ac:dyDescent="0.35">
      <c r="B108"/>
      <c r="D108" s="653"/>
      <c r="E108"/>
      <c r="F108"/>
      <c r="G108"/>
      <c r="H108"/>
      <c r="I108"/>
      <c r="J108"/>
      <c r="K108"/>
      <c r="L108"/>
      <c r="M108"/>
      <c r="N108"/>
    </row>
    <row r="109" spans="2:14" ht="14.5" x14ac:dyDescent="0.35">
      <c r="B109"/>
      <c r="D109" s="653"/>
      <c r="E109"/>
      <c r="F109"/>
      <c r="G109"/>
      <c r="H109"/>
      <c r="I109"/>
      <c r="J109"/>
      <c r="K109"/>
      <c r="L109"/>
      <c r="M109"/>
      <c r="N109"/>
    </row>
    <row r="110" spans="2:14" ht="14.5" x14ac:dyDescent="0.35">
      <c r="B110"/>
      <c r="D110" s="653"/>
      <c r="E110"/>
      <c r="F110"/>
      <c r="G110"/>
      <c r="H110"/>
      <c r="I110"/>
      <c r="J110"/>
      <c r="K110"/>
      <c r="L110"/>
      <c r="M110"/>
      <c r="N110"/>
    </row>
    <row r="111" spans="2:14" ht="14.5" x14ac:dyDescent="0.35">
      <c r="B111"/>
      <c r="D111" s="653"/>
      <c r="E111"/>
      <c r="F111"/>
      <c r="G111"/>
      <c r="H111"/>
      <c r="I111"/>
      <c r="J111"/>
      <c r="K111"/>
      <c r="L111"/>
      <c r="M111"/>
      <c r="N111"/>
    </row>
    <row r="112" spans="2:14" ht="14.5" x14ac:dyDescent="0.35">
      <c r="B112"/>
      <c r="D112" s="653"/>
      <c r="E112"/>
      <c r="F112"/>
      <c r="G112"/>
      <c r="H112"/>
      <c r="I112"/>
      <c r="J112"/>
      <c r="K112"/>
      <c r="L112"/>
      <c r="M112"/>
      <c r="N112"/>
    </row>
    <row r="113" spans="2:14" ht="14.5" x14ac:dyDescent="0.35">
      <c r="B113"/>
      <c r="D113" s="653"/>
      <c r="E113"/>
      <c r="F113"/>
      <c r="G113"/>
      <c r="H113"/>
      <c r="I113"/>
      <c r="J113"/>
      <c r="K113"/>
      <c r="L113"/>
      <c r="M113"/>
      <c r="N113"/>
    </row>
    <row r="114" spans="2:14" ht="14.5" x14ac:dyDescent="0.35">
      <c r="B114"/>
      <c r="D114" s="653"/>
      <c r="E114"/>
      <c r="F114"/>
      <c r="G114"/>
      <c r="H114"/>
      <c r="I114"/>
      <c r="J114"/>
      <c r="K114"/>
      <c r="L114"/>
      <c r="M114"/>
      <c r="N114"/>
    </row>
    <row r="115" spans="2:14" ht="14.5" x14ac:dyDescent="0.35">
      <c r="E115"/>
      <c r="F115"/>
      <c r="G115"/>
      <c r="H115"/>
      <c r="I115"/>
      <c r="J115"/>
      <c r="K115"/>
      <c r="L115"/>
      <c r="M115"/>
      <c r="N115"/>
    </row>
    <row r="116" spans="2:14" ht="14.5" x14ac:dyDescent="0.35">
      <c r="E116"/>
      <c r="F116"/>
      <c r="G116"/>
      <c r="H116"/>
      <c r="I116"/>
      <c r="J116"/>
      <c r="K116"/>
      <c r="L116"/>
      <c r="M116"/>
      <c r="N116"/>
    </row>
    <row r="117" spans="2:14" ht="14.5" x14ac:dyDescent="0.35">
      <c r="E117"/>
      <c r="F117"/>
      <c r="G117"/>
      <c r="H117"/>
      <c r="I117"/>
      <c r="J117"/>
      <c r="K117"/>
      <c r="L117"/>
      <c r="M117"/>
      <c r="N117"/>
    </row>
    <row r="118" spans="2:14" ht="14.5" x14ac:dyDescent="0.35">
      <c r="E118"/>
    </row>
  </sheetData>
  <mergeCells count="34">
    <mergeCell ref="B1:AC1"/>
    <mergeCell ref="B2:AC6"/>
    <mergeCell ref="B65:AC65"/>
    <mergeCell ref="B62:AC62"/>
    <mergeCell ref="E67:H67"/>
    <mergeCell ref="I67:L67"/>
    <mergeCell ref="B53:C55"/>
    <mergeCell ref="E54:H54"/>
    <mergeCell ref="I54:L54"/>
    <mergeCell ref="B66:C68"/>
    <mergeCell ref="B34:C34"/>
    <mergeCell ref="B11:C11"/>
    <mergeCell ref="B29:C29"/>
    <mergeCell ref="M67:O67"/>
    <mergeCell ref="D8:O8"/>
    <mergeCell ref="P8:AC8"/>
    <mergeCell ref="Q67:T67"/>
    <mergeCell ref="U67:X67"/>
    <mergeCell ref="Y67:AB67"/>
    <mergeCell ref="Y54:AB54"/>
    <mergeCell ref="M9:O9"/>
    <mergeCell ref="D53:O53"/>
    <mergeCell ref="P53:AC53"/>
    <mergeCell ref="I9:L9"/>
    <mergeCell ref="Q9:T9"/>
    <mergeCell ref="U9:X9"/>
    <mergeCell ref="Y9:AB9"/>
    <mergeCell ref="M54:O54"/>
    <mergeCell ref="E9:H9"/>
    <mergeCell ref="B8:C10"/>
    <mergeCell ref="D66:O66"/>
    <mergeCell ref="P66:AC66"/>
    <mergeCell ref="Q54:T54"/>
    <mergeCell ref="U54:X54"/>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8398-8653-4AAA-BEB8-80DD1645E831}">
  <dimension ref="D1:BD141"/>
  <sheetViews>
    <sheetView topLeftCell="G18" zoomScale="68" zoomScaleNormal="68" workbookViewId="0">
      <selection activeCell="N42" sqref="N42"/>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33" t="s">
        <v>79</v>
      </c>
      <c r="E1" s="1133"/>
      <c r="F1" s="1133"/>
      <c r="G1" s="1133"/>
      <c r="H1" s="1133"/>
      <c r="I1" s="1133"/>
      <c r="J1" s="1133"/>
      <c r="K1" s="1133"/>
      <c r="L1" s="1133"/>
      <c r="M1" s="1133"/>
      <c r="N1" s="1133"/>
      <c r="O1" s="1133"/>
      <c r="P1" s="1133"/>
      <c r="Q1" s="1133"/>
      <c r="R1" s="1133"/>
      <c r="S1" s="1133"/>
      <c r="T1" s="1133"/>
      <c r="U1" s="1133"/>
      <c r="V1" s="1133"/>
      <c r="W1" s="1133"/>
      <c r="X1" s="1133"/>
      <c r="Y1" s="1133"/>
      <c r="Z1" s="1133"/>
      <c r="AA1" s="1133"/>
      <c r="AB1" s="1133"/>
      <c r="AC1" s="1133"/>
    </row>
    <row r="2" spans="4:56" ht="14.15" customHeight="1" x14ac:dyDescent="0.3">
      <c r="D2" s="1152" t="s">
        <v>671</v>
      </c>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4:56" ht="28.5" customHeight="1" x14ac:dyDescent="0.3">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4:56" x14ac:dyDescent="0.3">
      <c r="D4" s="769" t="s">
        <v>465</v>
      </c>
    </row>
    <row r="5" spans="4:56" x14ac:dyDescent="0.3">
      <c r="D5" s="1138" t="s">
        <v>558</v>
      </c>
      <c r="E5" s="1139"/>
      <c r="F5" s="1253" t="s">
        <v>401</v>
      </c>
      <c r="G5" s="1254"/>
      <c r="H5" s="1254"/>
      <c r="I5" s="1254"/>
      <c r="J5" s="1254"/>
      <c r="K5" s="1254"/>
      <c r="L5" s="1254"/>
      <c r="M5" s="1255"/>
      <c r="N5" s="1255"/>
      <c r="O5" s="1155"/>
      <c r="P5" s="1174" t="s">
        <v>402</v>
      </c>
      <c r="Q5" s="1175"/>
      <c r="R5" s="1175"/>
      <c r="S5" s="1175"/>
      <c r="T5" s="1175"/>
      <c r="U5" s="1175"/>
      <c r="V5" s="1175"/>
      <c r="W5" s="1175"/>
      <c r="X5" s="1175"/>
      <c r="Y5" s="1175"/>
      <c r="Z5" s="1175"/>
      <c r="AA5" s="1175"/>
      <c r="AB5" s="1175"/>
      <c r="AC5" s="1176"/>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row>
    <row r="6" spans="4:56" x14ac:dyDescent="0.3">
      <c r="D6" s="1140"/>
      <c r="E6" s="1199"/>
      <c r="F6" s="1135">
        <v>2019</v>
      </c>
      <c r="G6" s="1136"/>
      <c r="H6" s="1137"/>
      <c r="I6" s="1136">
        <v>2020</v>
      </c>
      <c r="J6" s="1136"/>
      <c r="K6" s="1136"/>
      <c r="L6" s="1136"/>
      <c r="M6" s="1135">
        <v>2021</v>
      </c>
      <c r="N6" s="1136"/>
      <c r="O6" s="1137"/>
      <c r="P6" s="949">
        <v>2021</v>
      </c>
      <c r="Q6" s="1142">
        <v>2022</v>
      </c>
      <c r="R6" s="1143"/>
      <c r="S6" s="1143"/>
      <c r="T6" s="1144"/>
      <c r="U6" s="1226">
        <v>2023</v>
      </c>
      <c r="V6" s="1227"/>
      <c r="W6" s="1227"/>
      <c r="X6" s="1227"/>
      <c r="Y6" s="1142">
        <v>2024</v>
      </c>
      <c r="Z6" s="1143"/>
      <c r="AA6" s="1143"/>
      <c r="AB6" s="1143"/>
      <c r="AC6" s="329">
        <v>2025</v>
      </c>
      <c r="AD6" s="151"/>
      <c r="AE6" s="151"/>
      <c r="AF6" s="151"/>
      <c r="AG6" s="208"/>
      <c r="AH6" s="208"/>
      <c r="AI6" s="208"/>
      <c r="AJ6" s="208"/>
      <c r="AK6" s="208"/>
      <c r="AL6" s="208"/>
      <c r="AM6" s="208"/>
      <c r="AN6" s="208"/>
      <c r="AO6" s="208"/>
      <c r="AP6" s="208"/>
      <c r="AQ6" s="208"/>
      <c r="AR6" s="208"/>
      <c r="AS6" s="208"/>
      <c r="AT6" s="208"/>
      <c r="AU6" s="208"/>
      <c r="AV6" s="208"/>
      <c r="AW6" s="208"/>
      <c r="AX6" s="208"/>
      <c r="AY6" s="208"/>
      <c r="AZ6" s="208"/>
      <c r="BA6" s="208"/>
      <c r="BB6" s="208"/>
      <c r="BC6" s="208"/>
    </row>
    <row r="7" spans="4:56" x14ac:dyDescent="0.3">
      <c r="D7" s="1178"/>
      <c r="E7" s="1200"/>
      <c r="F7" s="166" t="s">
        <v>405</v>
      </c>
      <c r="G7" s="147" t="s">
        <v>290</v>
      </c>
      <c r="H7" s="154" t="s">
        <v>403</v>
      </c>
      <c r="I7" s="148" t="s">
        <v>404</v>
      </c>
      <c r="J7" s="148" t="s">
        <v>405</v>
      </c>
      <c r="K7" s="148" t="s">
        <v>290</v>
      </c>
      <c r="L7" s="148" t="s">
        <v>403</v>
      </c>
      <c r="M7" s="161" t="s">
        <v>404</v>
      </c>
      <c r="N7" s="148" t="s">
        <v>405</v>
      </c>
      <c r="O7" s="154" t="s">
        <v>290</v>
      </c>
      <c r="P7" s="60" t="s">
        <v>403</v>
      </c>
      <c r="Q7" s="58" t="s">
        <v>404</v>
      </c>
      <c r="R7" s="59" t="s">
        <v>405</v>
      </c>
      <c r="S7" s="59" t="s">
        <v>290</v>
      </c>
      <c r="T7" s="59" t="s">
        <v>403</v>
      </c>
      <c r="U7" s="58" t="s">
        <v>404</v>
      </c>
      <c r="V7" s="59" t="s">
        <v>405</v>
      </c>
      <c r="W7" s="59" t="s">
        <v>290</v>
      </c>
      <c r="X7" s="59" t="s">
        <v>403</v>
      </c>
      <c r="Y7" s="58" t="s">
        <v>404</v>
      </c>
      <c r="Z7" s="446" t="s">
        <v>405</v>
      </c>
      <c r="AA7" s="59" t="s">
        <v>290</v>
      </c>
      <c r="AB7" s="59" t="s">
        <v>403</v>
      </c>
      <c r="AC7" s="61" t="s">
        <v>404</v>
      </c>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row>
    <row r="8" spans="4:56" x14ac:dyDescent="0.3">
      <c r="D8" s="274" t="s">
        <v>638</v>
      </c>
      <c r="E8" s="1019"/>
      <c r="F8" s="770"/>
      <c r="G8" s="771"/>
      <c r="H8" s="772"/>
      <c r="I8" s="772"/>
      <c r="J8" s="772"/>
      <c r="K8" s="772"/>
      <c r="L8" s="772"/>
      <c r="M8" s="772"/>
      <c r="N8" s="772"/>
      <c r="O8" s="773"/>
      <c r="P8" s="319"/>
      <c r="Q8" s="320"/>
      <c r="R8" s="320"/>
      <c r="S8" s="319"/>
      <c r="T8" s="320"/>
      <c r="U8" s="320"/>
      <c r="V8" s="320"/>
      <c r="W8" s="319"/>
      <c r="X8" s="320"/>
      <c r="Y8" s="320"/>
      <c r="Z8" s="320"/>
      <c r="AA8" s="320"/>
      <c r="AB8" s="320"/>
      <c r="AC8" s="950"/>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row>
    <row r="9" spans="4:56" s="140" customFormat="1" ht="14.5" x14ac:dyDescent="0.35">
      <c r="D9" s="87" t="s">
        <v>672</v>
      </c>
      <c r="E9" s="580"/>
      <c r="F9" s="774">
        <f t="shared" ref="F9:X9" si="0">SUM(F10:F12)</f>
        <v>3273.3999999999996</v>
      </c>
      <c r="G9" s="585">
        <f t="shared" si="0"/>
        <v>3290</v>
      </c>
      <c r="H9" s="585">
        <f t="shared" si="0"/>
        <v>3332.9</v>
      </c>
      <c r="I9" s="585">
        <f t="shared" si="0"/>
        <v>3380.8</v>
      </c>
      <c r="J9" s="585">
        <f t="shared" si="0"/>
        <v>3111.4</v>
      </c>
      <c r="K9" s="585">
        <f t="shared" si="0"/>
        <v>3257.3</v>
      </c>
      <c r="L9" s="585">
        <f t="shared" si="0"/>
        <v>3379.5</v>
      </c>
      <c r="M9" s="585">
        <f t="shared" si="0"/>
        <v>3536</v>
      </c>
      <c r="N9" s="585">
        <f t="shared" si="0"/>
        <v>3648.3</v>
      </c>
      <c r="O9" s="951">
        <f t="shared" si="0"/>
        <v>3739.4999999999995</v>
      </c>
      <c r="P9" s="326">
        <f t="shared" si="0"/>
        <v>3823.82252855863</v>
      </c>
      <c r="Q9" s="326">
        <f t="shared" si="0"/>
        <v>3910.556758267564</v>
      </c>
      <c r="R9" s="326">
        <f t="shared" si="0"/>
        <v>3999.7792623822525</v>
      </c>
      <c r="S9" s="326">
        <f t="shared" si="0"/>
        <v>4091.5691349349081</v>
      </c>
      <c r="T9" s="326">
        <f t="shared" si="0"/>
        <v>4097.0264369090428</v>
      </c>
      <c r="U9" s="326">
        <f t="shared" si="0"/>
        <v>4102.7754026569237</v>
      </c>
      <c r="V9" s="326">
        <f t="shared" si="0"/>
        <v>4108.8180240614884</v>
      </c>
      <c r="W9" s="326">
        <f t="shared" si="0"/>
        <v>4115.1563236452866</v>
      </c>
      <c r="X9" s="326">
        <f t="shared" si="0"/>
        <v>4167.1460361514019</v>
      </c>
      <c r="Y9" s="326">
        <f t="shared" ref="Y9:AC9" si="1">SUM(Y10:Y12)</f>
        <v>4219.9044796830367</v>
      </c>
      <c r="Z9" s="326">
        <f t="shared" si="1"/>
        <v>4273.4440710848967</v>
      </c>
      <c r="AA9" s="326">
        <f t="shared" si="1"/>
        <v>4327.777436302531</v>
      </c>
      <c r="AB9" s="326">
        <f t="shared" si="1"/>
        <v>4349.9506772075001</v>
      </c>
      <c r="AC9" s="952">
        <f t="shared" si="1"/>
        <v>4372.2767723476391</v>
      </c>
      <c r="AD9" s="327"/>
      <c r="AE9" s="327"/>
      <c r="AF9" s="327"/>
      <c r="AG9" s="327"/>
      <c r="AH9" s="327"/>
      <c r="AI9" s="327"/>
      <c r="AJ9" s="327"/>
      <c r="AK9" s="327"/>
      <c r="AL9" s="327"/>
      <c r="AM9" s="327"/>
      <c r="AN9" s="327"/>
      <c r="AO9" s="327"/>
      <c r="AP9" s="327"/>
      <c r="AQ9" s="327"/>
      <c r="AR9" s="327"/>
      <c r="AS9" s="327"/>
      <c r="AT9" s="327"/>
      <c r="AU9" s="327"/>
      <c r="AV9" s="327"/>
      <c r="AW9" s="327"/>
      <c r="AX9" s="327"/>
      <c r="AY9" s="327"/>
      <c r="AZ9" s="327"/>
      <c r="BA9" s="327"/>
      <c r="BB9" s="327"/>
      <c r="BC9" s="327"/>
    </row>
    <row r="10" spans="4:56" x14ac:dyDescent="0.3">
      <c r="D10" s="143" t="s">
        <v>673</v>
      </c>
      <c r="E10" s="259" t="s">
        <v>158</v>
      </c>
      <c r="F10" s="589">
        <f>'Haver Pivoted'!GQ27</f>
        <v>1701.9</v>
      </c>
      <c r="G10" s="586">
        <f>'Haver Pivoted'!GR27</f>
        <v>1707.8</v>
      </c>
      <c r="H10" s="586">
        <f>'Haver Pivoted'!GS27</f>
        <v>1728.6</v>
      </c>
      <c r="I10" s="586">
        <f>'Haver Pivoted'!GT27</f>
        <v>1737.9</v>
      </c>
      <c r="J10" s="586">
        <f>'Haver Pivoted'!GU27</f>
        <v>1581.5</v>
      </c>
      <c r="K10" s="586">
        <f>'Haver Pivoted'!GV27</f>
        <v>1662.2</v>
      </c>
      <c r="L10" s="586">
        <f>'Haver Pivoted'!GW27</f>
        <v>1736.9</v>
      </c>
      <c r="M10" s="586">
        <f>'Haver Pivoted'!GX27</f>
        <v>1851.9</v>
      </c>
      <c r="N10" s="586">
        <f>'Haver Pivoted'!GY27</f>
        <v>1928.3</v>
      </c>
      <c r="O10" s="948">
        <f>'Haver Pivoted'!GZ27</f>
        <v>1994.3</v>
      </c>
      <c r="P10" s="662">
        <f t="shared" ref="P10:S13" si="2">O10*(1+$I29)^0.25</f>
        <v>2061.046260241309</v>
      </c>
      <c r="Q10" s="662">
        <f t="shared" si="2"/>
        <v>2130.0264187206972</v>
      </c>
      <c r="R10" s="662">
        <f t="shared" si="2"/>
        <v>2201.3152406957238</v>
      </c>
      <c r="S10" s="662">
        <f t="shared" si="2"/>
        <v>2274.9899937061218</v>
      </c>
      <c r="T10" s="662">
        <f t="shared" ref="T10:W13" si="3">S10*(1+$J29)^0.25</f>
        <v>2261.689927660299</v>
      </c>
      <c r="U10" s="662">
        <f t="shared" si="3"/>
        <v>2248.4676165748551</v>
      </c>
      <c r="V10" s="662">
        <f t="shared" si="3"/>
        <v>2235.3226058780729</v>
      </c>
      <c r="W10" s="662">
        <f t="shared" si="3"/>
        <v>2222.2544436557559</v>
      </c>
      <c r="X10" s="662">
        <f t="shared" ref="X10:AA13" si="4">W10*(1+$K29)^0.25</f>
        <v>2260.9136692765278</v>
      </c>
      <c r="Y10" s="662">
        <f t="shared" si="4"/>
        <v>2300.2454262223528</v>
      </c>
      <c r="Z10" s="662">
        <f t="shared" si="4"/>
        <v>2340.2614141166955</v>
      </c>
      <c r="AA10" s="662">
        <f t="shared" si="4"/>
        <v>2380.9735361143412</v>
      </c>
      <c r="AB10" s="662">
        <f t="shared" ref="AB10:AC13" si="5">AA10*(1+$L29)^0.25</f>
        <v>2387.7399756793657</v>
      </c>
      <c r="AC10" s="662">
        <f t="shared" si="5"/>
        <v>2394.5256446493763</v>
      </c>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row>
    <row r="11" spans="4:56" x14ac:dyDescent="0.3">
      <c r="D11" s="143" t="s">
        <v>674</v>
      </c>
      <c r="E11" s="96" t="s">
        <v>164</v>
      </c>
      <c r="F11" s="589">
        <f>'Haver Pivoted'!GQ30</f>
        <v>1399.3</v>
      </c>
      <c r="G11" s="586">
        <f>'Haver Pivoted'!GR30</f>
        <v>1406.9</v>
      </c>
      <c r="H11" s="586">
        <f>'Haver Pivoted'!GS30</f>
        <v>1426.4</v>
      </c>
      <c r="I11" s="586">
        <f>'Haver Pivoted'!GT30</f>
        <v>1457.1</v>
      </c>
      <c r="J11" s="586">
        <f>'Haver Pivoted'!GU30</f>
        <v>1391.6</v>
      </c>
      <c r="K11" s="586">
        <f>'Haver Pivoted'!GV30</f>
        <v>1443.8</v>
      </c>
      <c r="L11" s="586">
        <f>'Haver Pivoted'!GW30</f>
        <v>1486</v>
      </c>
      <c r="M11" s="586">
        <f>'Haver Pivoted'!GX30</f>
        <v>1517.9</v>
      </c>
      <c r="N11" s="586">
        <f>'Haver Pivoted'!GY30</f>
        <v>1542.2</v>
      </c>
      <c r="O11" s="948">
        <f>'Haver Pivoted'!GZ30</f>
        <v>1572.1</v>
      </c>
      <c r="P11" s="662">
        <f t="shared" si="2"/>
        <v>1587.5822543753138</v>
      </c>
      <c r="Q11" s="662">
        <f t="shared" si="2"/>
        <v>1603.2169800950346</v>
      </c>
      <c r="R11" s="662">
        <f t="shared" si="2"/>
        <v>1619.0056787176757</v>
      </c>
      <c r="S11" s="662">
        <f t="shared" si="2"/>
        <v>1634.9498665893027</v>
      </c>
      <c r="T11" s="662">
        <f t="shared" si="3"/>
        <v>1653.6501569618829</v>
      </c>
      <c r="U11" s="662">
        <f t="shared" si="3"/>
        <v>1672.5643382109756</v>
      </c>
      <c r="V11" s="662">
        <f t="shared" si="3"/>
        <v>1691.6948567856007</v>
      </c>
      <c r="W11" s="662">
        <f t="shared" si="3"/>
        <v>1711.0441871168639</v>
      </c>
      <c r="X11" s="662">
        <f t="shared" si="4"/>
        <v>1722.4761879000962</v>
      </c>
      <c r="Y11" s="662">
        <f t="shared" si="4"/>
        <v>1733.9845693185523</v>
      </c>
      <c r="Z11" s="662">
        <f t="shared" si="4"/>
        <v>1745.5698416942262</v>
      </c>
      <c r="AA11" s="662">
        <f t="shared" si="4"/>
        <v>1757.2325187587269</v>
      </c>
      <c r="AB11" s="662">
        <f t="shared" si="5"/>
        <v>1772.5538152730035</v>
      </c>
      <c r="AC11" s="662">
        <f t="shared" si="5"/>
        <v>1788.0086980511196</v>
      </c>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row>
    <row r="12" spans="4:56" x14ac:dyDescent="0.3">
      <c r="D12" s="143" t="s">
        <v>675</v>
      </c>
      <c r="E12" s="259" t="s">
        <v>160</v>
      </c>
      <c r="F12" s="589">
        <f>'Haver Pivoted'!GQ28</f>
        <v>172.2</v>
      </c>
      <c r="G12" s="586">
        <f>'Haver Pivoted'!GR28</f>
        <v>175.3</v>
      </c>
      <c r="H12" s="586">
        <f>'Haver Pivoted'!GS28</f>
        <v>177.9</v>
      </c>
      <c r="I12" s="586">
        <f>'Haver Pivoted'!GT28</f>
        <v>185.8</v>
      </c>
      <c r="J12" s="586">
        <f>'Haver Pivoted'!GU28</f>
        <v>138.30000000000001</v>
      </c>
      <c r="K12" s="586">
        <f>'Haver Pivoted'!GV28</f>
        <v>151.30000000000001</v>
      </c>
      <c r="L12" s="586">
        <f>'Haver Pivoted'!GW28</f>
        <v>156.6</v>
      </c>
      <c r="M12" s="586">
        <f>'Haver Pivoted'!GX28</f>
        <v>166.2</v>
      </c>
      <c r="N12" s="586">
        <f>'Haver Pivoted'!GY28</f>
        <v>177.8</v>
      </c>
      <c r="O12" s="948">
        <f>'Haver Pivoted'!GZ28</f>
        <v>173.1</v>
      </c>
      <c r="P12" s="662">
        <f t="shared" si="2"/>
        <v>175.19401394200702</v>
      </c>
      <c r="Q12" s="662">
        <f t="shared" si="2"/>
        <v>177.31335945183218</v>
      </c>
      <c r="R12" s="662">
        <f t="shared" si="2"/>
        <v>179.45834296885263</v>
      </c>
      <c r="S12" s="662">
        <f t="shared" si="2"/>
        <v>181.62927463948378</v>
      </c>
      <c r="T12" s="662">
        <f t="shared" si="3"/>
        <v>181.68635228686102</v>
      </c>
      <c r="U12" s="662">
        <f t="shared" si="3"/>
        <v>181.74344787109251</v>
      </c>
      <c r="V12" s="662">
        <f t="shared" si="3"/>
        <v>181.80056139781499</v>
      </c>
      <c r="W12" s="662">
        <f t="shared" si="3"/>
        <v>181.85769287266695</v>
      </c>
      <c r="X12" s="662">
        <f t="shared" si="4"/>
        <v>183.75617897477773</v>
      </c>
      <c r="Y12" s="662">
        <f t="shared" si="4"/>
        <v>185.67448414213109</v>
      </c>
      <c r="Z12" s="662">
        <f t="shared" si="4"/>
        <v>187.61281527397514</v>
      </c>
      <c r="AA12" s="662">
        <f t="shared" si="4"/>
        <v>189.57138142946303</v>
      </c>
      <c r="AB12" s="662">
        <f t="shared" si="5"/>
        <v>189.65688625513116</v>
      </c>
      <c r="AC12" s="662">
        <f t="shared" si="5"/>
        <v>189.74242964714384</v>
      </c>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row>
    <row r="13" spans="4:56" s="140" customFormat="1" ht="14.5" x14ac:dyDescent="0.35">
      <c r="D13" s="87" t="s">
        <v>676</v>
      </c>
      <c r="E13" s="581" t="s">
        <v>162</v>
      </c>
      <c r="F13" s="775">
        <f>'Haver Pivoted'!GQ29</f>
        <v>218.9</v>
      </c>
      <c r="G13" s="479">
        <f>'Haver Pivoted'!GR29</f>
        <v>206.5</v>
      </c>
      <c r="H13" s="479">
        <f>'Haver Pivoted'!GS29</f>
        <v>231.4</v>
      </c>
      <c r="I13" s="479">
        <f>'Haver Pivoted'!GT29</f>
        <v>166.7</v>
      </c>
      <c r="J13" s="479">
        <f>'Haver Pivoted'!GU29</f>
        <v>167.4</v>
      </c>
      <c r="K13" s="479">
        <f>'Haver Pivoted'!GV29</f>
        <v>211.7</v>
      </c>
      <c r="L13" s="479">
        <f>'Haver Pivoted'!GW29</f>
        <v>225.1</v>
      </c>
      <c r="M13" s="479">
        <f>'Haver Pivoted'!GX29</f>
        <v>246.4</v>
      </c>
      <c r="N13" s="479">
        <f>'Haver Pivoted'!GY29</f>
        <v>275.10000000000002</v>
      </c>
      <c r="O13" s="1014">
        <v>290.01506024096392</v>
      </c>
      <c r="P13" s="662">
        <f t="shared" si="2"/>
        <v>293.86498655095386</v>
      </c>
      <c r="Q13" s="662">
        <f t="shared" si="2"/>
        <v>297.76602031922556</v>
      </c>
      <c r="R13" s="662">
        <f t="shared" si="2"/>
        <v>301.71883999312627</v>
      </c>
      <c r="S13" s="662">
        <f t="shared" si="2"/>
        <v>305.72413302633652</v>
      </c>
      <c r="T13" s="662">
        <f t="shared" si="3"/>
        <v>318.58485068038271</v>
      </c>
      <c r="U13" s="662">
        <f t="shared" si="3"/>
        <v>331.986572595165</v>
      </c>
      <c r="V13" s="662">
        <f t="shared" si="3"/>
        <v>345.95205687936812</v>
      </c>
      <c r="W13" s="662">
        <f t="shared" si="3"/>
        <v>360.50501899367657</v>
      </c>
      <c r="X13" s="662">
        <f t="shared" si="4"/>
        <v>352.31033385925053</v>
      </c>
      <c r="Y13" s="662">
        <f t="shared" si="4"/>
        <v>344.30192314796523</v>
      </c>
      <c r="Z13" s="662">
        <f t="shared" si="4"/>
        <v>336.47555263237354</v>
      </c>
      <c r="AA13" s="662">
        <f t="shared" si="4"/>
        <v>328.82708433378747</v>
      </c>
      <c r="AB13" s="662">
        <f t="shared" si="5"/>
        <v>329.67683813074603</v>
      </c>
      <c r="AC13" s="662">
        <f t="shared" si="5"/>
        <v>330.52878785848361</v>
      </c>
      <c r="AD13" s="327"/>
      <c r="AE13" s="327"/>
      <c r="AF13" s="327"/>
      <c r="AG13" s="327"/>
      <c r="AH13" s="327"/>
      <c r="AI13" s="327"/>
      <c r="AJ13" s="327"/>
      <c r="AK13" s="327"/>
      <c r="AL13" s="327"/>
      <c r="AM13" s="327"/>
      <c r="AN13" s="327"/>
      <c r="AO13" s="327"/>
      <c r="AP13" s="327"/>
      <c r="AQ13" s="327"/>
      <c r="AR13" s="327"/>
      <c r="AS13" s="327"/>
      <c r="AT13" s="327"/>
      <c r="AU13" s="327"/>
      <c r="AV13" s="327"/>
      <c r="AW13" s="327"/>
      <c r="AX13" s="327"/>
      <c r="AY13" s="327"/>
      <c r="AZ13" s="327"/>
      <c r="BA13" s="327"/>
      <c r="BB13" s="327"/>
      <c r="BC13" s="327"/>
    </row>
    <row r="14" spans="4:56" x14ac:dyDescent="0.3">
      <c r="D14" s="274"/>
      <c r="E14" s="1019"/>
      <c r="F14" s="578"/>
      <c r="G14" s="583"/>
      <c r="H14" s="584"/>
      <c r="I14" s="584"/>
      <c r="J14" s="584"/>
      <c r="K14" s="584"/>
      <c r="L14" s="584"/>
      <c r="M14" s="584"/>
      <c r="N14" s="583"/>
      <c r="O14" s="954"/>
      <c r="P14" s="321"/>
      <c r="Q14" s="322"/>
      <c r="R14" s="321"/>
      <c r="S14" s="321"/>
      <c r="T14" s="322"/>
      <c r="U14" s="323"/>
      <c r="V14" s="321"/>
      <c r="W14" s="321"/>
      <c r="X14" s="321"/>
      <c r="Y14" s="321"/>
      <c r="Z14" s="321"/>
      <c r="AA14" s="321"/>
      <c r="AB14" s="321"/>
      <c r="AC14" s="955"/>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row>
    <row r="15" spans="4:56" x14ac:dyDescent="0.3">
      <c r="D15" s="275" t="s">
        <v>649</v>
      </c>
      <c r="E15" s="96"/>
      <c r="F15" s="587"/>
      <c r="G15" s="584"/>
      <c r="H15" s="583"/>
      <c r="I15" s="583"/>
      <c r="J15" s="583"/>
      <c r="K15" s="583"/>
      <c r="L15" s="583"/>
      <c r="M15" s="583"/>
      <c r="N15" s="583"/>
      <c r="O15" s="954"/>
      <c r="P15" s="320"/>
      <c r="Q15" s="320"/>
      <c r="R15" s="320"/>
      <c r="S15" s="320"/>
      <c r="T15" s="320"/>
      <c r="U15" s="320"/>
      <c r="V15" s="320"/>
      <c r="W15" s="320"/>
      <c r="X15" s="320"/>
      <c r="Y15" s="320"/>
      <c r="Z15" s="320"/>
      <c r="AA15" s="320"/>
      <c r="AB15" s="320"/>
      <c r="AC15" s="950"/>
    </row>
    <row r="16" spans="4:56" s="140" customFormat="1" ht="14.5" x14ac:dyDescent="0.35">
      <c r="D16" s="310" t="s">
        <v>672</v>
      </c>
      <c r="E16" s="478"/>
      <c r="F16" s="775">
        <f t="shared" ref="F16:X16" si="6">SUM(F17:F19)</f>
        <v>1890.1</v>
      </c>
      <c r="G16" s="479">
        <f t="shared" si="6"/>
        <v>1889.7999999999997</v>
      </c>
      <c r="H16" s="479">
        <f t="shared" si="6"/>
        <v>1893.3000000000002</v>
      </c>
      <c r="I16" s="479">
        <f t="shared" si="6"/>
        <v>1915.1999999999998</v>
      </c>
      <c r="J16" s="479">
        <f t="shared" si="6"/>
        <v>1858.8000000000002</v>
      </c>
      <c r="K16" s="479">
        <f t="shared" si="6"/>
        <v>1932.2</v>
      </c>
      <c r="L16" s="479">
        <f t="shared" si="6"/>
        <v>1943.7</v>
      </c>
      <c r="M16" s="479">
        <f t="shared" si="6"/>
        <v>1995.3000000000002</v>
      </c>
      <c r="N16" s="479">
        <f t="shared" si="6"/>
        <v>2066.8000000000002</v>
      </c>
      <c r="O16" s="953">
        <f t="shared" si="6"/>
        <v>2105.9</v>
      </c>
      <c r="P16" s="325">
        <f>SUM(P17:P19)</f>
        <v>2120.9227646076561</v>
      </c>
      <c r="Q16" s="325">
        <f t="shared" si="6"/>
        <v>2150.1214626082142</v>
      </c>
      <c r="R16" s="325">
        <f t="shared" si="6"/>
        <v>2178.3025304043881</v>
      </c>
      <c r="S16" s="325">
        <f t="shared" si="6"/>
        <v>2207.6291426343887</v>
      </c>
      <c r="T16" s="325">
        <f t="shared" si="6"/>
        <v>2234.5192049980928</v>
      </c>
      <c r="U16" s="325">
        <f t="shared" si="6"/>
        <v>2258.6479016494136</v>
      </c>
      <c r="V16" s="325">
        <f t="shared" si="6"/>
        <v>2281.4446722707116</v>
      </c>
      <c r="W16" s="325">
        <f t="shared" si="6"/>
        <v>2304.1429547281373</v>
      </c>
      <c r="X16" s="325">
        <f t="shared" si="6"/>
        <v>2325.6941437487076</v>
      </c>
      <c r="Y16" s="325">
        <f t="shared" ref="Y16:AC16" si="7">SUM(Y17:Y19)</f>
        <v>2346.2482634367179</v>
      </c>
      <c r="Z16" s="325">
        <f t="shared" si="7"/>
        <v>2366.7752749938418</v>
      </c>
      <c r="AA16" s="325">
        <f t="shared" si="7"/>
        <v>2388.1951121347661</v>
      </c>
      <c r="AB16" s="325">
        <f t="shared" si="7"/>
        <v>2408.6962876467583</v>
      </c>
      <c r="AC16" s="956">
        <f t="shared" si="7"/>
        <v>2430.550117671296</v>
      </c>
    </row>
    <row r="17" spans="4:40" x14ac:dyDescent="0.3">
      <c r="D17" s="143" t="s">
        <v>677</v>
      </c>
      <c r="E17" s="96" t="s">
        <v>678</v>
      </c>
      <c r="F17" s="589">
        <f>'Haver Pivoted'!GQ33</f>
        <v>520.9</v>
      </c>
      <c r="G17" s="586">
        <f>'Haver Pivoted'!GR33</f>
        <v>497.4</v>
      </c>
      <c r="H17" s="586">
        <f>'Haver Pivoted'!GS33</f>
        <v>494.7</v>
      </c>
      <c r="I17" s="586">
        <f>'Haver Pivoted'!GT33</f>
        <v>503.8</v>
      </c>
      <c r="J17" s="586">
        <f>'Haver Pivoted'!GU33</f>
        <v>517.5</v>
      </c>
      <c r="K17" s="586">
        <f>'Haver Pivoted'!GV33</f>
        <v>519.6</v>
      </c>
      <c r="L17" s="586">
        <f>'Haver Pivoted'!GW33</f>
        <v>522.79999999999995</v>
      </c>
      <c r="M17" s="586">
        <f>'Haver Pivoted'!GX33</f>
        <v>560.20000000000005</v>
      </c>
      <c r="N17" s="586">
        <f>'Haver Pivoted'!GY33</f>
        <v>586.4</v>
      </c>
      <c r="O17" s="948">
        <f>'Haver Pivoted'!GZ33</f>
        <v>597.70000000000005</v>
      </c>
      <c r="P17" s="324">
        <f t="shared" ref="P17:AC17" si="8">P118*P93</f>
        <v>602.47189037156625</v>
      </c>
      <c r="Q17" s="324">
        <f t="shared" si="8"/>
        <v>611.03943129934669</v>
      </c>
      <c r="R17" s="324">
        <f t="shared" si="8"/>
        <v>619.55797177307466</v>
      </c>
      <c r="S17" s="324">
        <f t="shared" si="8"/>
        <v>627.38673662437247</v>
      </c>
      <c r="T17" s="324">
        <f t="shared" si="8"/>
        <v>634.65765015261206</v>
      </c>
      <c r="U17" s="324">
        <f t="shared" si="8"/>
        <v>641.51394445425422</v>
      </c>
      <c r="V17" s="324">
        <f t="shared" si="8"/>
        <v>648.1629291425977</v>
      </c>
      <c r="W17" s="324">
        <f t="shared" si="8"/>
        <v>654.61591201473152</v>
      </c>
      <c r="X17" s="324">
        <f t="shared" si="8"/>
        <v>660.75604583406903</v>
      </c>
      <c r="Y17" s="324">
        <f t="shared" si="8"/>
        <v>666.85471773074698</v>
      </c>
      <c r="Z17" s="324">
        <f t="shared" si="8"/>
        <v>672.61792498045054</v>
      </c>
      <c r="AA17" s="324">
        <f t="shared" si="8"/>
        <v>678.74675100269917</v>
      </c>
      <c r="AB17" s="324">
        <f t="shared" si="8"/>
        <v>684.98488573014163</v>
      </c>
      <c r="AC17" s="957">
        <f t="shared" si="8"/>
        <v>691.51325391620207</v>
      </c>
    </row>
    <row r="18" spans="4:40" x14ac:dyDescent="0.3">
      <c r="D18" s="143" t="s">
        <v>674</v>
      </c>
      <c r="E18" s="96" t="s">
        <v>679</v>
      </c>
      <c r="F18" s="589">
        <f>'Haver Pivoted'!GQ36</f>
        <v>20.5</v>
      </c>
      <c r="G18" s="586">
        <f>'Haver Pivoted'!GR36</f>
        <v>20.3</v>
      </c>
      <c r="H18" s="586">
        <f>'Haver Pivoted'!GS36</f>
        <v>20.2</v>
      </c>
      <c r="I18" s="586">
        <f>'Haver Pivoted'!GT36</f>
        <v>20.100000000000001</v>
      </c>
      <c r="J18" s="586">
        <f>'Haver Pivoted'!GU36</f>
        <v>19.100000000000001</v>
      </c>
      <c r="K18" s="586">
        <f>'Haver Pivoted'!GV36</f>
        <v>19.899999999999999</v>
      </c>
      <c r="L18" s="586">
        <f>'Haver Pivoted'!GW36</f>
        <v>20.5</v>
      </c>
      <c r="M18" s="586">
        <f>'Haver Pivoted'!GX36</f>
        <v>21.2</v>
      </c>
      <c r="N18" s="586">
        <f>'Haver Pivoted'!GY36</f>
        <v>21.9</v>
      </c>
      <c r="O18" s="948">
        <f>'Haver Pivoted'!GZ36</f>
        <v>22.4</v>
      </c>
      <c r="P18" s="324">
        <f t="shared" ref="P18:AC18" si="9">P119*P96</f>
        <v>22.420170996446448</v>
      </c>
      <c r="Q18" s="324">
        <f t="shared" si="9"/>
        <v>22.739002875761301</v>
      </c>
      <c r="R18" s="324">
        <f t="shared" si="9"/>
        <v>23.020963041141783</v>
      </c>
      <c r="S18" s="324">
        <f t="shared" si="9"/>
        <v>23.274727189984215</v>
      </c>
      <c r="T18" s="324">
        <f t="shared" si="9"/>
        <v>23.513308868383085</v>
      </c>
      <c r="U18" s="324">
        <f t="shared" si="9"/>
        <v>23.73453915198931</v>
      </c>
      <c r="V18" s="324">
        <f t="shared" si="9"/>
        <v>23.949262662548293</v>
      </c>
      <c r="W18" s="324">
        <f t="shared" si="9"/>
        <v>24.168324021805436</v>
      </c>
      <c r="X18" s="324">
        <f t="shared" si="9"/>
        <v>24.391723229760739</v>
      </c>
      <c r="Y18" s="324">
        <f t="shared" si="9"/>
        <v>24.600590644577203</v>
      </c>
      <c r="Z18" s="324">
        <f t="shared" si="9"/>
        <v>24.819652003834346</v>
      </c>
      <c r="AA18" s="324">
        <f t="shared" si="9"/>
        <v>25.044135673964192</v>
      </c>
      <c r="AB18" s="324">
        <f t="shared" si="9"/>
        <v>25.265582850005323</v>
      </c>
      <c r="AC18" s="957">
        <f t="shared" si="9"/>
        <v>25.487246918481365</v>
      </c>
    </row>
    <row r="19" spans="4:40" x14ac:dyDescent="0.3">
      <c r="D19" s="143" t="s">
        <v>675</v>
      </c>
      <c r="E19" s="96" t="s">
        <v>680</v>
      </c>
      <c r="F19" s="589">
        <f>'Haver Pivoted'!GQ34</f>
        <v>1348.7</v>
      </c>
      <c r="G19" s="586">
        <f>'Haver Pivoted'!GR34</f>
        <v>1372.1</v>
      </c>
      <c r="H19" s="586">
        <f>'Haver Pivoted'!GS34</f>
        <v>1378.4</v>
      </c>
      <c r="I19" s="586">
        <f>'Haver Pivoted'!GT34</f>
        <v>1391.3</v>
      </c>
      <c r="J19" s="586">
        <f>'Haver Pivoted'!GU34</f>
        <v>1322.2</v>
      </c>
      <c r="K19" s="586">
        <f>'Haver Pivoted'!GV34</f>
        <v>1392.7</v>
      </c>
      <c r="L19" s="586">
        <f>'Haver Pivoted'!GW34</f>
        <v>1400.4</v>
      </c>
      <c r="M19" s="586">
        <f>'Haver Pivoted'!GX34</f>
        <v>1413.9</v>
      </c>
      <c r="N19" s="586">
        <f>'Haver Pivoted'!GY34</f>
        <v>1458.5</v>
      </c>
      <c r="O19" s="948">
        <f>'Haver Pivoted'!GZ34</f>
        <v>1485.8</v>
      </c>
      <c r="P19" s="324">
        <f t="shared" ref="P19:AC19" si="10">P120*P97</f>
        <v>1496.0307032396431</v>
      </c>
      <c r="Q19" s="324">
        <f t="shared" si="10"/>
        <v>1516.3430284331062</v>
      </c>
      <c r="R19" s="324">
        <f t="shared" si="10"/>
        <v>1535.7235955901717</v>
      </c>
      <c r="S19" s="324">
        <f t="shared" si="10"/>
        <v>1556.9676788200322</v>
      </c>
      <c r="T19" s="324">
        <f t="shared" si="10"/>
        <v>1576.3482459770978</v>
      </c>
      <c r="U19" s="324">
        <f t="shared" si="10"/>
        <v>1593.39941804317</v>
      </c>
      <c r="V19" s="324">
        <f t="shared" si="10"/>
        <v>1609.3324804655654</v>
      </c>
      <c r="W19" s="324">
        <f t="shared" si="10"/>
        <v>1625.3587186916004</v>
      </c>
      <c r="X19" s="324">
        <f t="shared" si="10"/>
        <v>1640.5463746848777</v>
      </c>
      <c r="Y19" s="324">
        <f t="shared" si="10"/>
        <v>1654.792955061394</v>
      </c>
      <c r="Z19" s="324">
        <f t="shared" si="10"/>
        <v>1669.337698009557</v>
      </c>
      <c r="AA19" s="324">
        <f t="shared" si="10"/>
        <v>1684.4042254581027</v>
      </c>
      <c r="AB19" s="324">
        <f t="shared" si="10"/>
        <v>1698.4458190666114</v>
      </c>
      <c r="AC19" s="957">
        <f t="shared" si="10"/>
        <v>1713.5496168366128</v>
      </c>
    </row>
    <row r="20" spans="4:40" s="140" customFormat="1" ht="14.5" x14ac:dyDescent="0.35">
      <c r="D20" s="328" t="s">
        <v>676</v>
      </c>
      <c r="E20" s="582" t="s">
        <v>681</v>
      </c>
      <c r="F20" s="776">
        <f>'Haver Pivoted'!GQ35</f>
        <v>72.8</v>
      </c>
      <c r="G20" s="579">
        <f>'Haver Pivoted'!GR35</f>
        <v>73.099999999999994</v>
      </c>
      <c r="H20" s="579">
        <f>'Haver Pivoted'!GS35</f>
        <v>72.400000000000006</v>
      </c>
      <c r="I20" s="579">
        <f>'Haver Pivoted'!GT35</f>
        <v>66.5</v>
      </c>
      <c r="J20" s="579">
        <f>'Haver Pivoted'!GU35</f>
        <v>61.9</v>
      </c>
      <c r="K20" s="579">
        <f>'Haver Pivoted'!GV35</f>
        <v>76.8</v>
      </c>
      <c r="L20" s="579">
        <f>'Haver Pivoted'!GW35</f>
        <v>78.8</v>
      </c>
      <c r="M20" s="579">
        <f>'Haver Pivoted'!GX35</f>
        <v>85.5</v>
      </c>
      <c r="N20" s="579">
        <f>'Haver Pivoted'!GY35</f>
        <v>91.9</v>
      </c>
      <c r="O20" s="1013">
        <v>119.87954743783622</v>
      </c>
      <c r="P20" s="738">
        <f t="shared" ref="P20:AC20" si="11">P121*P98</f>
        <v>136.99869283723859</v>
      </c>
      <c r="Q20" s="738">
        <f t="shared" si="11"/>
        <v>134.49456252615579</v>
      </c>
      <c r="R20" s="738">
        <f t="shared" si="11"/>
        <v>136.81657426915984</v>
      </c>
      <c r="S20" s="738">
        <f t="shared" si="11"/>
        <v>137.45398925743547</v>
      </c>
      <c r="T20" s="738">
        <f t="shared" si="11"/>
        <v>137.36292997339609</v>
      </c>
      <c r="U20" s="738">
        <f t="shared" si="11"/>
        <v>136.67998534310078</v>
      </c>
      <c r="V20" s="738">
        <f t="shared" si="11"/>
        <v>135.49621465058891</v>
      </c>
      <c r="W20" s="738">
        <f t="shared" si="11"/>
        <v>134.76774037827391</v>
      </c>
      <c r="X20" s="738">
        <f t="shared" si="11"/>
        <v>134.76774037827391</v>
      </c>
      <c r="Y20" s="738">
        <f t="shared" si="11"/>
        <v>134.56740995338728</v>
      </c>
      <c r="Z20" s="738">
        <f t="shared" si="11"/>
        <v>135.22758976267275</v>
      </c>
      <c r="AA20" s="738">
        <f t="shared" si="11"/>
        <v>135.78760435951492</v>
      </c>
      <c r="AB20" s="738">
        <f t="shared" si="11"/>
        <v>136.55705530964764</v>
      </c>
      <c r="AC20" s="739">
        <f t="shared" si="11"/>
        <v>136.9258454100071</v>
      </c>
    </row>
    <row r="21" spans="4:40" s="1074" customFormat="1" ht="14.5" x14ac:dyDescent="0.35">
      <c r="D21" s="1070"/>
      <c r="E21" s="1071"/>
      <c r="F21" s="1072"/>
      <c r="G21" s="1072"/>
      <c r="H21" s="1072"/>
      <c r="I21" s="1072"/>
      <c r="J21" s="1072"/>
      <c r="K21" s="1072"/>
      <c r="L21" s="1072"/>
      <c r="M21" s="1072"/>
      <c r="N21" s="1072"/>
      <c r="O21" s="1072"/>
      <c r="P21" s="1073"/>
      <c r="Q21" s="1073"/>
      <c r="R21" s="1073"/>
      <c r="S21" s="1073"/>
      <c r="T21" s="1073"/>
      <c r="U21" s="1073"/>
      <c r="V21" s="1073"/>
      <c r="W21" s="1073"/>
      <c r="X21" s="1073"/>
      <c r="Y21" s="1073"/>
      <c r="Z21" s="1073"/>
      <c r="AA21" s="1073"/>
      <c r="AB21" s="1073"/>
      <c r="AC21" s="1073"/>
    </row>
    <row r="22" spans="4:40" s="1074" customFormat="1" ht="14.5" x14ac:dyDescent="0.35">
      <c r="D22" s="1070"/>
      <c r="E22" s="1071"/>
      <c r="F22" s="1072"/>
      <c r="G22" s="1072"/>
      <c r="H22" s="1072"/>
      <c r="I22" s="1072"/>
      <c r="J22" s="1072"/>
      <c r="K22" s="1072"/>
      <c r="L22" s="1072"/>
      <c r="M22" s="1072"/>
      <c r="N22" s="1072"/>
      <c r="O22" s="1072"/>
      <c r="P22" s="1073"/>
      <c r="Q22" s="1073"/>
      <c r="R22" s="1073"/>
      <c r="S22" s="1073"/>
      <c r="T22" s="1073"/>
      <c r="U22" s="1073"/>
      <c r="V22" s="1073"/>
      <c r="W22" s="1073"/>
      <c r="X22" s="1073"/>
      <c r="Y22" s="1073"/>
      <c r="Z22" s="1073"/>
      <c r="AA22" s="1073"/>
      <c r="AB22" s="1073"/>
      <c r="AC22" s="1073"/>
    </row>
    <row r="23" spans="4:40" s="140" customFormat="1" ht="14.5" customHeight="1" x14ac:dyDescent="0.35">
      <c r="D23" s="1251" t="s">
        <v>1301</v>
      </c>
      <c r="E23" s="1242" t="s">
        <v>1304</v>
      </c>
      <c r="F23" s="1243"/>
      <c r="G23" s="1243"/>
      <c r="H23" s="1243"/>
      <c r="I23" s="1243"/>
      <c r="J23" s="1243"/>
      <c r="K23" s="1243"/>
      <c r="L23" s="1244"/>
      <c r="M23" s="1239" t="s">
        <v>1305</v>
      </c>
      <c r="N23" s="1240"/>
      <c r="O23" s="1240"/>
      <c r="P23" s="1240"/>
      <c r="Q23" s="1241"/>
      <c r="R23" s="1101"/>
      <c r="S23" s="479"/>
      <c r="T23" s="479"/>
      <c r="U23" s="479"/>
      <c r="V23" s="479"/>
      <c r="W23" s="479"/>
      <c r="X23" s="479"/>
      <c r="Y23" s="479"/>
    </row>
    <row r="24" spans="4:40" ht="14.5" x14ac:dyDescent="0.35">
      <c r="D24" s="1252"/>
      <c r="E24" s="1102"/>
      <c r="F24" s="1103"/>
      <c r="G24" s="1104">
        <v>2020</v>
      </c>
      <c r="H24" s="1105">
        <v>2021</v>
      </c>
      <c r="I24" s="1105">
        <v>2022</v>
      </c>
      <c r="J24" s="1105">
        <v>2023</v>
      </c>
      <c r="K24" s="1105">
        <v>2024</v>
      </c>
      <c r="L24" s="1105">
        <v>2025</v>
      </c>
      <c r="M24" s="1098">
        <v>2021</v>
      </c>
      <c r="N24" s="1099">
        <v>2022</v>
      </c>
      <c r="O24" s="1099">
        <v>2023</v>
      </c>
      <c r="P24" s="1099">
        <v>2024</v>
      </c>
      <c r="Q24" s="1100">
        <v>2025</v>
      </c>
      <c r="R24" s="1077"/>
      <c r="AD24" s="311"/>
      <c r="AE24" s="311"/>
      <c r="AF24" s="311"/>
      <c r="AG24" s="311"/>
      <c r="AH24" s="311"/>
      <c r="AI24" s="311"/>
      <c r="AJ24" s="311"/>
      <c r="AK24" s="311"/>
      <c r="AL24"/>
      <c r="AM24" s="311"/>
      <c r="AN24" s="311"/>
    </row>
    <row r="25" spans="4:40" ht="14.5" x14ac:dyDescent="0.35">
      <c r="D25" s="734" t="s">
        <v>683</v>
      </c>
      <c r="E25" s="1247" t="s">
        <v>1303</v>
      </c>
      <c r="F25" s="1248"/>
      <c r="G25" s="1080">
        <f>AVERAGE(H10:K10)</f>
        <v>1677.55</v>
      </c>
      <c r="H25" s="1083">
        <v>1877.8879999999999</v>
      </c>
      <c r="I25" s="1083">
        <v>2166.6060000000002</v>
      </c>
      <c r="J25" s="1083">
        <v>2242.0459999999998</v>
      </c>
      <c r="K25" s="1083">
        <v>2321.4650000000001</v>
      </c>
      <c r="L25" s="1050">
        <v>2347.9670000000001</v>
      </c>
      <c r="M25" s="1094">
        <f>AVERAGE(L10:O10)</f>
        <v>1877.8500000000001</v>
      </c>
      <c r="N25" s="1075">
        <f>AVERAGE(P10:S10)</f>
        <v>2166.8444783409627</v>
      </c>
      <c r="O25" s="1075">
        <f>AVERAGE(T10:W10)</f>
        <v>2241.9336484422456</v>
      </c>
      <c r="P25" s="1075">
        <f t="shared" ref="P25:Q28" si="12">AVERAGE(X10:AA10)</f>
        <v>2320.5985114324794</v>
      </c>
      <c r="Q25" s="1085">
        <f t="shared" si="12"/>
        <v>2352.3050880331889</v>
      </c>
      <c r="R25" s="1078"/>
      <c r="T25" s="1032"/>
      <c r="AD25" s="311"/>
      <c r="AE25" s="311"/>
      <c r="AF25" s="311"/>
      <c r="AG25" s="311"/>
      <c r="AH25" s="311"/>
      <c r="AI25" s="311"/>
      <c r="AJ25" s="311"/>
      <c r="AK25" s="311"/>
      <c r="AL25"/>
      <c r="AM25" s="311"/>
      <c r="AN25" s="311"/>
    </row>
    <row r="26" spans="4:40" ht="14.5" x14ac:dyDescent="0.35">
      <c r="D26" s="734" t="s">
        <v>691</v>
      </c>
      <c r="E26" s="1247"/>
      <c r="F26" s="1248"/>
      <c r="G26" s="1080">
        <f>AVERAGE(H11:K11)</f>
        <v>1429.7250000000001</v>
      </c>
      <c r="H26" s="1083">
        <v>1529.57</v>
      </c>
      <c r="I26" s="1083">
        <v>1610.604</v>
      </c>
      <c r="J26" s="1083">
        <v>1682.3440000000001</v>
      </c>
      <c r="K26" s="1083">
        <v>1739.5340000000001</v>
      </c>
      <c r="L26" s="1048">
        <v>1801</v>
      </c>
      <c r="M26" s="1094">
        <f>AVERAGE(L11:O11)</f>
        <v>1529.5500000000002</v>
      </c>
      <c r="N26" s="1075">
        <f>AVERAGE(P11:S11)</f>
        <v>1611.1886949443317</v>
      </c>
      <c r="O26" s="1075">
        <f>AVERAGE(T11:W11)</f>
        <v>1682.2383847688309</v>
      </c>
      <c r="P26" s="1075">
        <f t="shared" si="12"/>
        <v>1739.8157794179003</v>
      </c>
      <c r="Q26" s="1085">
        <f t="shared" si="12"/>
        <v>1752.3351862611271</v>
      </c>
      <c r="R26" s="1078"/>
      <c r="AD26" s="311"/>
      <c r="AE26" s="311"/>
      <c r="AF26" s="311"/>
      <c r="AG26" s="311"/>
      <c r="AH26" s="311"/>
      <c r="AI26" s="311"/>
      <c r="AJ26" s="311"/>
      <c r="AK26" s="311"/>
      <c r="AL26"/>
      <c r="AM26" s="311"/>
      <c r="AN26" s="311"/>
    </row>
    <row r="27" spans="4:40" ht="14.5" x14ac:dyDescent="0.35">
      <c r="D27" s="734" t="s">
        <v>148</v>
      </c>
      <c r="E27" s="1247"/>
      <c r="F27" s="1248"/>
      <c r="G27" s="1080">
        <f>AVERAGE(H12:K12)</f>
        <v>163.32500000000002</v>
      </c>
      <c r="H27" s="1083">
        <v>168.43899999999999</v>
      </c>
      <c r="I27" s="1083">
        <v>178.423</v>
      </c>
      <c r="J27" s="1083">
        <v>181.85900000000001</v>
      </c>
      <c r="K27" s="1083">
        <v>186.66300000000001</v>
      </c>
      <c r="L27" s="1050">
        <v>187</v>
      </c>
      <c r="M27" s="1094">
        <f>AVERAGE(L12:O12)</f>
        <v>168.42499999999998</v>
      </c>
      <c r="N27" s="1075">
        <f>AVERAGE(P12:S12)</f>
        <v>178.39874775054392</v>
      </c>
      <c r="O27" s="1075">
        <f>AVERAGE(T12:W12)</f>
        <v>181.77201360710885</v>
      </c>
      <c r="P27" s="1075">
        <f t="shared" si="12"/>
        <v>186.65371495508674</v>
      </c>
      <c r="Q27" s="1085">
        <f t="shared" si="12"/>
        <v>188.12889177517513</v>
      </c>
      <c r="R27" s="1078"/>
      <c r="AD27" s="311"/>
      <c r="AE27" s="311"/>
      <c r="AF27" s="311"/>
      <c r="AG27" s="311"/>
      <c r="AH27" s="311"/>
      <c r="AI27" s="311"/>
      <c r="AJ27" s="311"/>
      <c r="AK27" s="311"/>
      <c r="AL27"/>
      <c r="AM27" s="311"/>
      <c r="AN27" s="311"/>
    </row>
    <row r="28" spans="4:40" ht="14.5" x14ac:dyDescent="0.35">
      <c r="D28" s="1082" t="s">
        <v>379</v>
      </c>
      <c r="E28" s="1247"/>
      <c r="F28" s="1248"/>
      <c r="G28" s="1080">
        <f>AVERAGE(H13:K13)</f>
        <v>194.3</v>
      </c>
      <c r="H28" s="1083">
        <v>259.06299999999999</v>
      </c>
      <c r="I28" s="1083">
        <v>299.779</v>
      </c>
      <c r="J28" s="1083">
        <v>339.40499999999997</v>
      </c>
      <c r="K28" s="1083">
        <v>340.46699999999998</v>
      </c>
      <c r="L28" s="1084">
        <v>344</v>
      </c>
      <c r="M28" s="1094">
        <f>AVERAGE(L13:O13)</f>
        <v>259.15376506024097</v>
      </c>
      <c r="N28" s="1075">
        <f>AVERAGE(P13:S13)</f>
        <v>299.76849497241051</v>
      </c>
      <c r="O28" s="1075">
        <f>AVERAGE(T13:W13)</f>
        <v>339.25712478714809</v>
      </c>
      <c r="P28" s="1075">
        <f t="shared" si="12"/>
        <v>340.47872349334421</v>
      </c>
      <c r="Q28" s="1085">
        <f t="shared" si="12"/>
        <v>334.82034956121811</v>
      </c>
      <c r="R28" s="1078"/>
      <c r="AD28" s="311"/>
      <c r="AE28" s="311"/>
      <c r="AF28" s="311"/>
      <c r="AG28" s="311"/>
      <c r="AH28" s="311"/>
      <c r="AI28" s="311"/>
      <c r="AJ28" s="311"/>
      <c r="AK28" s="311"/>
      <c r="AL28"/>
      <c r="AM28" s="311"/>
      <c r="AN28" s="311"/>
    </row>
    <row r="29" spans="4:40" ht="14.5" x14ac:dyDescent="0.35">
      <c r="D29" s="734" t="s">
        <v>683</v>
      </c>
      <c r="E29" s="1245" t="s">
        <v>1302</v>
      </c>
      <c r="F29" s="1246"/>
      <c r="G29" s="1246"/>
      <c r="H29" s="1091">
        <f>H25/G25-1+0.021</f>
        <v>0.140422968018837</v>
      </c>
      <c r="I29" s="1091">
        <f>I25/H25-1.013</f>
        <v>0.14074612330447844</v>
      </c>
      <c r="J29" s="1091">
        <f>J25/I25-1.058</f>
        <v>-2.3180563517317232E-2</v>
      </c>
      <c r="K29" s="1091">
        <f>K25/J25-1+0.036</f>
        <v>7.1422556004649501E-2</v>
      </c>
      <c r="L29" s="1091">
        <f>L25/K25-1</f>
        <v>1.1416067009409891E-2</v>
      </c>
      <c r="M29" s="1095">
        <f t="shared" ref="M29:P32" si="13">M25/H25</f>
        <v>0.99997976450139747</v>
      </c>
      <c r="N29" s="1092">
        <f t="shared" si="13"/>
        <v>1.0001100700085583</v>
      </c>
      <c r="O29" s="1092">
        <f t="shared" si="13"/>
        <v>0.99994988882576263</v>
      </c>
      <c r="P29" s="1092">
        <f t="shared" si="13"/>
        <v>0.99962674924346451</v>
      </c>
      <c r="Q29" s="1093"/>
      <c r="R29" s="1079"/>
      <c r="AD29" s="311"/>
      <c r="AE29" s="311"/>
      <c r="AF29" s="311"/>
      <c r="AG29" s="311"/>
      <c r="AH29" s="311"/>
      <c r="AI29" s="311"/>
      <c r="AJ29" s="311"/>
      <c r="AK29" s="311"/>
      <c r="AL29"/>
      <c r="AM29" s="311"/>
      <c r="AN29" s="311"/>
    </row>
    <row r="30" spans="4:40" ht="14.5" x14ac:dyDescent="0.35">
      <c r="D30" s="734" t="s">
        <v>691</v>
      </c>
      <c r="E30" s="1247"/>
      <c r="F30" s="1248"/>
      <c r="G30" s="1248"/>
      <c r="H30" s="1086">
        <f>H26/G26-1.03</f>
        <v>3.9835108150168663E-2</v>
      </c>
      <c r="I30" s="1086">
        <f>I26/H26-1.013</f>
        <v>3.9978288015586338E-2</v>
      </c>
      <c r="J30" s="1086">
        <f>J26/I26-1+0.002</f>
        <v>4.6542295933699407E-2</v>
      </c>
      <c r="K30" s="1086">
        <f>K26/J26-1.007</f>
        <v>2.6994236612726263E-2</v>
      </c>
      <c r="L30" s="1086">
        <f>L26/K26-1</f>
        <v>3.5334750571129891E-2</v>
      </c>
      <c r="M30" s="1096">
        <f t="shared" si="13"/>
        <v>0.99998692442974191</v>
      </c>
      <c r="N30" s="1076">
        <f t="shared" si="13"/>
        <v>1.0003630283696872</v>
      </c>
      <c r="O30" s="1076">
        <f t="shared" si="13"/>
        <v>0.99993722138208996</v>
      </c>
      <c r="P30" s="1076">
        <f t="shared" si="13"/>
        <v>1.0001619855765396</v>
      </c>
      <c r="Q30" s="1087"/>
      <c r="R30" s="1079"/>
      <c r="AD30" s="311"/>
      <c r="AE30" s="311"/>
      <c r="AF30" s="311"/>
      <c r="AG30" s="311"/>
      <c r="AH30" s="311"/>
      <c r="AI30" s="311"/>
      <c r="AJ30" s="311"/>
      <c r="AK30" s="311"/>
      <c r="AL30"/>
      <c r="AM30" s="311"/>
      <c r="AN30" s="311"/>
    </row>
    <row r="31" spans="4:40" ht="14.5" x14ac:dyDescent="0.35">
      <c r="D31" s="734" t="s">
        <v>148</v>
      </c>
      <c r="E31" s="1247"/>
      <c r="F31" s="1248"/>
      <c r="G31" s="1248"/>
      <c r="H31" s="1086">
        <f>H27/G27-1</f>
        <v>3.1311801622531554E-2</v>
      </c>
      <c r="I31" s="1086">
        <f>I27/H27-1.01</f>
        <v>4.9273683648086264E-2</v>
      </c>
      <c r="J31" s="1086">
        <f>J27/I27-1.018</f>
        <v>1.2576069228742437E-3</v>
      </c>
      <c r="K31" s="1086">
        <f>K27/J27-1+0.016</f>
        <v>4.2416069592376524E-2</v>
      </c>
      <c r="L31" s="1086">
        <f>L27/K27-1</f>
        <v>1.8053926059260483E-3</v>
      </c>
      <c r="M31" s="1096">
        <f t="shared" si="13"/>
        <v>0.9999168838570639</v>
      </c>
      <c r="N31" s="1076">
        <f t="shared" si="13"/>
        <v>0.99986407442170522</v>
      </c>
      <c r="O31" s="1076">
        <f t="shared" si="13"/>
        <v>0.99952168222143989</v>
      </c>
      <c r="P31" s="1076">
        <f t="shared" si="13"/>
        <v>0.99995025771088397</v>
      </c>
      <c r="Q31" s="1087"/>
      <c r="R31" s="1079"/>
      <c r="AD31" s="311"/>
      <c r="AE31" s="311"/>
      <c r="AF31" s="311"/>
      <c r="AG31" s="311"/>
      <c r="AH31" s="311"/>
      <c r="AI31" s="311"/>
      <c r="AJ31" s="311"/>
      <c r="AK31" s="311"/>
      <c r="AL31"/>
      <c r="AM31" s="311"/>
      <c r="AN31" s="311"/>
    </row>
    <row r="32" spans="4:40" ht="14.5" x14ac:dyDescent="0.35">
      <c r="D32" s="1082" t="s">
        <v>379</v>
      </c>
      <c r="E32" s="1249"/>
      <c r="F32" s="1250"/>
      <c r="G32" s="1250"/>
      <c r="H32" s="1088">
        <f>H28/G28-1</f>
        <v>0.33331446217189908</v>
      </c>
      <c r="I32" s="1088">
        <f>I28/H28-1.103</f>
        <v>5.4166403538907559E-2</v>
      </c>
      <c r="J32" s="1088">
        <f>J28/I28-1+0.047</f>
        <v>0.17918404224445333</v>
      </c>
      <c r="K32" s="1088">
        <f>K28/J28-1.091</f>
        <v>-8.7870994829186255E-2</v>
      </c>
      <c r="L32" s="1088">
        <f>L28/K28-1</f>
        <v>1.0376923461010934E-2</v>
      </c>
      <c r="M32" s="1097">
        <f t="shared" si="13"/>
        <v>1.0003503590255689</v>
      </c>
      <c r="N32" s="1089">
        <f t="shared" si="13"/>
        <v>0.99996495742667268</v>
      </c>
      <c r="O32" s="1089">
        <f t="shared" si="13"/>
        <v>0.9995643104466585</v>
      </c>
      <c r="P32" s="1089">
        <f t="shared" si="13"/>
        <v>1.0000344335672597</v>
      </c>
      <c r="Q32" s="1090"/>
      <c r="R32" s="1079"/>
      <c r="AD32" s="311"/>
      <c r="AE32" s="311"/>
      <c r="AF32" s="311"/>
      <c r="AG32" s="311"/>
      <c r="AH32" s="311"/>
      <c r="AI32" s="311"/>
      <c r="AJ32" s="311"/>
      <c r="AK32" s="311"/>
      <c r="AL32"/>
      <c r="AM32" s="311"/>
      <c r="AN32" s="311"/>
    </row>
    <row r="33" spans="4:40" ht="14.5" x14ac:dyDescent="0.35">
      <c r="D33" s="339"/>
      <c r="E33"/>
      <c r="F33" s="360"/>
      <c r="G33" s="360"/>
      <c r="H33" s="1031"/>
      <c r="I33" s="1031"/>
      <c r="J33" s="1031"/>
      <c r="K33" s="1031"/>
      <c r="L33" s="311"/>
      <c r="M33" s="39"/>
      <c r="N33" s="39"/>
      <c r="AD33" s="311"/>
      <c r="AE33" s="311"/>
      <c r="AF33" s="311"/>
      <c r="AG33" s="311"/>
      <c r="AH33" s="311"/>
      <c r="AI33" s="311"/>
      <c r="AJ33" s="311"/>
      <c r="AK33" s="311"/>
      <c r="AL33"/>
      <c r="AM33" s="311"/>
      <c r="AN33" s="311"/>
    </row>
    <row r="34" spans="4:40" ht="30.65" customHeight="1" x14ac:dyDescent="0.3">
      <c r="D34" s="958" t="s">
        <v>682</v>
      </c>
      <c r="E34" s="678">
        <v>2018</v>
      </c>
      <c r="F34" s="724">
        <v>2019</v>
      </c>
      <c r="G34" s="724">
        <v>2020</v>
      </c>
      <c r="H34" s="959">
        <v>2021</v>
      </c>
      <c r="I34" s="960">
        <v>2022</v>
      </c>
      <c r="J34" s="960">
        <v>2023</v>
      </c>
      <c r="K34" s="960">
        <v>2024</v>
      </c>
      <c r="L34" s="632">
        <v>2025</v>
      </c>
      <c r="N34" s="663"/>
      <c r="O34" s="172"/>
    </row>
    <row r="35" spans="4:40" s="52" customFormat="1" ht="16.5" customHeight="1" x14ac:dyDescent="0.3">
      <c r="D35" s="710" t="s">
        <v>683</v>
      </c>
      <c r="E35" s="701">
        <v>1683.5</v>
      </c>
      <c r="F35" s="702">
        <v>1717.9</v>
      </c>
      <c r="G35" s="708">
        <v>1609</v>
      </c>
      <c r="H35" s="703">
        <v>1951.672</v>
      </c>
      <c r="I35" s="703">
        <v>2327.7150000000001</v>
      </c>
      <c r="J35" s="703">
        <v>2333.6329999999998</v>
      </c>
      <c r="K35" s="703">
        <v>2353.3359999999998</v>
      </c>
      <c r="L35" s="704">
        <v>2383.1750000000002</v>
      </c>
      <c r="M35" s="733" t="s">
        <v>684</v>
      </c>
      <c r="N35" s="541"/>
      <c r="O35" s="276"/>
      <c r="P35" s="538"/>
      <c r="Q35" s="538"/>
      <c r="R35" s="538"/>
      <c r="S35" s="538"/>
      <c r="T35" s="538"/>
      <c r="U35" s="538"/>
      <c r="V35" s="538"/>
      <c r="W35" s="538"/>
      <c r="X35" s="514"/>
      <c r="Y35" s="514"/>
      <c r="Z35" s="539"/>
    </row>
    <row r="36" spans="4:40" s="52" customFormat="1" ht="16.5" customHeight="1" x14ac:dyDescent="0.3">
      <c r="D36" s="710" t="s">
        <v>685</v>
      </c>
      <c r="E36" s="705">
        <v>1170.7</v>
      </c>
      <c r="F36" s="515">
        <v>1243.4000000000001</v>
      </c>
      <c r="G36" s="961">
        <v>1310</v>
      </c>
      <c r="H36" s="349">
        <v>1345.5429999999999</v>
      </c>
      <c r="I36" s="349">
        <v>1391.2439999999999</v>
      </c>
      <c r="J36" s="349">
        <v>1503.952</v>
      </c>
      <c r="K36" s="349">
        <v>1549.5619999999999</v>
      </c>
      <c r="L36" s="350">
        <v>1588.4880000000001</v>
      </c>
      <c r="M36" s="514"/>
      <c r="N36" s="514"/>
      <c r="O36" s="276"/>
      <c r="P36" s="538"/>
      <c r="Q36" s="538"/>
      <c r="R36" s="538"/>
      <c r="S36" s="538"/>
      <c r="T36" s="538"/>
      <c r="U36" s="538"/>
      <c r="V36" s="538"/>
      <c r="W36" s="538"/>
      <c r="X36" s="514"/>
      <c r="Y36" s="514"/>
      <c r="Z36" s="539"/>
    </row>
    <row r="37" spans="4:40" s="52" customFormat="1" x14ac:dyDescent="0.3">
      <c r="D37" s="41" t="s">
        <v>686</v>
      </c>
      <c r="E37" s="495">
        <f>E38+E39</f>
        <v>136.30000000000001</v>
      </c>
      <c r="F37" s="295">
        <f t="shared" ref="F37:G37" si="14">F38+F39</f>
        <v>170.6</v>
      </c>
      <c r="G37" s="916">
        <f t="shared" si="14"/>
        <v>156</v>
      </c>
      <c r="H37" s="349">
        <f>H38+H39</f>
        <v>156</v>
      </c>
      <c r="I37" s="349">
        <f>I38+I39</f>
        <v>174</v>
      </c>
      <c r="J37" s="349">
        <f>J38+J39</f>
        <v>177</v>
      </c>
      <c r="K37" s="349">
        <f>K38+K39</f>
        <v>181</v>
      </c>
      <c r="L37" s="350">
        <f>L38+L39</f>
        <v>181</v>
      </c>
      <c r="N37" s="1018"/>
      <c r="P37" s="542"/>
      <c r="Q37" s="542"/>
      <c r="R37" s="542"/>
      <c r="S37" s="542"/>
      <c r="T37" s="542"/>
      <c r="U37" s="542"/>
      <c r="V37" s="542"/>
      <c r="W37" s="542"/>
    </row>
    <row r="38" spans="4:40" s="52" customFormat="1" ht="16.5" customHeight="1" x14ac:dyDescent="0.3">
      <c r="D38" s="143" t="s">
        <v>687</v>
      </c>
      <c r="E38" s="705">
        <v>95</v>
      </c>
      <c r="F38" s="515">
        <v>99.8</v>
      </c>
      <c r="G38" s="961">
        <v>87</v>
      </c>
      <c r="H38" s="698">
        <v>75</v>
      </c>
      <c r="I38" s="698">
        <v>86</v>
      </c>
      <c r="J38" s="698">
        <v>88</v>
      </c>
      <c r="K38" s="698">
        <v>91</v>
      </c>
      <c r="L38" s="962">
        <v>91</v>
      </c>
      <c r="M38" s="514"/>
      <c r="N38" s="514"/>
      <c r="O38" s="540"/>
      <c r="P38" s="538"/>
      <c r="Q38" s="538"/>
      <c r="R38" s="538"/>
      <c r="S38" s="538"/>
      <c r="T38" s="538"/>
      <c r="U38" s="538"/>
      <c r="V38" s="538"/>
      <c r="W38" s="538"/>
      <c r="X38" s="514"/>
      <c r="Y38" s="514"/>
      <c r="Z38" s="539"/>
    </row>
    <row r="39" spans="4:40" s="52" customFormat="1" ht="16.5" customHeight="1" x14ac:dyDescent="0.3">
      <c r="D39" s="143" t="s">
        <v>688</v>
      </c>
      <c r="E39" s="705">
        <v>41.3</v>
      </c>
      <c r="F39" s="515">
        <v>70.8</v>
      </c>
      <c r="G39" s="961">
        <v>69</v>
      </c>
      <c r="H39" s="698">
        <v>81</v>
      </c>
      <c r="I39" s="698">
        <v>88</v>
      </c>
      <c r="J39" s="698">
        <v>89</v>
      </c>
      <c r="K39" s="698">
        <v>90</v>
      </c>
      <c r="L39" s="962">
        <v>90</v>
      </c>
      <c r="M39" s="514"/>
      <c r="N39" s="514"/>
      <c r="O39" s="540"/>
      <c r="P39" s="538"/>
      <c r="Q39" s="538"/>
      <c r="R39" s="538"/>
      <c r="S39" s="538"/>
      <c r="T39" s="538"/>
      <c r="U39" s="538"/>
      <c r="V39" s="538"/>
      <c r="W39" s="538"/>
      <c r="X39" s="514"/>
      <c r="Y39" s="514"/>
      <c r="Z39" s="539"/>
    </row>
    <row r="40" spans="4:40" ht="16.5" customHeight="1" x14ac:dyDescent="0.3">
      <c r="D40" s="711" t="s">
        <v>149</v>
      </c>
      <c r="E40" s="706">
        <v>204.7</v>
      </c>
      <c r="F40" s="707">
        <v>230.2</v>
      </c>
      <c r="G40" s="709">
        <v>212</v>
      </c>
      <c r="H40" s="699">
        <v>238.38800000000001</v>
      </c>
      <c r="I40" s="699">
        <v>316.697</v>
      </c>
      <c r="J40" s="699">
        <v>379.19200000000001</v>
      </c>
      <c r="K40" s="699">
        <v>389.55099999999999</v>
      </c>
      <c r="L40" s="700">
        <v>402.43099999999998</v>
      </c>
      <c r="M40" s="312"/>
      <c r="N40" s="312"/>
      <c r="O40" s="208"/>
      <c r="P40" s="515"/>
      <c r="Q40" s="515"/>
      <c r="R40" s="515"/>
      <c r="S40" s="515"/>
      <c r="T40" s="515"/>
      <c r="U40" s="515"/>
      <c r="V40" s="515"/>
      <c r="W40" s="515"/>
      <c r="X40" s="312"/>
      <c r="Y40" s="312"/>
      <c r="Z40" s="277"/>
    </row>
    <row r="41" spans="4:40" ht="16.5" customHeight="1" x14ac:dyDescent="0.3">
      <c r="D41" s="276"/>
      <c r="E41" s="314"/>
      <c r="F41" s="314"/>
      <c r="G41" s="312"/>
      <c r="H41" s="312"/>
      <c r="I41" s="312"/>
      <c r="J41" s="312"/>
      <c r="K41" s="312"/>
      <c r="L41" s="312"/>
      <c r="M41" s="312"/>
      <c r="N41" s="312"/>
      <c r="O41" s="312"/>
      <c r="P41" s="312"/>
      <c r="Q41" s="312"/>
      <c r="R41" s="312"/>
      <c r="S41" s="312"/>
      <c r="T41" s="312"/>
      <c r="U41" s="312"/>
      <c r="V41" s="312"/>
      <c r="W41" s="312"/>
      <c r="X41" s="312"/>
      <c r="Y41" s="312"/>
      <c r="Z41" s="277"/>
    </row>
    <row r="42" spans="4:40" x14ac:dyDescent="0.3">
      <c r="D42" s="338" t="s">
        <v>1301</v>
      </c>
      <c r="E42" s="678">
        <v>2018</v>
      </c>
      <c r="F42" s="679">
        <v>2019</v>
      </c>
      <c r="G42" s="680">
        <v>2020</v>
      </c>
      <c r="H42" s="681">
        <v>2021</v>
      </c>
      <c r="I42" s="681">
        <v>2022</v>
      </c>
      <c r="J42" s="681">
        <v>2023</v>
      </c>
      <c r="K42" s="681">
        <v>2024</v>
      </c>
      <c r="L42" s="682">
        <v>2025</v>
      </c>
      <c r="O42" s="34" t="s">
        <v>690</v>
      </c>
    </row>
    <row r="43" spans="4:40" ht="14.5" customHeight="1" x14ac:dyDescent="0.3">
      <c r="D43" s="361" t="s">
        <v>683</v>
      </c>
      <c r="E43" s="1017">
        <v>1622</v>
      </c>
      <c r="F43" s="1017">
        <v>1687</v>
      </c>
      <c r="G43" s="313">
        <v>1695</v>
      </c>
      <c r="H43" s="1081">
        <v>1877.8879999999999</v>
      </c>
      <c r="I43" s="1081">
        <v>2166.6060000000002</v>
      </c>
      <c r="J43" s="1081">
        <v>2242.0459999999998</v>
      </c>
      <c r="K43" s="1081">
        <v>2321.4650000000001</v>
      </c>
      <c r="L43" s="685"/>
    </row>
    <row r="44" spans="4:40" x14ac:dyDescent="0.3">
      <c r="D44" s="361" t="s">
        <v>691</v>
      </c>
      <c r="E44" s="1017">
        <v>1332</v>
      </c>
      <c r="F44" s="1017">
        <v>1388</v>
      </c>
      <c r="G44" s="313">
        <v>1414</v>
      </c>
      <c r="H44" s="1081">
        <v>1529.57</v>
      </c>
      <c r="I44" s="1081">
        <v>1610.604</v>
      </c>
      <c r="J44" s="1081">
        <v>1682.3440000000001</v>
      </c>
      <c r="K44" s="1081">
        <v>1739.5340000000001</v>
      </c>
      <c r="L44" s="963"/>
      <c r="N44" s="376"/>
      <c r="O44" s="1278"/>
      <c r="P44" s="1279"/>
      <c r="Q44" s="1279"/>
      <c r="R44" s="1280"/>
    </row>
    <row r="45" spans="4:40" x14ac:dyDescent="0.3">
      <c r="D45" s="361" t="s">
        <v>148</v>
      </c>
      <c r="E45" s="1017">
        <v>150</v>
      </c>
      <c r="F45" s="1017">
        <v>175</v>
      </c>
      <c r="G45" s="273">
        <v>160</v>
      </c>
      <c r="H45" s="1081">
        <v>168.43899999999999</v>
      </c>
      <c r="I45" s="1081">
        <v>178.423</v>
      </c>
      <c r="J45" s="1081">
        <v>181.85900000000001</v>
      </c>
      <c r="K45" s="1081">
        <v>186.66300000000001</v>
      </c>
      <c r="L45" s="963"/>
      <c r="N45" s="376"/>
      <c r="O45" s="1278" t="s">
        <v>692</v>
      </c>
      <c r="P45" s="1279"/>
      <c r="Q45" s="1279"/>
      <c r="R45" s="1280"/>
    </row>
    <row r="46" spans="4:40" x14ac:dyDescent="0.3">
      <c r="D46" s="339" t="s">
        <v>379</v>
      </c>
      <c r="E46" s="144">
        <v>208</v>
      </c>
      <c r="F46" s="144">
        <v>219</v>
      </c>
      <c r="G46" s="315">
        <v>197</v>
      </c>
      <c r="H46" s="1081">
        <v>259.06299999999999</v>
      </c>
      <c r="I46" s="1081">
        <v>299.779</v>
      </c>
      <c r="J46" s="1081">
        <v>339.40499999999997</v>
      </c>
      <c r="K46" s="1081">
        <v>340.46699999999998</v>
      </c>
      <c r="L46" s="688"/>
      <c r="N46" s="376"/>
      <c r="O46" s="1022" t="s">
        <v>693</v>
      </c>
      <c r="P46" s="1022" t="s">
        <v>694</v>
      </c>
      <c r="Q46" s="1022" t="s">
        <v>695</v>
      </c>
      <c r="R46" s="1022" t="s">
        <v>696</v>
      </c>
    </row>
    <row r="47" spans="4:40" x14ac:dyDescent="0.3">
      <c r="D47" s="338" t="s">
        <v>689</v>
      </c>
      <c r="E47" s="678">
        <v>2018</v>
      </c>
      <c r="F47" s="679">
        <v>2019</v>
      </c>
      <c r="G47" s="680">
        <v>2020</v>
      </c>
      <c r="H47" s="681">
        <v>2021</v>
      </c>
      <c r="I47" s="681">
        <v>2022</v>
      </c>
      <c r="J47" s="681">
        <v>2023</v>
      </c>
      <c r="K47" s="681">
        <v>2024</v>
      </c>
      <c r="L47" s="682">
        <v>2025</v>
      </c>
      <c r="O47" s="34" t="s">
        <v>690</v>
      </c>
    </row>
    <row r="48" spans="4:40" ht="14.5" customHeight="1" x14ac:dyDescent="0.3">
      <c r="D48" s="361" t="s">
        <v>683</v>
      </c>
      <c r="E48" s="1017">
        <v>1622</v>
      </c>
      <c r="F48" s="1017">
        <v>1687</v>
      </c>
      <c r="G48" s="313">
        <v>1695</v>
      </c>
      <c r="H48" s="683">
        <f>AVERAGE(L10:O10)</f>
        <v>1877.8500000000001</v>
      </c>
      <c r="I48" s="684">
        <f>AVERAGE(P10:S10)</f>
        <v>2166.8444783409627</v>
      </c>
      <c r="J48" s="684">
        <f>AVERAGE(T10:W10)</f>
        <v>2241.9336484422456</v>
      </c>
      <c r="K48" s="684">
        <f>AVERAGE(X10:AA10)</f>
        <v>2320.5985114324794</v>
      </c>
      <c r="L48" s="685"/>
    </row>
    <row r="49" spans="4:20" x14ac:dyDescent="0.3">
      <c r="D49" s="361" t="s">
        <v>691</v>
      </c>
      <c r="E49" s="1017">
        <v>1332</v>
      </c>
      <c r="F49" s="1017">
        <v>1388</v>
      </c>
      <c r="G49" s="313">
        <v>1414</v>
      </c>
      <c r="H49" s="664">
        <f>AVERAGE(L11:O11)</f>
        <v>1529.5500000000002</v>
      </c>
      <c r="I49" s="665">
        <f>AVERAGE(P11:S11)</f>
        <v>1611.1886949443317</v>
      </c>
      <c r="J49" s="665">
        <f>AVERAGE(T11:W11)</f>
        <v>1682.2383847688309</v>
      </c>
      <c r="K49" s="665">
        <f>AVERAGE(X11:AA11)</f>
        <v>1739.8157794179003</v>
      </c>
      <c r="L49" s="963"/>
      <c r="N49" s="376"/>
      <c r="O49" s="1278"/>
      <c r="P49" s="1279"/>
      <c r="Q49" s="1279"/>
      <c r="R49" s="1280"/>
    </row>
    <row r="50" spans="4:20" x14ac:dyDescent="0.3">
      <c r="D50" s="361" t="s">
        <v>148</v>
      </c>
      <c r="E50" s="1017">
        <v>150</v>
      </c>
      <c r="F50" s="1017">
        <v>175</v>
      </c>
      <c r="G50" s="273">
        <v>160</v>
      </c>
      <c r="H50" s="664">
        <f>AVERAGE(L12:O12)</f>
        <v>168.42499999999998</v>
      </c>
      <c r="I50" s="665">
        <f>AVERAGE(P12:S12)</f>
        <v>178.39874775054392</v>
      </c>
      <c r="J50" s="665">
        <f>AVERAGE(T12:W12)</f>
        <v>181.77201360710885</v>
      </c>
      <c r="K50" s="665">
        <f>AVERAGE(X12:AA12)</f>
        <v>186.65371495508674</v>
      </c>
      <c r="L50" s="963"/>
      <c r="N50" s="376"/>
      <c r="O50" s="1278" t="s">
        <v>692</v>
      </c>
      <c r="P50" s="1279"/>
      <c r="Q50" s="1279"/>
      <c r="R50" s="1280"/>
    </row>
    <row r="51" spans="4:20" x14ac:dyDescent="0.3">
      <c r="D51" s="339" t="s">
        <v>379</v>
      </c>
      <c r="E51" s="144">
        <v>208</v>
      </c>
      <c r="F51" s="144">
        <v>219</v>
      </c>
      <c r="G51" s="315">
        <v>197</v>
      </c>
      <c r="H51" s="686">
        <f>AVERAGE(L13:O13)</f>
        <v>259.15376506024097</v>
      </c>
      <c r="I51" s="687">
        <f>AVERAGE(P13:S13)</f>
        <v>299.76849497241051</v>
      </c>
      <c r="J51" s="687">
        <f>AVERAGE(T13:W13)</f>
        <v>339.25712478714809</v>
      </c>
      <c r="K51" s="687">
        <f>AVERAGE(X13:AA13)</f>
        <v>340.47872349334421</v>
      </c>
      <c r="L51" s="688"/>
      <c r="N51" s="376"/>
      <c r="O51" s="1022" t="s">
        <v>693</v>
      </c>
      <c r="P51" s="1022" t="s">
        <v>694</v>
      </c>
      <c r="Q51" s="1022" t="s">
        <v>695</v>
      </c>
      <c r="R51" s="1022" t="s">
        <v>696</v>
      </c>
    </row>
    <row r="52" spans="4:20" ht="14.5" x14ac:dyDescent="0.35">
      <c r="D52" s="316"/>
      <c r="E52" s="1017"/>
      <c r="F52" s="1017"/>
      <c r="G52" s="1017"/>
      <c r="N52" s="34" t="s">
        <v>697</v>
      </c>
      <c r="O52">
        <v>2291.1</v>
      </c>
      <c r="P52">
        <v>2308.4</v>
      </c>
      <c r="Q52">
        <v>2338.6999999999998</v>
      </c>
      <c r="R52">
        <v>2350.6</v>
      </c>
    </row>
    <row r="53" spans="4:20" ht="14.5" x14ac:dyDescent="0.35">
      <c r="D53" s="338" t="s">
        <v>1258</v>
      </c>
      <c r="E53" s="678">
        <v>2018</v>
      </c>
      <c r="F53" s="679">
        <v>2019</v>
      </c>
      <c r="G53" s="680">
        <v>2020</v>
      </c>
      <c r="H53" s="681">
        <v>2021</v>
      </c>
      <c r="I53" s="681">
        <v>2022</v>
      </c>
      <c r="J53" s="681">
        <v>2023</v>
      </c>
      <c r="K53" s="681">
        <v>2024</v>
      </c>
      <c r="L53" s="682">
        <v>2025</v>
      </c>
      <c r="O53"/>
      <c r="P53"/>
      <c r="Q53"/>
      <c r="R53"/>
    </row>
    <row r="54" spans="4:20" ht="14.5" x14ac:dyDescent="0.35">
      <c r="D54" s="361" t="s">
        <v>683</v>
      </c>
      <c r="E54" s="683">
        <f t="shared" ref="E54:G57" si="15">E48/E43</f>
        <v>1</v>
      </c>
      <c r="F54" s="683">
        <f t="shared" si="15"/>
        <v>1</v>
      </c>
      <c r="G54" s="683">
        <f t="shared" si="15"/>
        <v>1</v>
      </c>
      <c r="H54" s="683">
        <f>H48/H43</f>
        <v>0.99997976450139747</v>
      </c>
      <c r="I54" s="1030">
        <f t="shared" ref="I54:K57" si="16">I48/I43</f>
        <v>1.0001100700085583</v>
      </c>
      <c r="J54" s="1030">
        <f t="shared" si="16"/>
        <v>0.99994988882576263</v>
      </c>
      <c r="K54" s="1030">
        <f t="shared" si="16"/>
        <v>0.99962674924346451</v>
      </c>
      <c r="L54" s="685"/>
      <c r="O54"/>
      <c r="P54"/>
      <c r="Q54"/>
      <c r="R54"/>
    </row>
    <row r="55" spans="4:20" ht="14.5" x14ac:dyDescent="0.35">
      <c r="D55" s="361" t="s">
        <v>691</v>
      </c>
      <c r="E55" s="683">
        <f t="shared" si="15"/>
        <v>1</v>
      </c>
      <c r="F55" s="683">
        <f t="shared" si="15"/>
        <v>1</v>
      </c>
      <c r="G55" s="683">
        <f t="shared" si="15"/>
        <v>1</v>
      </c>
      <c r="H55" s="683">
        <f>H49/H44</f>
        <v>0.99998692442974191</v>
      </c>
      <c r="I55" s="1030">
        <f t="shared" si="16"/>
        <v>1.0003630283696872</v>
      </c>
      <c r="J55" s="1030">
        <f t="shared" si="16"/>
        <v>0.99993722138208996</v>
      </c>
      <c r="K55" s="1030">
        <f t="shared" si="16"/>
        <v>1.0001619855765396</v>
      </c>
      <c r="L55" s="963"/>
      <c r="O55"/>
      <c r="P55"/>
      <c r="Q55"/>
      <c r="R55"/>
    </row>
    <row r="56" spans="4:20" ht="14.5" x14ac:dyDescent="0.35">
      <c r="D56" s="361" t="s">
        <v>148</v>
      </c>
      <c r="E56" s="683">
        <f t="shared" si="15"/>
        <v>1</v>
      </c>
      <c r="F56" s="683">
        <f t="shared" si="15"/>
        <v>1</v>
      </c>
      <c r="G56" s="683">
        <f t="shared" si="15"/>
        <v>1</v>
      </c>
      <c r="H56" s="683">
        <f>H50/H45</f>
        <v>0.9999168838570639</v>
      </c>
      <c r="I56" s="1030">
        <f t="shared" si="16"/>
        <v>0.99986407442170522</v>
      </c>
      <c r="J56" s="1030">
        <f t="shared" si="16"/>
        <v>0.99952168222143989</v>
      </c>
      <c r="K56" s="1030">
        <f t="shared" si="16"/>
        <v>0.99995025771088397</v>
      </c>
      <c r="L56" s="963"/>
      <c r="O56"/>
      <c r="P56"/>
      <c r="Q56"/>
      <c r="R56"/>
    </row>
    <row r="57" spans="4:20" ht="14.5" x14ac:dyDescent="0.35">
      <c r="D57" s="339" t="s">
        <v>379</v>
      </c>
      <c r="E57" s="683">
        <f t="shared" si="15"/>
        <v>1</v>
      </c>
      <c r="F57" s="683">
        <f t="shared" si="15"/>
        <v>1</v>
      </c>
      <c r="G57" s="683">
        <f t="shared" si="15"/>
        <v>1</v>
      </c>
      <c r="H57" s="683">
        <f>H51/H46</f>
        <v>1.0003503590255689</v>
      </c>
      <c r="I57" s="1030">
        <f t="shared" si="16"/>
        <v>0.99996495742667268</v>
      </c>
      <c r="J57" s="1030">
        <f t="shared" si="16"/>
        <v>0.9995643104466585</v>
      </c>
      <c r="K57" s="1030">
        <f t="shared" si="16"/>
        <v>1.0000344335672597</v>
      </c>
      <c r="L57" s="688"/>
      <c r="O57"/>
      <c r="P57"/>
      <c r="Q57"/>
      <c r="R57"/>
    </row>
    <row r="58" spans="4:20" ht="14.5" x14ac:dyDescent="0.35">
      <c r="D58" s="316"/>
      <c r="E58" s="1017"/>
      <c r="F58" s="1017"/>
      <c r="G58" s="1017"/>
      <c r="O58"/>
      <c r="P58"/>
      <c r="Q58"/>
      <c r="R58"/>
    </row>
    <row r="59" spans="4:20" x14ac:dyDescent="0.3">
      <c r="D59" s="55" t="s">
        <v>698</v>
      </c>
      <c r="E59" s="1017"/>
      <c r="F59" s="1017"/>
      <c r="G59" s="1017"/>
      <c r="P59" s="34">
        <f>P52/O52</f>
        <v>1.0075509580550828</v>
      </c>
      <c r="Q59" s="34">
        <f>Q52/P52</f>
        <v>1.0131259747010914</v>
      </c>
      <c r="R59" s="34">
        <f>R52/Q52</f>
        <v>1.0050882969170907</v>
      </c>
    </row>
    <row r="60" spans="4:20" x14ac:dyDescent="0.3">
      <c r="D60" s="964" t="s">
        <v>699</v>
      </c>
      <c r="E60" s="679">
        <v>2018</v>
      </c>
      <c r="F60" s="679">
        <v>2019</v>
      </c>
      <c r="G60" s="680">
        <v>2020</v>
      </c>
      <c r="H60" s="695">
        <v>2021</v>
      </c>
      <c r="I60" s="696">
        <v>2022</v>
      </c>
      <c r="J60" s="696">
        <v>2023</v>
      </c>
      <c r="K60" s="696">
        <v>2024</v>
      </c>
      <c r="L60" s="697">
        <v>2025</v>
      </c>
    </row>
    <row r="61" spans="4:20" x14ac:dyDescent="0.3">
      <c r="D61" s="361" t="s">
        <v>683</v>
      </c>
      <c r="E61" s="291">
        <f t="shared" ref="E61:G63" si="17">E48/E35</f>
        <v>0.96346896346896349</v>
      </c>
      <c r="F61" s="291">
        <f t="shared" si="17"/>
        <v>0.98201292275452579</v>
      </c>
      <c r="G61" s="291">
        <f t="shared" si="17"/>
        <v>1.0534493474207582</v>
      </c>
      <c r="H61" s="690">
        <f t="shared" ref="H61:K63" si="18">H48/H35</f>
        <v>0.96217499661828432</v>
      </c>
      <c r="I61" s="691">
        <f t="shared" si="18"/>
        <v>0.93088908149879279</v>
      </c>
      <c r="J61" s="691">
        <f t="shared" si="18"/>
        <v>0.96070532446286361</v>
      </c>
      <c r="K61" s="691">
        <f t="shared" si="18"/>
        <v>0.98608890164110852</v>
      </c>
      <c r="L61" s="766"/>
      <c r="T61" s="172"/>
    </row>
    <row r="62" spans="4:20" x14ac:dyDescent="0.3">
      <c r="D62" s="361" t="s">
        <v>691</v>
      </c>
      <c r="E62" s="291">
        <f t="shared" si="17"/>
        <v>1.1377808148970701</v>
      </c>
      <c r="F62" s="291">
        <f t="shared" si="17"/>
        <v>1.1162940324915553</v>
      </c>
      <c r="G62" s="291">
        <f t="shared" si="17"/>
        <v>1.0793893129770993</v>
      </c>
      <c r="H62" s="692">
        <f t="shared" si="18"/>
        <v>1.1367529688757627</v>
      </c>
      <c r="I62" s="689">
        <f t="shared" si="18"/>
        <v>1.1580921067363681</v>
      </c>
      <c r="J62" s="689">
        <f t="shared" si="18"/>
        <v>1.1185452625940395</v>
      </c>
      <c r="K62" s="689">
        <f t="shared" si="18"/>
        <v>1.1227790688064758</v>
      </c>
      <c r="L62" s="963"/>
    </row>
    <row r="63" spans="4:20" x14ac:dyDescent="0.3">
      <c r="D63" s="361" t="s">
        <v>148</v>
      </c>
      <c r="E63" s="291">
        <f t="shared" si="17"/>
        <v>1.1005135730007336</v>
      </c>
      <c r="F63" s="291">
        <f t="shared" si="17"/>
        <v>1.0257913247362251</v>
      </c>
      <c r="G63" s="291">
        <f t="shared" si="17"/>
        <v>1.0256410256410255</v>
      </c>
      <c r="H63" s="692">
        <f t="shared" si="18"/>
        <v>1.0796474358974357</v>
      </c>
      <c r="I63" s="689">
        <f t="shared" si="18"/>
        <v>1.0252801594858847</v>
      </c>
      <c r="J63" s="689">
        <f t="shared" si="18"/>
        <v>1.0269605288537222</v>
      </c>
      <c r="K63" s="689">
        <f t="shared" si="18"/>
        <v>1.0312359942269986</v>
      </c>
      <c r="L63" s="963"/>
    </row>
    <row r="64" spans="4:20" x14ac:dyDescent="0.3">
      <c r="D64" s="339" t="s">
        <v>379</v>
      </c>
      <c r="E64" s="302">
        <f>E51/E40</f>
        <v>1.0161211529066927</v>
      </c>
      <c r="F64" s="302">
        <f>F51/F40</f>
        <v>0.95134665508253702</v>
      </c>
      <c r="G64" s="302">
        <f>G51/G40</f>
        <v>0.92924528301886788</v>
      </c>
      <c r="H64" s="693">
        <f t="shared" ref="H64:K64" si="19">H51/H40</f>
        <v>1.0871091038988581</v>
      </c>
      <c r="I64" s="694">
        <f t="shared" si="19"/>
        <v>0.94654668333583991</v>
      </c>
      <c r="J64" s="694">
        <f t="shared" si="19"/>
        <v>0.89468428866418093</v>
      </c>
      <c r="K64" s="694">
        <f t="shared" si="19"/>
        <v>0.87402862139577153</v>
      </c>
      <c r="L64" s="688"/>
    </row>
    <row r="66" spans="4:12" x14ac:dyDescent="0.3">
      <c r="D66" s="316"/>
      <c r="E66" s="1017"/>
      <c r="F66" s="1017"/>
      <c r="G66" s="1017"/>
    </row>
    <row r="67" spans="4:12" x14ac:dyDescent="0.3">
      <c r="D67" s="34" t="s">
        <v>700</v>
      </c>
    </row>
    <row r="68" spans="4:12" x14ac:dyDescent="0.3">
      <c r="D68" s="338" t="s">
        <v>701</v>
      </c>
      <c r="E68" s="678">
        <v>2018</v>
      </c>
      <c r="F68" s="724">
        <v>2019</v>
      </c>
      <c r="G68" s="724">
        <v>2020</v>
      </c>
      <c r="H68" s="725">
        <v>2021</v>
      </c>
      <c r="I68" s="726">
        <v>2022</v>
      </c>
      <c r="J68" s="726">
        <v>2023</v>
      </c>
      <c r="K68" s="726">
        <v>2024</v>
      </c>
      <c r="L68" s="727">
        <v>2025</v>
      </c>
    </row>
    <row r="69" spans="4:12" x14ac:dyDescent="0.3">
      <c r="D69" s="734" t="s">
        <v>702</v>
      </c>
      <c r="E69" s="495">
        <v>14016.099999999999</v>
      </c>
      <c r="F69" s="295">
        <v>14604.2</v>
      </c>
      <c r="G69" s="366">
        <v>14711.300000000001</v>
      </c>
      <c r="H69" s="365">
        <v>15405.2</v>
      </c>
      <c r="I69" s="365">
        <v>16319.2</v>
      </c>
      <c r="J69" s="365">
        <v>17105.099999999999</v>
      </c>
      <c r="K69" s="365">
        <v>17768.5</v>
      </c>
      <c r="L69" s="317">
        <v>18434.599999999999</v>
      </c>
    </row>
    <row r="70" spans="4:12" x14ac:dyDescent="0.3">
      <c r="D70" s="734" t="s">
        <v>703</v>
      </c>
      <c r="E70" s="145">
        <v>8804</v>
      </c>
      <c r="F70" s="1017">
        <v>9209</v>
      </c>
      <c r="G70" s="366">
        <v>9300</v>
      </c>
      <c r="H70" s="365">
        <v>9843</v>
      </c>
      <c r="I70" s="365">
        <v>10541</v>
      </c>
      <c r="J70" s="365">
        <v>10992</v>
      </c>
      <c r="K70" s="365">
        <v>11395</v>
      </c>
      <c r="L70" s="317">
        <v>11808</v>
      </c>
    </row>
    <row r="71" spans="4:12" x14ac:dyDescent="0.3">
      <c r="D71" s="734" t="s">
        <v>704</v>
      </c>
      <c r="E71" s="145">
        <v>13844</v>
      </c>
      <c r="F71" s="1017">
        <v>14403</v>
      </c>
      <c r="G71" s="366">
        <v>14201</v>
      </c>
      <c r="H71" s="365">
        <v>15238</v>
      </c>
      <c r="I71" s="365">
        <v>16381</v>
      </c>
      <c r="J71" s="365">
        <v>17184</v>
      </c>
      <c r="K71" s="365">
        <v>17840</v>
      </c>
      <c r="L71" s="317">
        <v>18477</v>
      </c>
    </row>
    <row r="72" spans="4:12" x14ac:dyDescent="0.3">
      <c r="D72" s="735" t="s">
        <v>705</v>
      </c>
      <c r="E72" s="656">
        <v>2211</v>
      </c>
      <c r="F72" s="657">
        <v>2243</v>
      </c>
      <c r="G72" s="658">
        <v>2125</v>
      </c>
      <c r="H72" s="659">
        <v>2616</v>
      </c>
      <c r="I72" s="659">
        <v>2996</v>
      </c>
      <c r="J72" s="659">
        <v>2989</v>
      </c>
      <c r="K72" s="659">
        <v>2967</v>
      </c>
      <c r="L72" s="660">
        <v>3017</v>
      </c>
    </row>
    <row r="73" spans="4:12" s="52" customFormat="1" x14ac:dyDescent="0.3"/>
    <row r="75" spans="4:12" x14ac:dyDescent="0.3">
      <c r="D75" s="34" t="s">
        <v>706</v>
      </c>
    </row>
    <row r="76" spans="4:12" x14ac:dyDescent="0.3">
      <c r="D76" s="338" t="s">
        <v>707</v>
      </c>
      <c r="E76" s="1021">
        <v>2018</v>
      </c>
      <c r="F76" s="543">
        <v>2019</v>
      </c>
      <c r="G76" s="543">
        <v>2020</v>
      </c>
      <c r="H76" s="720">
        <v>2021</v>
      </c>
      <c r="I76" s="544">
        <v>2022</v>
      </c>
      <c r="J76" s="544">
        <v>2023</v>
      </c>
      <c r="K76" s="544">
        <v>2024</v>
      </c>
      <c r="L76" s="721">
        <v>2025</v>
      </c>
    </row>
    <row r="77" spans="4:12" x14ac:dyDescent="0.3">
      <c r="D77" s="736" t="s">
        <v>683</v>
      </c>
      <c r="E77" s="728">
        <f>E35/E69</f>
        <v>0.12011187134794987</v>
      </c>
      <c r="F77" s="729">
        <f t="shared" ref="F77:L77" si="20">F35/F69</f>
        <v>0.11763054463784391</v>
      </c>
      <c r="G77" s="731">
        <f t="shared" si="20"/>
        <v>0.10937170746297063</v>
      </c>
      <c r="H77" s="654">
        <f t="shared" si="20"/>
        <v>0.12668916989068627</v>
      </c>
      <c r="I77" s="654">
        <f t="shared" si="20"/>
        <v>0.14263658757782244</v>
      </c>
      <c r="J77" s="654">
        <f t="shared" si="20"/>
        <v>0.1364290767081163</v>
      </c>
      <c r="K77" s="654">
        <f t="shared" si="20"/>
        <v>0.13244426935306863</v>
      </c>
      <c r="L77" s="723">
        <f t="shared" si="20"/>
        <v>0.12927728293534985</v>
      </c>
    </row>
    <row r="78" spans="4:12" x14ac:dyDescent="0.3">
      <c r="D78" s="736" t="s">
        <v>685</v>
      </c>
      <c r="E78" s="730">
        <f t="shared" ref="E78:L79" si="21">E36/E70</f>
        <v>0.13297364834166289</v>
      </c>
      <c r="F78" s="364">
        <f t="shared" si="21"/>
        <v>0.13502008904332718</v>
      </c>
      <c r="G78" s="965">
        <f t="shared" si="21"/>
        <v>0.14086021505376345</v>
      </c>
      <c r="H78" s="368">
        <f t="shared" si="21"/>
        <v>0.13670049781570659</v>
      </c>
      <c r="I78" s="368">
        <f t="shared" si="21"/>
        <v>0.13198406223318471</v>
      </c>
      <c r="J78" s="368">
        <f t="shared" si="21"/>
        <v>0.13682241630276565</v>
      </c>
      <c r="K78" s="368">
        <f t="shared" si="21"/>
        <v>0.13598613426941641</v>
      </c>
      <c r="L78" s="966">
        <f t="shared" si="21"/>
        <v>0.13452642276422766</v>
      </c>
    </row>
    <row r="79" spans="4:12" x14ac:dyDescent="0.3">
      <c r="D79" s="734" t="s">
        <v>708</v>
      </c>
      <c r="E79" s="730">
        <f t="shared" si="21"/>
        <v>9.8454203987286912E-3</v>
      </c>
      <c r="F79" s="364">
        <f t="shared" si="21"/>
        <v>1.1844754565021176E-2</v>
      </c>
      <c r="G79" s="965">
        <f t="shared" si="21"/>
        <v>1.0985141891416098E-2</v>
      </c>
      <c r="H79" s="368">
        <f t="shared" si="21"/>
        <v>1.0237563984774906E-2</v>
      </c>
      <c r="I79" s="368">
        <f t="shared" si="21"/>
        <v>1.0622062145168183E-2</v>
      </c>
      <c r="J79" s="368">
        <f t="shared" si="21"/>
        <v>1.0300279329608938E-2</v>
      </c>
      <c r="K79" s="368">
        <f t="shared" si="21"/>
        <v>1.0145739910313901E-2</v>
      </c>
      <c r="L79" s="966">
        <f t="shared" si="21"/>
        <v>9.7959625480326887E-3</v>
      </c>
    </row>
    <row r="80" spans="4:12" x14ac:dyDescent="0.3">
      <c r="D80" s="737" t="s">
        <v>149</v>
      </c>
      <c r="E80" s="655">
        <f>E40/E72</f>
        <v>9.258254183627318E-2</v>
      </c>
      <c r="F80" s="285">
        <f t="shared" ref="F80:L80" si="22">F40/F72</f>
        <v>0.10263040570664288</v>
      </c>
      <c r="G80" s="732">
        <f t="shared" si="22"/>
        <v>9.9764705882352936E-2</v>
      </c>
      <c r="H80" s="287">
        <f t="shared" si="22"/>
        <v>9.112691131498471E-2</v>
      </c>
      <c r="I80" s="287">
        <f t="shared" si="22"/>
        <v>0.10570660881174899</v>
      </c>
      <c r="J80" s="287">
        <f t="shared" si="22"/>
        <v>0.12686249581799933</v>
      </c>
      <c r="K80" s="287">
        <f t="shared" si="22"/>
        <v>0.13129457364341085</v>
      </c>
      <c r="L80" s="288">
        <f t="shared" si="22"/>
        <v>0.13338780245276766</v>
      </c>
    </row>
    <row r="82" spans="4:29" x14ac:dyDescent="0.3">
      <c r="D82" s="34" t="s">
        <v>709</v>
      </c>
    </row>
    <row r="83" spans="4:29" x14ac:dyDescent="0.3">
      <c r="D83" s="769" t="s">
        <v>484</v>
      </c>
    </row>
    <row r="84" spans="4:29" x14ac:dyDescent="0.3">
      <c r="D84" s="338" t="s">
        <v>710</v>
      </c>
      <c r="E84" s="679">
        <v>2018</v>
      </c>
      <c r="F84" s="724">
        <v>2019</v>
      </c>
      <c r="G84" s="724">
        <v>2020</v>
      </c>
      <c r="H84" s="725">
        <v>2021</v>
      </c>
      <c r="I84" s="726">
        <v>2022</v>
      </c>
      <c r="J84" s="726">
        <v>2023</v>
      </c>
      <c r="K84" s="726">
        <v>2024</v>
      </c>
      <c r="L84" s="727">
        <v>2025</v>
      </c>
    </row>
    <row r="85" spans="4:29" ht="20.149999999999999" customHeight="1" x14ac:dyDescent="0.3">
      <c r="D85" s="362" t="s">
        <v>683</v>
      </c>
      <c r="E85" s="728">
        <f t="shared" ref="E85:G88" si="23">E77*E61</f>
        <v>0.11572406018792676</v>
      </c>
      <c r="F85" s="729">
        <f t="shared" si="23"/>
        <v>0.11551471494501581</v>
      </c>
      <c r="G85" s="729">
        <f t="shared" si="23"/>
        <v>0.11521755385316049</v>
      </c>
      <c r="H85" s="722">
        <f>N104</f>
        <v>0.12373270706604039</v>
      </c>
      <c r="I85" s="654">
        <f>H85</f>
        <v>0.12373270706604039</v>
      </c>
      <c r="J85" s="654">
        <f t="shared" ref="J85:L86" si="24">I85</f>
        <v>0.12373270706604039</v>
      </c>
      <c r="K85" s="654">
        <f t="shared" si="24"/>
        <v>0.12373270706604039</v>
      </c>
      <c r="L85" s="723">
        <f t="shared" si="24"/>
        <v>0.12373270706604039</v>
      </c>
      <c r="M85" s="741"/>
      <c r="N85" s="740"/>
      <c r="O85" s="318"/>
      <c r="P85" s="318"/>
      <c r="Q85" s="318"/>
      <c r="R85" s="318"/>
      <c r="S85" s="318"/>
      <c r="T85" s="318"/>
      <c r="U85" s="318"/>
      <c r="V85" s="318"/>
      <c r="W85" s="318"/>
      <c r="X85" s="318"/>
      <c r="Y85" s="318"/>
    </row>
    <row r="86" spans="4:29" ht="18.649999999999999" customHeight="1" x14ac:dyDescent="0.3">
      <c r="D86" s="362" t="s">
        <v>685</v>
      </c>
      <c r="E86" s="730">
        <f t="shared" si="23"/>
        <v>0.15129486597001363</v>
      </c>
      <c r="F86" s="364">
        <f t="shared" si="23"/>
        <v>0.15072211966554458</v>
      </c>
      <c r="G86" s="364">
        <f t="shared" si="23"/>
        <v>0.1520430107526882</v>
      </c>
      <c r="H86" s="367">
        <f>N105</f>
        <v>0.15287773349987116</v>
      </c>
      <c r="I86" s="368">
        <f>H86</f>
        <v>0.15287773349987116</v>
      </c>
      <c r="J86" s="368">
        <f>I86</f>
        <v>0.15287773349987116</v>
      </c>
      <c r="K86" s="368">
        <f t="shared" si="24"/>
        <v>0.15287773349987116</v>
      </c>
      <c r="L86" s="966">
        <f t="shared" si="24"/>
        <v>0.15287773349987116</v>
      </c>
      <c r="M86" s="741"/>
      <c r="N86" s="740"/>
      <c r="O86" s="318"/>
      <c r="P86" s="318"/>
      <c r="Q86" s="318"/>
      <c r="R86" s="318"/>
      <c r="S86" s="318"/>
      <c r="T86" s="318"/>
      <c r="U86" s="318"/>
      <c r="V86" s="318"/>
      <c r="W86" s="318"/>
      <c r="X86" s="318"/>
      <c r="Y86" s="318"/>
    </row>
    <row r="87" spans="4:29" ht="19" customHeight="1" x14ac:dyDescent="0.3">
      <c r="D87" s="361" t="s">
        <v>148</v>
      </c>
      <c r="E87" s="730">
        <f t="shared" si="23"/>
        <v>1.0835018780699219E-2</v>
      </c>
      <c r="F87" s="364">
        <f t="shared" si="23"/>
        <v>1.2150246476428523E-2</v>
      </c>
      <c r="G87" s="364">
        <f t="shared" si="23"/>
        <v>1.1266812196324201E-2</v>
      </c>
      <c r="H87" s="367">
        <f>N106</f>
        <v>1.1338056460715356E-2</v>
      </c>
      <c r="I87" s="368">
        <f>AVERAGE($F63:$G63)*I79</f>
        <v>1.0895220956157794E-2</v>
      </c>
      <c r="J87" s="368">
        <f>AVERAGE($F63:$G63)*J79</f>
        <v>1.056516311734094E-2</v>
      </c>
      <c r="K87" s="368">
        <f>J87</f>
        <v>1.056516311734094E-2</v>
      </c>
      <c r="L87" s="966">
        <f>K87</f>
        <v>1.056516311734094E-2</v>
      </c>
      <c r="M87" s="741"/>
      <c r="N87" s="740"/>
      <c r="O87" s="318"/>
      <c r="P87" s="318"/>
      <c r="Q87" s="318"/>
      <c r="R87" s="318"/>
      <c r="S87" s="318"/>
      <c r="T87" s="318"/>
      <c r="U87" s="318"/>
      <c r="V87" s="318"/>
      <c r="W87" s="318"/>
      <c r="X87" s="318"/>
      <c r="Y87" s="318"/>
    </row>
    <row r="88" spans="4:29" ht="19" customHeight="1" x14ac:dyDescent="0.3">
      <c r="D88" s="363" t="s">
        <v>149</v>
      </c>
      <c r="E88" s="655">
        <f t="shared" si="23"/>
        <v>9.4075079149706017E-2</v>
      </c>
      <c r="F88" s="285">
        <f t="shared" si="23"/>
        <v>9.7637093178778417E-2</v>
      </c>
      <c r="G88" s="285">
        <f t="shared" si="23"/>
        <v>9.2705882352941166E-2</v>
      </c>
      <c r="H88" s="286">
        <f>M107</f>
        <v>0.11817745803357314</v>
      </c>
      <c r="I88" s="287">
        <f>N107</f>
        <v>0.11661721068249259</v>
      </c>
      <c r="J88" s="287">
        <f>I88</f>
        <v>0.11661721068249259</v>
      </c>
      <c r="K88" s="287">
        <f>J88</f>
        <v>0.11661721068249259</v>
      </c>
      <c r="L88" s="288">
        <f>K88</f>
        <v>0.11661721068249259</v>
      </c>
      <c r="M88" s="741"/>
      <c r="N88" s="740"/>
      <c r="O88" s="318"/>
      <c r="P88" s="318"/>
      <c r="Q88" s="318"/>
      <c r="R88" s="318"/>
      <c r="S88" s="318"/>
      <c r="T88" s="318"/>
      <c r="U88" s="318"/>
      <c r="V88" s="318"/>
      <c r="W88" s="318"/>
      <c r="X88" s="318"/>
      <c r="Y88" s="318"/>
    </row>
    <row r="89" spans="4:29" x14ac:dyDescent="0.3">
      <c r="E89" s="661"/>
      <c r="F89" s="661"/>
      <c r="G89" s="661"/>
      <c r="H89" s="661"/>
      <c r="I89" s="661"/>
      <c r="J89" s="661"/>
      <c r="K89" s="661"/>
      <c r="L89" s="661"/>
    </row>
    <row r="90" spans="4:29" x14ac:dyDescent="0.3">
      <c r="D90" s="768" t="s">
        <v>497</v>
      </c>
      <c r="E90" s="318"/>
      <c r="F90" s="318"/>
      <c r="G90" s="318"/>
      <c r="H90" s="318"/>
      <c r="I90" s="318"/>
      <c r="J90" s="318"/>
      <c r="K90" s="318"/>
      <c r="L90" s="364"/>
      <c r="M90" s="318"/>
      <c r="N90" s="318"/>
      <c r="O90" s="318"/>
      <c r="P90" s="318"/>
      <c r="Q90" s="318"/>
      <c r="R90" s="318"/>
      <c r="S90" s="318"/>
      <c r="T90" s="318"/>
      <c r="U90" s="318"/>
      <c r="V90" s="318"/>
      <c r="W90" s="318"/>
      <c r="X90" s="318"/>
      <c r="Y90" s="318"/>
    </row>
    <row r="91" spans="4:29" ht="14.5" customHeight="1" x14ac:dyDescent="0.3">
      <c r="D91" s="1261" t="s">
        <v>711</v>
      </c>
      <c r="E91" s="1262"/>
      <c r="F91" s="1265">
        <v>2019</v>
      </c>
      <c r="G91" s="1266"/>
      <c r="H91" s="1267"/>
      <c r="I91" s="1265">
        <v>2020</v>
      </c>
      <c r="J91" s="1266"/>
      <c r="K91" s="1266"/>
      <c r="L91" s="1267"/>
      <c r="M91" s="1265">
        <v>2021</v>
      </c>
      <c r="N91" s="1266"/>
      <c r="O91" s="1267"/>
      <c r="P91" s="839">
        <v>2021</v>
      </c>
      <c r="Q91" s="1258">
        <v>2022</v>
      </c>
      <c r="R91" s="1259"/>
      <c r="S91" s="1259"/>
      <c r="T91" s="1260"/>
      <c r="U91" s="1226">
        <v>2023</v>
      </c>
      <c r="V91" s="1256"/>
      <c r="W91" s="1256"/>
      <c r="X91" s="1257"/>
      <c r="Y91" s="1258">
        <v>2024</v>
      </c>
      <c r="Z91" s="1259"/>
      <c r="AA91" s="1259"/>
      <c r="AB91" s="1260"/>
      <c r="AC91" s="329">
        <v>2025</v>
      </c>
    </row>
    <row r="92" spans="4:29" x14ac:dyDescent="0.3">
      <c r="D92" s="1263"/>
      <c r="E92" s="1264"/>
      <c r="F92" s="166" t="s">
        <v>405</v>
      </c>
      <c r="G92" s="147" t="s">
        <v>290</v>
      </c>
      <c r="H92" s="154" t="s">
        <v>403</v>
      </c>
      <c r="I92" s="148" t="s">
        <v>404</v>
      </c>
      <c r="J92" s="148" t="s">
        <v>405</v>
      </c>
      <c r="K92" s="148" t="s">
        <v>290</v>
      </c>
      <c r="L92" s="148" t="s">
        <v>403</v>
      </c>
      <c r="M92" s="161" t="s">
        <v>404</v>
      </c>
      <c r="N92" s="148" t="s">
        <v>405</v>
      </c>
      <c r="O92" s="154" t="s">
        <v>290</v>
      </c>
      <c r="P92" s="61" t="s">
        <v>403</v>
      </c>
      <c r="Q92" s="58" t="s">
        <v>404</v>
      </c>
      <c r="R92" s="59" t="s">
        <v>405</v>
      </c>
      <c r="S92" s="59" t="s">
        <v>290</v>
      </c>
      <c r="T92" s="59" t="s">
        <v>403</v>
      </c>
      <c r="U92" s="58" t="s">
        <v>404</v>
      </c>
      <c r="V92" s="59" t="s">
        <v>405</v>
      </c>
      <c r="W92" s="59" t="s">
        <v>290</v>
      </c>
      <c r="X92" s="59" t="s">
        <v>403</v>
      </c>
      <c r="Y92" s="58" t="s">
        <v>404</v>
      </c>
      <c r="Z92" s="446" t="s">
        <v>405</v>
      </c>
      <c r="AA92" s="59" t="s">
        <v>290</v>
      </c>
      <c r="AB92" s="59" t="s">
        <v>403</v>
      </c>
      <c r="AC92" s="61" t="s">
        <v>404</v>
      </c>
    </row>
    <row r="93" spans="4:29" x14ac:dyDescent="0.3">
      <c r="D93" s="967" t="s">
        <v>702</v>
      </c>
      <c r="E93" s="547"/>
      <c r="F93" s="742">
        <f>F94+F95</f>
        <v>14660.3</v>
      </c>
      <c r="G93" s="743">
        <f t="shared" ref="G93:AC93" si="25">G94+G95</f>
        <v>14748</v>
      </c>
      <c r="H93" s="743">
        <f t="shared" si="25"/>
        <v>14896.1</v>
      </c>
      <c r="I93" s="743">
        <f t="shared" si="25"/>
        <v>15018.7</v>
      </c>
      <c r="J93" s="743">
        <f t="shared" si="25"/>
        <v>14127</v>
      </c>
      <c r="K93" s="743">
        <f t="shared" si="25"/>
        <v>14803.099999999999</v>
      </c>
      <c r="L93" s="743">
        <f t="shared" si="25"/>
        <v>15014.2</v>
      </c>
      <c r="M93" s="743">
        <f t="shared" si="25"/>
        <v>15152.900000000001</v>
      </c>
      <c r="N93" s="743">
        <f t="shared" si="25"/>
        <v>15654.4</v>
      </c>
      <c r="O93" s="744">
        <f t="shared" si="25"/>
        <v>15799.3</v>
      </c>
      <c r="P93" s="754">
        <f t="shared" si="25"/>
        <v>15983.8</v>
      </c>
      <c r="Q93" s="754">
        <f t="shared" si="25"/>
        <v>16211.099999999999</v>
      </c>
      <c r="R93" s="754">
        <f t="shared" si="25"/>
        <v>16437.099999999999</v>
      </c>
      <c r="S93" s="754">
        <f t="shared" si="25"/>
        <v>16644.8</v>
      </c>
      <c r="T93" s="754">
        <f t="shared" si="25"/>
        <v>16837.7</v>
      </c>
      <c r="U93" s="754">
        <f t="shared" si="25"/>
        <v>17019.599999999999</v>
      </c>
      <c r="V93" s="754">
        <f t="shared" si="25"/>
        <v>17196</v>
      </c>
      <c r="W93" s="754">
        <f t="shared" si="25"/>
        <v>17367.2</v>
      </c>
      <c r="X93" s="754">
        <f t="shared" si="25"/>
        <v>17530.099999999999</v>
      </c>
      <c r="Y93" s="754">
        <f t="shared" si="25"/>
        <v>17691.900000000001</v>
      </c>
      <c r="Z93" s="754">
        <f t="shared" si="25"/>
        <v>17844.8</v>
      </c>
      <c r="AA93" s="754">
        <f t="shared" si="25"/>
        <v>18007.400000000001</v>
      </c>
      <c r="AB93" s="754">
        <f t="shared" si="25"/>
        <v>18172.900000000001</v>
      </c>
      <c r="AC93" s="755">
        <f t="shared" si="25"/>
        <v>18346.099999999999</v>
      </c>
    </row>
    <row r="94" spans="4:29" ht="28" x14ac:dyDescent="0.3">
      <c r="D94" s="113" t="s">
        <v>712</v>
      </c>
      <c r="E94" s="546" t="s">
        <v>713</v>
      </c>
      <c r="F94" s="495">
        <v>9274.9</v>
      </c>
      <c r="G94" s="295">
        <v>9311.2999999999993</v>
      </c>
      <c r="H94" s="295">
        <v>9422.5</v>
      </c>
      <c r="I94" s="295">
        <v>9526.1</v>
      </c>
      <c r="J94" s="295">
        <v>8908.7999999999993</v>
      </c>
      <c r="K94" s="295">
        <v>9343.2999999999993</v>
      </c>
      <c r="L94" s="295">
        <v>9546</v>
      </c>
      <c r="M94" s="295">
        <v>9702.2000000000007</v>
      </c>
      <c r="N94" s="295">
        <v>9950.4</v>
      </c>
      <c r="O94" s="916">
        <v>10175.1</v>
      </c>
      <c r="P94" s="349">
        <v>10336.6</v>
      </c>
      <c r="Q94" s="349">
        <v>10484.299999999999</v>
      </c>
      <c r="R94" s="349">
        <v>10614</v>
      </c>
      <c r="S94" s="349">
        <v>10730.6</v>
      </c>
      <c r="T94" s="349">
        <v>10841</v>
      </c>
      <c r="U94" s="349">
        <v>10942.9</v>
      </c>
      <c r="V94" s="349">
        <v>11042.2</v>
      </c>
      <c r="W94" s="349">
        <v>11143.2</v>
      </c>
      <c r="X94" s="349">
        <v>11246.1</v>
      </c>
      <c r="Y94" s="349">
        <v>11342.3</v>
      </c>
      <c r="Z94" s="349">
        <v>11443.3</v>
      </c>
      <c r="AA94" s="349">
        <v>11546.8</v>
      </c>
      <c r="AB94" s="349">
        <v>11648.9</v>
      </c>
      <c r="AC94" s="350">
        <v>11751.1</v>
      </c>
    </row>
    <row r="95" spans="4:29" ht="28" x14ac:dyDescent="0.3">
      <c r="D95" s="113" t="s">
        <v>714</v>
      </c>
      <c r="E95" s="546"/>
      <c r="F95" s="495">
        <v>5385.4</v>
      </c>
      <c r="G95" s="295">
        <v>5436.7</v>
      </c>
      <c r="H95" s="295">
        <v>5473.6</v>
      </c>
      <c r="I95" s="295">
        <v>5492.6</v>
      </c>
      <c r="J95" s="295">
        <v>5218.2</v>
      </c>
      <c r="K95" s="295">
        <v>5459.8</v>
      </c>
      <c r="L95" s="295">
        <v>5468.2</v>
      </c>
      <c r="M95" s="295">
        <v>5450.7</v>
      </c>
      <c r="N95" s="295">
        <v>5704</v>
      </c>
      <c r="O95" s="916">
        <v>5624.2</v>
      </c>
      <c r="P95" s="349">
        <v>5647.2</v>
      </c>
      <c r="Q95" s="349">
        <v>5726.8</v>
      </c>
      <c r="R95" s="349">
        <v>5823.1</v>
      </c>
      <c r="S95" s="349">
        <v>5914.2</v>
      </c>
      <c r="T95" s="349">
        <v>5996.7</v>
      </c>
      <c r="U95" s="349">
        <v>6076.7</v>
      </c>
      <c r="V95" s="349">
        <v>6153.8</v>
      </c>
      <c r="W95" s="349">
        <v>6224</v>
      </c>
      <c r="X95" s="349">
        <v>6284</v>
      </c>
      <c r="Y95" s="349">
        <v>6349.6</v>
      </c>
      <c r="Z95" s="349">
        <v>6401.5</v>
      </c>
      <c r="AA95" s="349">
        <v>6460.6</v>
      </c>
      <c r="AB95" s="349">
        <v>6524</v>
      </c>
      <c r="AC95" s="350">
        <v>6595</v>
      </c>
    </row>
    <row r="96" spans="4:29" s="52" customFormat="1" x14ac:dyDescent="0.3">
      <c r="D96" s="162" t="s">
        <v>703</v>
      </c>
      <c r="E96" s="546"/>
      <c r="F96" s="745"/>
      <c r="G96" s="234"/>
      <c r="H96" s="746"/>
      <c r="I96" s="746"/>
      <c r="J96" s="746"/>
      <c r="K96" s="746"/>
      <c r="L96" s="295"/>
      <c r="M96" s="295">
        <v>9702</v>
      </c>
      <c r="N96" s="295">
        <v>9950</v>
      </c>
      <c r="O96" s="916">
        <v>10175</v>
      </c>
      <c r="P96" s="349">
        <v>10337</v>
      </c>
      <c r="Q96" s="349">
        <v>10484</v>
      </c>
      <c r="R96" s="349">
        <v>10614</v>
      </c>
      <c r="S96" s="349">
        <v>10731</v>
      </c>
      <c r="T96" s="349">
        <v>10841</v>
      </c>
      <c r="U96" s="349">
        <v>10943</v>
      </c>
      <c r="V96" s="349">
        <v>11042</v>
      </c>
      <c r="W96" s="349">
        <v>11143</v>
      </c>
      <c r="X96" s="349">
        <v>11246</v>
      </c>
      <c r="Y96" s="349">
        <v>11342.3</v>
      </c>
      <c r="Z96" s="349">
        <v>11443.3</v>
      </c>
      <c r="AA96" s="349">
        <v>11546.8</v>
      </c>
      <c r="AB96" s="349">
        <v>11648.9</v>
      </c>
      <c r="AC96" s="350">
        <v>11751.1</v>
      </c>
    </row>
    <row r="97" spans="4:32" s="52" customFormat="1" x14ac:dyDescent="0.3">
      <c r="D97" s="162" t="s">
        <v>704</v>
      </c>
      <c r="E97" s="234"/>
      <c r="F97" s="747"/>
      <c r="G97" s="748"/>
      <c r="H97" s="746"/>
      <c r="I97" s="746"/>
      <c r="J97" s="746"/>
      <c r="K97" s="746"/>
      <c r="L97" s="746"/>
      <c r="M97" s="746">
        <v>15041</v>
      </c>
      <c r="N97" s="746">
        <v>15551</v>
      </c>
      <c r="O97" s="366">
        <v>15824</v>
      </c>
      <c r="P97" s="756">
        <v>16056</v>
      </c>
      <c r="Q97" s="756">
        <v>16274</v>
      </c>
      <c r="R97" s="756">
        <v>16482</v>
      </c>
      <c r="S97" s="756">
        <v>16710</v>
      </c>
      <c r="T97" s="756">
        <v>16918</v>
      </c>
      <c r="U97" s="756">
        <v>17101</v>
      </c>
      <c r="V97" s="756">
        <v>17272</v>
      </c>
      <c r="W97" s="756">
        <v>17444</v>
      </c>
      <c r="X97" s="756">
        <v>17607</v>
      </c>
      <c r="Y97" s="756">
        <v>17759.900000000001</v>
      </c>
      <c r="Z97" s="349">
        <v>17916</v>
      </c>
      <c r="AA97" s="349">
        <v>18077.7</v>
      </c>
      <c r="AB97" s="349">
        <v>18228.400000000001</v>
      </c>
      <c r="AC97" s="350">
        <v>18390.5</v>
      </c>
    </row>
    <row r="98" spans="4:32" s="52" customFormat="1" x14ac:dyDescent="0.3">
      <c r="D98" s="749" t="s">
        <v>715</v>
      </c>
      <c r="E98" s="750"/>
      <c r="F98" s="751"/>
      <c r="G98" s="752"/>
      <c r="H98" s="657"/>
      <c r="I98" s="657"/>
      <c r="J98" s="657"/>
      <c r="K98" s="657"/>
      <c r="L98" s="271"/>
      <c r="M98" s="271">
        <v>2374</v>
      </c>
      <c r="N98" s="271">
        <v>2822</v>
      </c>
      <c r="O98" s="758">
        <v>2975</v>
      </c>
      <c r="P98" s="631">
        <v>3009</v>
      </c>
      <c r="Q98" s="631">
        <v>2954</v>
      </c>
      <c r="R98" s="631">
        <v>3005</v>
      </c>
      <c r="S98" s="631">
        <v>3019</v>
      </c>
      <c r="T98" s="631">
        <v>3017</v>
      </c>
      <c r="U98" s="631">
        <v>3002</v>
      </c>
      <c r="V98" s="631">
        <v>2976</v>
      </c>
      <c r="W98" s="631">
        <v>2960</v>
      </c>
      <c r="X98" s="631">
        <v>2960</v>
      </c>
      <c r="Y98" s="631">
        <v>2955.6</v>
      </c>
      <c r="Z98" s="631">
        <v>2970.1</v>
      </c>
      <c r="AA98" s="631">
        <v>2982.4</v>
      </c>
      <c r="AB98" s="631">
        <v>2999.3</v>
      </c>
      <c r="AC98" s="757">
        <v>3007.4</v>
      </c>
    </row>
    <row r="99" spans="4:32" s="52" customFormat="1" x14ac:dyDescent="0.3">
      <c r="D99" s="92"/>
      <c r="E99" s="767"/>
      <c r="F99" s="748"/>
      <c r="G99" s="748"/>
      <c r="H99" s="746"/>
      <c r="I99" s="746"/>
      <c r="J99" s="746"/>
      <c r="K99" s="746"/>
      <c r="L99" s="295"/>
      <c r="M99" s="295"/>
      <c r="N99" s="295"/>
      <c r="O99" s="295"/>
      <c r="P99" s="295"/>
      <c r="Q99" s="295"/>
      <c r="R99" s="295"/>
      <c r="S99" s="295"/>
      <c r="T99" s="295"/>
      <c r="U99" s="295"/>
      <c r="V99" s="295"/>
      <c r="W99" s="295"/>
      <c r="X99" s="295"/>
      <c r="Y99" s="295"/>
      <c r="Z99" s="295"/>
      <c r="AA99" s="295"/>
      <c r="AB99" s="295"/>
      <c r="AC99" s="295"/>
    </row>
    <row r="100" spans="4:32" x14ac:dyDescent="0.3">
      <c r="D100" s="52"/>
    </row>
    <row r="101" spans="4:32" ht="14.5" customHeight="1" x14ac:dyDescent="0.3">
      <c r="D101" s="1261" t="s">
        <v>716</v>
      </c>
      <c r="E101" s="1262"/>
      <c r="F101" s="1265">
        <v>2019</v>
      </c>
      <c r="G101" s="1266"/>
      <c r="H101" s="1267"/>
      <c r="I101" s="1265">
        <v>2020</v>
      </c>
      <c r="J101" s="1266"/>
      <c r="K101" s="1266"/>
      <c r="L101" s="1267"/>
      <c r="M101" s="1265">
        <v>2021</v>
      </c>
      <c r="N101" s="1266"/>
      <c r="O101" s="1267"/>
      <c r="P101" s="839">
        <v>2021</v>
      </c>
      <c r="Q101" s="1258">
        <v>2022</v>
      </c>
      <c r="R101" s="1259"/>
      <c r="S101" s="1259"/>
      <c r="T101" s="1260"/>
      <c r="U101" s="1226">
        <v>2023</v>
      </c>
      <c r="V101" s="1256"/>
      <c r="W101" s="1256"/>
      <c r="X101" s="1257"/>
      <c r="Y101" s="1258">
        <v>2024</v>
      </c>
      <c r="Z101" s="1259"/>
      <c r="AA101" s="1259"/>
      <c r="AB101" s="1260"/>
      <c r="AC101" s="329">
        <v>2025</v>
      </c>
      <c r="AD101" s="53"/>
      <c r="AE101" s="53"/>
      <c r="AF101" s="53"/>
    </row>
    <row r="102" spans="4:32" x14ac:dyDescent="0.3">
      <c r="D102" s="1263"/>
      <c r="E102" s="1264"/>
      <c r="F102" s="166" t="s">
        <v>405</v>
      </c>
      <c r="G102" s="147" t="s">
        <v>290</v>
      </c>
      <c r="H102" s="154" t="s">
        <v>403</v>
      </c>
      <c r="I102" s="148" t="s">
        <v>404</v>
      </c>
      <c r="J102" s="148" t="s">
        <v>405</v>
      </c>
      <c r="K102" s="148" t="s">
        <v>290</v>
      </c>
      <c r="L102" s="148" t="s">
        <v>403</v>
      </c>
      <c r="M102" s="161" t="s">
        <v>404</v>
      </c>
      <c r="N102" s="148" t="s">
        <v>405</v>
      </c>
      <c r="O102" s="154" t="s">
        <v>290</v>
      </c>
      <c r="P102" s="61" t="s">
        <v>403</v>
      </c>
      <c r="Q102" s="58" t="s">
        <v>404</v>
      </c>
      <c r="R102" s="59" t="s">
        <v>405</v>
      </c>
      <c r="S102" s="59" t="s">
        <v>290</v>
      </c>
      <c r="T102" s="59" t="s">
        <v>403</v>
      </c>
      <c r="U102" s="58" t="s">
        <v>404</v>
      </c>
      <c r="V102" s="59" t="s">
        <v>405</v>
      </c>
      <c r="W102" s="59" t="s">
        <v>290</v>
      </c>
      <c r="X102" s="59" t="s">
        <v>403</v>
      </c>
      <c r="Y102" s="58" t="s">
        <v>404</v>
      </c>
      <c r="Z102" s="446" t="s">
        <v>405</v>
      </c>
      <c r="AA102" s="59" t="s">
        <v>290</v>
      </c>
      <c r="AB102" s="59" t="s">
        <v>403</v>
      </c>
      <c r="AC102" s="61" t="s">
        <v>404</v>
      </c>
    </row>
    <row r="103" spans="4:32" x14ac:dyDescent="0.3">
      <c r="D103" s="1273" t="s">
        <v>717</v>
      </c>
      <c r="E103" s="1274"/>
      <c r="F103" s="895"/>
      <c r="G103" s="759"/>
      <c r="H103" s="760"/>
      <c r="I103" s="760"/>
      <c r="J103" s="760"/>
      <c r="K103" s="760"/>
      <c r="L103" s="760"/>
      <c r="M103" s="760"/>
      <c r="N103" s="760"/>
      <c r="O103" s="761"/>
      <c r="P103" s="1015"/>
      <c r="Q103" s="1015"/>
      <c r="R103" s="1015"/>
      <c r="S103" s="1015"/>
      <c r="T103" s="1015"/>
      <c r="U103" s="1015"/>
      <c r="V103" s="1015"/>
      <c r="W103" s="1015"/>
      <c r="X103" s="1015"/>
      <c r="Y103" s="1015"/>
      <c r="Z103" s="1015"/>
      <c r="AA103" s="1015"/>
      <c r="AB103" s="1015"/>
      <c r="AC103" s="1016"/>
    </row>
    <row r="104" spans="4:32" x14ac:dyDescent="0.3">
      <c r="D104" s="143" t="s">
        <v>673</v>
      </c>
      <c r="F104" s="896"/>
      <c r="G104" s="290"/>
      <c r="H104" s="290">
        <f t="shared" ref="H104:O104" si="26">H10/H109</f>
        <v>0.11691183930201886</v>
      </c>
      <c r="I104" s="290">
        <f t="shared" si="26"/>
        <v>0.11632374399271765</v>
      </c>
      <c r="J104" s="290">
        <f t="shared" si="26"/>
        <v>0.11234318837285294</v>
      </c>
      <c r="K104" s="290">
        <f t="shared" si="26"/>
        <v>0.11273203252694187</v>
      </c>
      <c r="L104" s="290">
        <f t="shared" si="26"/>
        <v>0.11471728519817445</v>
      </c>
      <c r="M104" s="290">
        <f t="shared" si="26"/>
        <v>0.12169301738753303</v>
      </c>
      <c r="N104" s="290">
        <f t="shared" si="26"/>
        <v>0.12373270706604039</v>
      </c>
      <c r="O104" s="968">
        <f t="shared" si="26"/>
        <v>0.12576621345508665</v>
      </c>
      <c r="P104" s="1020"/>
      <c r="Q104" s="1020"/>
      <c r="R104" s="1020"/>
      <c r="S104" s="1020"/>
      <c r="T104" s="1020"/>
      <c r="U104" s="1020"/>
      <c r="V104" s="1020"/>
      <c r="W104" s="1020"/>
      <c r="X104" s="1020"/>
      <c r="Y104" s="1020"/>
      <c r="Z104" s="1020"/>
      <c r="AA104" s="1020"/>
      <c r="AB104" s="1020"/>
      <c r="AC104" s="420"/>
    </row>
    <row r="105" spans="4:32" x14ac:dyDescent="0.3">
      <c r="D105" s="143" t="s">
        <v>674</v>
      </c>
      <c r="F105" s="896"/>
      <c r="G105" s="290"/>
      <c r="H105" s="290">
        <f t="shared" ref="H105:O107" si="27">H11/H114</f>
        <v>0.15050223685321179</v>
      </c>
      <c r="I105" s="290">
        <f t="shared" si="27"/>
        <v>0.15157126064930876</v>
      </c>
      <c r="J105" s="290">
        <f t="shared" si="27"/>
        <v>0.15486484381085924</v>
      </c>
      <c r="K105" s="290">
        <f t="shared" si="27"/>
        <v>0.15330544288475015</v>
      </c>
      <c r="L105" s="290">
        <f t="shared" si="27"/>
        <v>0.15177048544085955</v>
      </c>
      <c r="M105" s="290">
        <f t="shared" si="27"/>
        <v>0.15350775174199291</v>
      </c>
      <c r="N105" s="290">
        <f t="shared" si="27"/>
        <v>0.15287773349987116</v>
      </c>
      <c r="O105" s="968">
        <f t="shared" si="27"/>
        <v>0.15222169505310959</v>
      </c>
      <c r="P105" s="1020"/>
      <c r="Q105" s="1020"/>
      <c r="R105" s="1020"/>
      <c r="S105" s="1020"/>
      <c r="T105" s="1020"/>
      <c r="U105" s="1020"/>
      <c r="V105" s="1020"/>
      <c r="W105" s="1020"/>
      <c r="X105" s="1020"/>
      <c r="Y105" s="1020"/>
      <c r="Z105" s="1020"/>
      <c r="AA105" s="1020"/>
      <c r="AB105" s="1020"/>
      <c r="AC105" s="420"/>
    </row>
    <row r="106" spans="4:32" x14ac:dyDescent="0.3">
      <c r="D106" s="143" t="s">
        <v>675</v>
      </c>
      <c r="F106" s="896"/>
      <c r="G106" s="290"/>
      <c r="H106" s="290">
        <f t="shared" si="27"/>
        <v>1.2140112870976327E-2</v>
      </c>
      <c r="I106" s="290">
        <f t="shared" si="27"/>
        <v>1.2867838023145487E-2</v>
      </c>
      <c r="J106" s="290">
        <f t="shared" si="27"/>
        <v>1.0646897156978221E-2</v>
      </c>
      <c r="K106" s="290">
        <f t="shared" si="27"/>
        <v>1.0585008884971108E-2</v>
      </c>
      <c r="L106" s="290">
        <f t="shared" si="27"/>
        <v>1.0824186458016532E-2</v>
      </c>
      <c r="M106" s="290">
        <f t="shared" si="27"/>
        <v>1.1076012635451236E-2</v>
      </c>
      <c r="N106" s="290">
        <f t="shared" si="27"/>
        <v>1.1338056460715356E-2</v>
      </c>
      <c r="O106" s="968">
        <f t="shared" si="27"/>
        <v>1.0855250780750272E-2</v>
      </c>
      <c r="P106" s="1020"/>
      <c r="Q106" s="1020"/>
      <c r="R106" s="1020"/>
      <c r="S106" s="1020"/>
      <c r="T106" s="1020"/>
      <c r="U106" s="1020"/>
      <c r="V106" s="1020"/>
      <c r="W106" s="1020"/>
      <c r="X106" s="1020"/>
      <c r="Y106" s="1020"/>
      <c r="Z106" s="1020"/>
      <c r="AA106" s="1020"/>
      <c r="AB106" s="1020"/>
      <c r="AC106" s="420"/>
    </row>
    <row r="107" spans="4:32" x14ac:dyDescent="0.3">
      <c r="D107" s="91" t="s">
        <v>676</v>
      </c>
      <c r="F107" s="896"/>
      <c r="G107" s="290"/>
      <c r="H107" s="290">
        <f t="shared" si="27"/>
        <v>0.12172540768016833</v>
      </c>
      <c r="I107" s="290">
        <f t="shared" si="27"/>
        <v>9.8615712257453844E-2</v>
      </c>
      <c r="J107" s="290">
        <f t="shared" si="27"/>
        <v>0.10910512937495927</v>
      </c>
      <c r="K107" s="290">
        <f t="shared" si="27"/>
        <v>0.10686521958606764</v>
      </c>
      <c r="L107" s="290">
        <f t="shared" si="27"/>
        <v>0.11540630607536528</v>
      </c>
      <c r="M107" s="290">
        <f t="shared" si="27"/>
        <v>0.11817745803357314</v>
      </c>
      <c r="N107" s="290">
        <f t="shared" si="27"/>
        <v>0.11661721068249259</v>
      </c>
      <c r="O107" s="290">
        <f t="shared" si="27"/>
        <v>0.11014624391984958</v>
      </c>
      <c r="P107" s="1020"/>
      <c r="Q107" s="1020"/>
      <c r="R107" s="1020"/>
      <c r="S107" s="1020"/>
      <c r="T107" s="1020"/>
      <c r="U107" s="1020"/>
      <c r="V107" s="1020"/>
      <c r="W107" s="1020"/>
      <c r="X107" s="1020"/>
      <c r="Y107" s="1020"/>
      <c r="Z107" s="1020"/>
      <c r="AA107" s="1020"/>
      <c r="AB107" s="1020"/>
      <c r="AC107" s="420"/>
    </row>
    <row r="108" spans="4:32" x14ac:dyDescent="0.3">
      <c r="D108" s="545" t="s">
        <v>718</v>
      </c>
      <c r="F108" s="145"/>
      <c r="G108" s="1017"/>
      <c r="H108" s="1017"/>
      <c r="I108" s="1017"/>
      <c r="J108" s="1017"/>
      <c r="K108" s="1017"/>
      <c r="L108" s="1017"/>
      <c r="M108" s="1017"/>
      <c r="N108" s="1017"/>
      <c r="O108" s="273"/>
      <c r="P108" s="1020"/>
      <c r="Q108" s="1020"/>
      <c r="R108" s="1020"/>
      <c r="S108" s="1020"/>
      <c r="T108" s="1020"/>
      <c r="U108" s="1020"/>
      <c r="V108" s="1020"/>
      <c r="W108" s="1020"/>
      <c r="X108" s="1020"/>
      <c r="Y108" s="1020"/>
      <c r="Z108" s="1020"/>
      <c r="AA108" s="1020"/>
      <c r="AB108" s="1020"/>
      <c r="AC108" s="420"/>
    </row>
    <row r="109" spans="4:32" x14ac:dyDescent="0.3">
      <c r="D109" s="162" t="s">
        <v>719</v>
      </c>
      <c r="F109" s="897">
        <f>SUM(F110:F113)</f>
        <v>14523.5</v>
      </c>
      <c r="G109" s="777">
        <f t="shared" ref="G109:O109" si="28">SUM(G110:G113)</f>
        <v>14614</v>
      </c>
      <c r="H109" s="777">
        <f t="shared" si="28"/>
        <v>14785.5</v>
      </c>
      <c r="I109" s="777">
        <f t="shared" si="28"/>
        <v>14940.199999999999</v>
      </c>
      <c r="J109" s="777">
        <f t="shared" si="28"/>
        <v>14077.4</v>
      </c>
      <c r="K109" s="777">
        <f t="shared" si="28"/>
        <v>14744.7</v>
      </c>
      <c r="L109" s="777">
        <f t="shared" si="28"/>
        <v>15140.7</v>
      </c>
      <c r="M109" s="777">
        <f t="shared" si="28"/>
        <v>15217.8</v>
      </c>
      <c r="N109" s="777">
        <f t="shared" si="28"/>
        <v>15584.4</v>
      </c>
      <c r="O109" s="969">
        <f t="shared" si="28"/>
        <v>15857.2</v>
      </c>
      <c r="P109" s="1020"/>
      <c r="Q109" s="1020"/>
      <c r="R109" s="1020"/>
      <c r="S109" s="1020"/>
      <c r="T109" s="1020"/>
      <c r="U109" s="1020"/>
      <c r="V109" s="1020"/>
      <c r="W109" s="1020"/>
      <c r="X109" s="1020"/>
      <c r="Y109" s="1020"/>
      <c r="Z109" s="1020"/>
      <c r="AA109" s="1020"/>
      <c r="AB109" s="1020"/>
      <c r="AC109" s="420"/>
    </row>
    <row r="110" spans="4:32" x14ac:dyDescent="0.3">
      <c r="D110" s="753" t="s">
        <v>1233</v>
      </c>
      <c r="E110" s="34" t="s">
        <v>1229</v>
      </c>
      <c r="F110" s="495">
        <f>'Haver Pivoted'!GQ81</f>
        <v>9287.2000000000007</v>
      </c>
      <c r="G110" s="1004">
        <f>'Haver Pivoted'!GR81</f>
        <v>9338.7000000000007</v>
      </c>
      <c r="H110" s="1004">
        <f>'Haver Pivoted'!GS81</f>
        <v>9477.6</v>
      </c>
      <c r="I110" s="1004">
        <f>'Haver Pivoted'!GT81</f>
        <v>9613.2999999999993</v>
      </c>
      <c r="J110" s="1004">
        <f>'Haver Pivoted'!GU81</f>
        <v>8985.9</v>
      </c>
      <c r="K110" s="1004">
        <f>'Haver Pivoted'!GV81</f>
        <v>9417.7999999999993</v>
      </c>
      <c r="L110" s="1004">
        <f>'Haver Pivoted'!GW81</f>
        <v>9791.1</v>
      </c>
      <c r="M110" s="1004">
        <f>'Haver Pivoted'!GX81</f>
        <v>9888.1</v>
      </c>
      <c r="N110" s="1004">
        <f>'Haver Pivoted'!GY81</f>
        <v>10087.799999999999</v>
      </c>
      <c r="O110" s="1004">
        <f>'Haver Pivoted'!GZ81</f>
        <v>10327.700000000001</v>
      </c>
      <c r="P110" s="898"/>
      <c r="Q110" s="1020"/>
      <c r="R110" s="1020"/>
      <c r="S110" s="1020"/>
      <c r="T110" s="1020"/>
      <c r="U110" s="1020"/>
      <c r="V110" s="1020"/>
      <c r="W110" s="1020"/>
      <c r="X110" s="1020"/>
      <c r="Y110" s="1020"/>
      <c r="Z110" s="1020"/>
      <c r="AA110" s="1020"/>
      <c r="AB110" s="1020"/>
      <c r="AC110" s="420"/>
    </row>
    <row r="111" spans="4:32" x14ac:dyDescent="0.3">
      <c r="D111" s="753" t="s">
        <v>720</v>
      </c>
      <c r="E111" s="34" t="s">
        <v>1230</v>
      </c>
      <c r="F111" s="495">
        <f>'Haver Pivoted'!GQ82</f>
        <v>1572.8</v>
      </c>
      <c r="G111" s="1004">
        <f>'Haver Pivoted'!GR82</f>
        <v>1610.6</v>
      </c>
      <c r="H111" s="1004">
        <f>'Haver Pivoted'!GS82</f>
        <v>1626.8</v>
      </c>
      <c r="I111" s="1004">
        <f>'Haver Pivoted'!GT82</f>
        <v>1638.3</v>
      </c>
      <c r="J111" s="1004">
        <f>'Haver Pivoted'!GU82</f>
        <v>1471.1</v>
      </c>
      <c r="K111" s="1004">
        <f>'Haver Pivoted'!GV82</f>
        <v>1760.7</v>
      </c>
      <c r="L111" s="1004">
        <f>'Haver Pivoted'!GW82</f>
        <v>1730</v>
      </c>
      <c r="M111" s="1004">
        <f>'Haver Pivoted'!GX82</f>
        <v>1714</v>
      </c>
      <c r="N111" s="1004">
        <f>'Haver Pivoted'!GY82</f>
        <v>1848.2</v>
      </c>
      <c r="O111" s="1004">
        <f>'Haver Pivoted'!GZ82</f>
        <v>1850.6</v>
      </c>
      <c r="P111" s="1020"/>
      <c r="Q111" s="1020"/>
      <c r="R111" s="1020"/>
      <c r="S111" s="1020"/>
      <c r="T111" s="1020"/>
      <c r="U111" s="1020"/>
      <c r="V111" s="1020"/>
      <c r="W111" s="1020"/>
      <c r="X111" s="1020"/>
      <c r="Y111" s="1020"/>
      <c r="Z111" s="1020"/>
      <c r="AA111" s="1020"/>
      <c r="AB111" s="1020"/>
      <c r="AC111" s="420"/>
    </row>
    <row r="112" spans="4:32" x14ac:dyDescent="0.3">
      <c r="D112" s="753" t="s">
        <v>721</v>
      </c>
      <c r="E112" s="34" t="s">
        <v>1240</v>
      </c>
      <c r="F112" s="495">
        <f>'Haver Pivoted'!GQ83</f>
        <v>691</v>
      </c>
      <c r="G112" s="1004">
        <f>'Haver Pivoted'!GR83</f>
        <v>691.5</v>
      </c>
      <c r="H112" s="1004">
        <f>'Haver Pivoted'!GS83</f>
        <v>699</v>
      </c>
      <c r="I112" s="1004">
        <f>'Haver Pivoted'!GT83</f>
        <v>712.2</v>
      </c>
      <c r="J112" s="1004">
        <f>'Haver Pivoted'!GU83</f>
        <v>709.5</v>
      </c>
      <c r="K112" s="1004">
        <f>'Haver Pivoted'!GV83</f>
        <v>714.5</v>
      </c>
      <c r="L112" s="1004">
        <f>'Haver Pivoted'!GW83</f>
        <v>710</v>
      </c>
      <c r="M112" s="1004">
        <f>'Haver Pivoted'!GX83</f>
        <v>716.9</v>
      </c>
      <c r="N112" s="1004">
        <f>'Haver Pivoted'!GY83</f>
        <v>716.3</v>
      </c>
      <c r="O112" s="1004">
        <f>'Haver Pivoted'!GZ83</f>
        <v>729.3</v>
      </c>
      <c r="P112" s="1020"/>
      <c r="Q112" s="1020"/>
      <c r="R112" s="1020"/>
      <c r="S112" s="1020"/>
      <c r="T112" s="1020"/>
      <c r="U112" s="1020"/>
      <c r="V112" s="1020"/>
      <c r="W112" s="1020"/>
      <c r="X112" s="1020"/>
      <c r="Y112" s="1020"/>
      <c r="Z112" s="1020"/>
      <c r="AA112" s="1020"/>
      <c r="AB112" s="1020"/>
      <c r="AC112" s="420"/>
    </row>
    <row r="113" spans="4:30" x14ac:dyDescent="0.3">
      <c r="D113" s="753" t="s">
        <v>722</v>
      </c>
      <c r="E113" s="34" t="s">
        <v>1232</v>
      </c>
      <c r="F113" s="495">
        <f>'Haver Pivoted'!GQ84</f>
        <v>2972.5</v>
      </c>
      <c r="G113" s="1004">
        <f>'Haver Pivoted'!GR84</f>
        <v>2973.2</v>
      </c>
      <c r="H113" s="1004">
        <f>'Haver Pivoted'!GS84</f>
        <v>2982.1</v>
      </c>
      <c r="I113" s="1004">
        <f>'Haver Pivoted'!GT84</f>
        <v>2976.4</v>
      </c>
      <c r="J113" s="1004">
        <f>'Haver Pivoted'!GU84</f>
        <v>2910.9</v>
      </c>
      <c r="K113" s="1004">
        <f>'Haver Pivoted'!GV84</f>
        <v>2851.7</v>
      </c>
      <c r="L113" s="1004">
        <f>'Haver Pivoted'!GW84</f>
        <v>2909.6</v>
      </c>
      <c r="M113" s="1004">
        <f>'Haver Pivoted'!GX84</f>
        <v>2898.8</v>
      </c>
      <c r="N113" s="1004">
        <f>'Haver Pivoted'!GY84</f>
        <v>2932.1</v>
      </c>
      <c r="O113" s="1004">
        <f>'Haver Pivoted'!GZ84</f>
        <v>2949.6</v>
      </c>
      <c r="P113" s="1020"/>
      <c r="Q113" s="1020"/>
      <c r="R113" s="1020"/>
      <c r="S113" s="1020"/>
      <c r="T113" s="1020"/>
      <c r="U113" s="1020"/>
      <c r="V113" s="1020"/>
      <c r="W113" s="1020"/>
      <c r="X113" s="1020"/>
      <c r="Y113" s="1020"/>
      <c r="Z113" s="1020"/>
      <c r="AA113" s="1020"/>
      <c r="AB113" s="1020"/>
      <c r="AC113" s="420"/>
    </row>
    <row r="114" spans="4:30" x14ac:dyDescent="0.3">
      <c r="D114" s="162" t="s">
        <v>703</v>
      </c>
      <c r="F114" s="897">
        <f>F110</f>
        <v>9287.2000000000007</v>
      </c>
      <c r="G114" s="1005">
        <f t="shared" ref="G114:O114" si="29">G110</f>
        <v>9338.7000000000007</v>
      </c>
      <c r="H114" s="1005">
        <f t="shared" si="29"/>
        <v>9477.6</v>
      </c>
      <c r="I114" s="1005">
        <f t="shared" si="29"/>
        <v>9613.2999999999993</v>
      </c>
      <c r="J114" s="1005">
        <f t="shared" si="29"/>
        <v>8985.9</v>
      </c>
      <c r="K114" s="1005">
        <f t="shared" si="29"/>
        <v>9417.7999999999993</v>
      </c>
      <c r="L114" s="1005">
        <f t="shared" si="29"/>
        <v>9791.1</v>
      </c>
      <c r="M114" s="1005">
        <f t="shared" si="29"/>
        <v>9888.1</v>
      </c>
      <c r="N114" s="1005">
        <f t="shared" si="29"/>
        <v>10087.799999999999</v>
      </c>
      <c r="O114" s="1005">
        <f t="shared" si="29"/>
        <v>10327.700000000001</v>
      </c>
      <c r="P114" s="1020"/>
      <c r="Q114" s="1020"/>
      <c r="R114" s="1020"/>
      <c r="S114" s="1020"/>
      <c r="T114" s="1020"/>
      <c r="U114" s="1020"/>
      <c r="V114" s="1020"/>
      <c r="W114" s="1020"/>
      <c r="X114" s="1020"/>
      <c r="Y114" s="1020"/>
      <c r="Z114" s="1020"/>
      <c r="AA114" s="1020"/>
      <c r="AB114" s="1020"/>
      <c r="AC114" s="420"/>
    </row>
    <row r="115" spans="4:30" x14ac:dyDescent="0.3">
      <c r="D115" s="162" t="s">
        <v>704</v>
      </c>
      <c r="E115" s="34" t="s">
        <v>930</v>
      </c>
      <c r="F115" s="897">
        <f>'Haver Pivoted'!GQ5</f>
        <v>14375.7</v>
      </c>
      <c r="G115" s="1005">
        <f>'Haver Pivoted'!GR5</f>
        <v>14529.5</v>
      </c>
      <c r="H115" s="1005">
        <f>'Haver Pivoted'!GS5</f>
        <v>14653.9</v>
      </c>
      <c r="I115" s="1005">
        <f>'Haver Pivoted'!GT5</f>
        <v>14439.1</v>
      </c>
      <c r="J115" s="1005">
        <f>'Haver Pivoted'!GU5</f>
        <v>12989.7</v>
      </c>
      <c r="K115" s="1005">
        <f>'Haver Pivoted'!GV5</f>
        <v>14293.8</v>
      </c>
      <c r="L115" s="1005">
        <f>'Haver Pivoted'!GW5</f>
        <v>14467.6</v>
      </c>
      <c r="M115" s="1005">
        <f>'Haver Pivoted'!GX5</f>
        <v>15005.4</v>
      </c>
      <c r="N115" s="1005">
        <f>'Haver Pivoted'!GY5</f>
        <v>15681.7</v>
      </c>
      <c r="O115" s="1005">
        <f>'Haver Pivoted'!GZ5</f>
        <v>15946.2</v>
      </c>
      <c r="P115" s="1020"/>
      <c r="Q115" s="1020"/>
      <c r="R115" s="1020"/>
      <c r="S115" s="1020"/>
      <c r="T115" s="1020"/>
      <c r="U115" s="1020"/>
      <c r="V115" s="1020"/>
      <c r="W115" s="1020"/>
      <c r="X115" s="1020"/>
      <c r="Y115" s="1020"/>
      <c r="Z115" s="1020"/>
      <c r="AA115" s="1020"/>
      <c r="AB115" s="1020"/>
      <c r="AC115" s="420"/>
    </row>
    <row r="116" spans="4:30" x14ac:dyDescent="0.3">
      <c r="D116" s="162" t="s">
        <v>723</v>
      </c>
      <c r="E116" s="34" t="s">
        <v>1231</v>
      </c>
      <c r="F116" s="897">
        <f>'Haver Pivoted'!GQ85</f>
        <v>1858.1</v>
      </c>
      <c r="G116" s="1005">
        <f>'Haver Pivoted'!GR85</f>
        <v>1859.3</v>
      </c>
      <c r="H116" s="1005">
        <f>'Haver Pivoted'!GS85</f>
        <v>1901</v>
      </c>
      <c r="I116" s="1005">
        <f>'Haver Pivoted'!GT85</f>
        <v>1690.4</v>
      </c>
      <c r="J116" s="1005">
        <f>'Haver Pivoted'!GU85</f>
        <v>1534.3</v>
      </c>
      <c r="K116" s="1005">
        <f>'Haver Pivoted'!GV85</f>
        <v>1981</v>
      </c>
      <c r="L116" s="1005">
        <f>'Haver Pivoted'!GW85</f>
        <v>1950.5</v>
      </c>
      <c r="M116" s="1005">
        <f>'Haver Pivoted'!GX85</f>
        <v>2085</v>
      </c>
      <c r="N116" s="1005">
        <f>'Haver Pivoted'!GY85</f>
        <v>2359</v>
      </c>
      <c r="O116" s="1005">
        <f>N116-M116+N116</f>
        <v>2633</v>
      </c>
      <c r="P116" s="1020"/>
      <c r="Q116" s="1020"/>
      <c r="R116" s="1020"/>
      <c r="S116" s="1020"/>
      <c r="T116" s="1020"/>
      <c r="U116" s="1020"/>
      <c r="V116" s="1020"/>
      <c r="W116" s="1020"/>
      <c r="X116" s="1020"/>
      <c r="Y116" s="1020"/>
      <c r="Z116" s="1020"/>
      <c r="AA116" s="1020"/>
      <c r="AB116" s="1020"/>
      <c r="AC116" s="420"/>
    </row>
    <row r="117" spans="4:30" x14ac:dyDescent="0.3">
      <c r="D117" s="545" t="s">
        <v>724</v>
      </c>
      <c r="F117" s="145"/>
      <c r="G117" s="1006"/>
      <c r="H117" s="1006"/>
      <c r="I117" s="1006"/>
      <c r="J117" s="1006"/>
      <c r="K117" s="1006"/>
      <c r="L117" s="1006"/>
      <c r="M117" s="1006"/>
      <c r="N117" s="1006"/>
      <c r="O117" s="273"/>
      <c r="P117" s="1020"/>
      <c r="Q117" s="1020"/>
      <c r="R117" s="1020"/>
      <c r="S117" s="1020"/>
      <c r="T117" s="1020"/>
      <c r="U117" s="1020"/>
      <c r="V117" s="1020"/>
      <c r="W117" s="1020"/>
      <c r="X117" s="1020"/>
      <c r="Y117" s="1020"/>
      <c r="Z117" s="1020"/>
      <c r="AA117" s="1020"/>
      <c r="AB117" s="1020"/>
      <c r="AC117" s="420"/>
    </row>
    <row r="118" spans="4:30" x14ac:dyDescent="0.3">
      <c r="D118" s="734" t="s">
        <v>677</v>
      </c>
      <c r="F118" s="730">
        <f t="shared" ref="F118:O118" si="30">F17/F109</f>
        <v>3.5866010259235033E-2</v>
      </c>
      <c r="G118" s="364">
        <f t="shared" si="30"/>
        <v>3.4035856028465851E-2</v>
      </c>
      <c r="H118" s="364">
        <f t="shared" si="30"/>
        <v>3.3458455919651006E-2</v>
      </c>
      <c r="I118" s="364">
        <f t="shared" si="30"/>
        <v>3.3721101457811813E-2</v>
      </c>
      <c r="J118" s="364">
        <f t="shared" si="30"/>
        <v>3.6761049625641098E-2</v>
      </c>
      <c r="K118" s="364">
        <f t="shared" si="30"/>
        <v>3.5239781073877395E-2</v>
      </c>
      <c r="L118" s="364">
        <f t="shared" si="30"/>
        <v>3.4529447119353789E-2</v>
      </c>
      <c r="M118" s="364">
        <f t="shared" si="30"/>
        <v>3.6812154187858957E-2</v>
      </c>
      <c r="N118" s="364">
        <f t="shared" si="30"/>
        <v>3.7627370960704294E-2</v>
      </c>
      <c r="O118" s="968">
        <f t="shared" si="30"/>
        <v>3.7692656963398331E-2</v>
      </c>
      <c r="P118" s="762">
        <f t="shared" ref="P118:AC121" si="31">O118</f>
        <v>3.7692656963398331E-2</v>
      </c>
      <c r="Q118" s="762">
        <f t="shared" si="31"/>
        <v>3.7692656963398331E-2</v>
      </c>
      <c r="R118" s="762">
        <f t="shared" si="31"/>
        <v>3.7692656963398331E-2</v>
      </c>
      <c r="S118" s="762">
        <f t="shared" si="31"/>
        <v>3.7692656963398331E-2</v>
      </c>
      <c r="T118" s="762">
        <f t="shared" si="31"/>
        <v>3.7692656963398331E-2</v>
      </c>
      <c r="U118" s="762">
        <f t="shared" si="31"/>
        <v>3.7692656963398331E-2</v>
      </c>
      <c r="V118" s="762">
        <f t="shared" si="31"/>
        <v>3.7692656963398331E-2</v>
      </c>
      <c r="W118" s="762">
        <f t="shared" si="31"/>
        <v>3.7692656963398331E-2</v>
      </c>
      <c r="X118" s="762">
        <f t="shared" si="31"/>
        <v>3.7692656963398331E-2</v>
      </c>
      <c r="Y118" s="762">
        <f t="shared" si="31"/>
        <v>3.7692656963398331E-2</v>
      </c>
      <c r="Z118" s="762">
        <f t="shared" si="31"/>
        <v>3.7692656963398331E-2</v>
      </c>
      <c r="AA118" s="762">
        <f t="shared" si="31"/>
        <v>3.7692656963398331E-2</v>
      </c>
      <c r="AB118" s="762">
        <f t="shared" si="31"/>
        <v>3.7692656963398331E-2</v>
      </c>
      <c r="AC118" s="970">
        <f t="shared" si="31"/>
        <v>3.7692656963398331E-2</v>
      </c>
      <c r="AD118" s="765"/>
    </row>
    <row r="119" spans="4:30" x14ac:dyDescent="0.3">
      <c r="D119" s="734" t="s">
        <v>674</v>
      </c>
      <c r="F119" s="730">
        <f t="shared" ref="F119:O119" si="32">F18/F114</f>
        <v>2.2073391334309586E-3</v>
      </c>
      <c r="G119" s="364">
        <f t="shared" si="32"/>
        <v>2.1737500936961245E-3</v>
      </c>
      <c r="H119" s="364">
        <f t="shared" si="32"/>
        <v>2.1313412678315184E-3</v>
      </c>
      <c r="I119" s="364">
        <f t="shared" si="32"/>
        <v>2.0908532969947887E-3</v>
      </c>
      <c r="J119" s="364">
        <f t="shared" si="32"/>
        <v>2.1255522540869587E-3</v>
      </c>
      <c r="K119" s="364">
        <f t="shared" si="32"/>
        <v>2.1130200259083863E-3</v>
      </c>
      <c r="L119" s="364">
        <f t="shared" si="32"/>
        <v>2.0937381908059361E-3</v>
      </c>
      <c r="M119" s="364">
        <f t="shared" si="32"/>
        <v>2.1439912622242896E-3</v>
      </c>
      <c r="N119" s="364">
        <f t="shared" si="32"/>
        <v>2.1709391542258966E-3</v>
      </c>
      <c r="O119" s="968">
        <f t="shared" si="32"/>
        <v>2.1689243490806277E-3</v>
      </c>
      <c r="P119" s="762">
        <f t="shared" si="31"/>
        <v>2.1689243490806277E-3</v>
      </c>
      <c r="Q119" s="762">
        <f t="shared" si="31"/>
        <v>2.1689243490806277E-3</v>
      </c>
      <c r="R119" s="762">
        <f t="shared" si="31"/>
        <v>2.1689243490806277E-3</v>
      </c>
      <c r="S119" s="762">
        <f t="shared" si="31"/>
        <v>2.1689243490806277E-3</v>
      </c>
      <c r="T119" s="762">
        <f t="shared" si="31"/>
        <v>2.1689243490806277E-3</v>
      </c>
      <c r="U119" s="762">
        <f t="shared" si="31"/>
        <v>2.1689243490806277E-3</v>
      </c>
      <c r="V119" s="762">
        <f t="shared" si="31"/>
        <v>2.1689243490806277E-3</v>
      </c>
      <c r="W119" s="762">
        <f t="shared" si="31"/>
        <v>2.1689243490806277E-3</v>
      </c>
      <c r="X119" s="762">
        <f t="shared" si="31"/>
        <v>2.1689243490806277E-3</v>
      </c>
      <c r="Y119" s="762">
        <f t="shared" si="31"/>
        <v>2.1689243490806277E-3</v>
      </c>
      <c r="Z119" s="762">
        <f t="shared" si="31"/>
        <v>2.1689243490806277E-3</v>
      </c>
      <c r="AA119" s="762">
        <f t="shared" si="31"/>
        <v>2.1689243490806277E-3</v>
      </c>
      <c r="AB119" s="762">
        <f t="shared" si="31"/>
        <v>2.1689243490806277E-3</v>
      </c>
      <c r="AC119" s="970">
        <f t="shared" si="31"/>
        <v>2.1689243490806277E-3</v>
      </c>
      <c r="AD119" s="765"/>
    </row>
    <row r="120" spans="4:30" x14ac:dyDescent="0.3">
      <c r="D120" s="734" t="s">
        <v>675</v>
      </c>
      <c r="F120" s="730">
        <f t="shared" ref="F120:O120" si="33">F19/F115</f>
        <v>9.3818040165000657E-2</v>
      </c>
      <c r="G120" s="364">
        <f t="shared" si="33"/>
        <v>9.4435458893974325E-2</v>
      </c>
      <c r="H120" s="364">
        <f t="shared" si="33"/>
        <v>9.406369635387167E-2</v>
      </c>
      <c r="I120" s="364">
        <f t="shared" si="33"/>
        <v>9.635642110657866E-2</v>
      </c>
      <c r="J120" s="364">
        <f t="shared" si="33"/>
        <v>0.10178833999245555</v>
      </c>
      <c r="K120" s="364">
        <f t="shared" si="33"/>
        <v>9.7433852439519242E-2</v>
      </c>
      <c r="L120" s="364">
        <f t="shared" si="33"/>
        <v>9.6795598440653607E-2</v>
      </c>
      <c r="M120" s="364">
        <f t="shared" si="33"/>
        <v>9.4226078611699793E-2</v>
      </c>
      <c r="N120" s="364">
        <f t="shared" si="33"/>
        <v>9.3006498019985076E-2</v>
      </c>
      <c r="O120" s="968">
        <f t="shared" si="33"/>
        <v>9.3175803639738611E-2</v>
      </c>
      <c r="P120" s="762">
        <f t="shared" si="31"/>
        <v>9.3175803639738611E-2</v>
      </c>
      <c r="Q120" s="762">
        <f t="shared" si="31"/>
        <v>9.3175803639738611E-2</v>
      </c>
      <c r="R120" s="762">
        <f t="shared" si="31"/>
        <v>9.3175803639738611E-2</v>
      </c>
      <c r="S120" s="762">
        <f t="shared" si="31"/>
        <v>9.3175803639738611E-2</v>
      </c>
      <c r="T120" s="762">
        <f t="shared" si="31"/>
        <v>9.3175803639738611E-2</v>
      </c>
      <c r="U120" s="762">
        <f t="shared" si="31"/>
        <v>9.3175803639738611E-2</v>
      </c>
      <c r="V120" s="762">
        <f t="shared" si="31"/>
        <v>9.3175803639738611E-2</v>
      </c>
      <c r="W120" s="762">
        <f t="shared" si="31"/>
        <v>9.3175803639738611E-2</v>
      </c>
      <c r="X120" s="762">
        <f t="shared" si="31"/>
        <v>9.3175803639738611E-2</v>
      </c>
      <c r="Y120" s="762">
        <f t="shared" si="31"/>
        <v>9.3175803639738611E-2</v>
      </c>
      <c r="Z120" s="762">
        <f t="shared" si="31"/>
        <v>9.3175803639738611E-2</v>
      </c>
      <c r="AA120" s="762">
        <f t="shared" si="31"/>
        <v>9.3175803639738611E-2</v>
      </c>
      <c r="AB120" s="762">
        <f t="shared" si="31"/>
        <v>9.3175803639738611E-2</v>
      </c>
      <c r="AC120" s="970">
        <f t="shared" si="31"/>
        <v>9.3175803639738611E-2</v>
      </c>
      <c r="AD120" s="765"/>
    </row>
    <row r="121" spans="4:30" x14ac:dyDescent="0.3">
      <c r="D121" s="735" t="s">
        <v>725</v>
      </c>
      <c r="E121" s="42"/>
      <c r="F121" s="655">
        <f t="shared" ref="F121:O121" si="34">F20/F116</f>
        <v>3.9179807330068352E-2</v>
      </c>
      <c r="G121" s="285">
        <f t="shared" si="34"/>
        <v>3.9315871564567305E-2</v>
      </c>
      <c r="H121" s="285">
        <f t="shared" si="34"/>
        <v>3.8085218306154661E-2</v>
      </c>
      <c r="I121" s="285">
        <f t="shared" si="34"/>
        <v>3.9339801230477991E-2</v>
      </c>
      <c r="J121" s="285">
        <f t="shared" si="34"/>
        <v>4.0344130874014207E-2</v>
      </c>
      <c r="K121" s="285">
        <f t="shared" si="34"/>
        <v>3.8768298838970212E-2</v>
      </c>
      <c r="L121" s="285">
        <f t="shared" si="34"/>
        <v>4.039989746218918E-2</v>
      </c>
      <c r="M121" s="285">
        <f t="shared" si="34"/>
        <v>4.100719424460432E-2</v>
      </c>
      <c r="N121" s="285">
        <f t="shared" si="34"/>
        <v>3.8957185247986435E-2</v>
      </c>
      <c r="O121" s="285">
        <f t="shared" si="34"/>
        <v>4.5529642019687136E-2</v>
      </c>
      <c r="P121" s="763">
        <f>O121</f>
        <v>4.5529642019687136E-2</v>
      </c>
      <c r="Q121" s="763">
        <f t="shared" si="31"/>
        <v>4.5529642019687136E-2</v>
      </c>
      <c r="R121" s="763">
        <f t="shared" si="31"/>
        <v>4.5529642019687136E-2</v>
      </c>
      <c r="S121" s="763">
        <f t="shared" si="31"/>
        <v>4.5529642019687136E-2</v>
      </c>
      <c r="T121" s="763">
        <f t="shared" si="31"/>
        <v>4.5529642019687136E-2</v>
      </c>
      <c r="U121" s="763">
        <f t="shared" si="31"/>
        <v>4.5529642019687136E-2</v>
      </c>
      <c r="V121" s="763">
        <f t="shared" si="31"/>
        <v>4.5529642019687136E-2</v>
      </c>
      <c r="W121" s="763">
        <f t="shared" si="31"/>
        <v>4.5529642019687136E-2</v>
      </c>
      <c r="X121" s="763">
        <f t="shared" si="31"/>
        <v>4.5529642019687136E-2</v>
      </c>
      <c r="Y121" s="763">
        <f t="shared" si="31"/>
        <v>4.5529642019687136E-2</v>
      </c>
      <c r="Z121" s="763">
        <f t="shared" si="31"/>
        <v>4.5529642019687136E-2</v>
      </c>
      <c r="AA121" s="763">
        <f t="shared" si="31"/>
        <v>4.5529642019687136E-2</v>
      </c>
      <c r="AB121" s="763">
        <f t="shared" si="31"/>
        <v>4.5529642019687136E-2</v>
      </c>
      <c r="AC121" s="764">
        <f t="shared" si="31"/>
        <v>4.5529642019687136E-2</v>
      </c>
      <c r="AD121" s="765"/>
    </row>
    <row r="123" spans="4:30" ht="18.649999999999999" customHeight="1" x14ac:dyDescent="0.4">
      <c r="D123" s="1275" t="s">
        <v>1259</v>
      </c>
      <c r="E123" s="1275"/>
      <c r="F123" s="1275"/>
      <c r="G123" s="1275"/>
      <c r="H123" s="1275"/>
      <c r="I123" s="1275"/>
      <c r="J123" s="1275"/>
      <c r="K123" s="1275"/>
      <c r="L123" s="1275"/>
      <c r="M123" s="1275"/>
      <c r="N123" s="1275"/>
      <c r="O123" s="1275"/>
      <c r="P123" s="1275"/>
    </row>
    <row r="124" spans="4:30" ht="16.5" x14ac:dyDescent="0.35">
      <c r="D124" s="1276" t="s">
        <v>1260</v>
      </c>
      <c r="E124" s="1276"/>
      <c r="F124" s="1276"/>
      <c r="G124" s="1276"/>
      <c r="H124" s="1276"/>
      <c r="I124" s="1276"/>
      <c r="J124" s="1276"/>
      <c r="K124" s="1276"/>
      <c r="L124" s="1276"/>
      <c r="M124" s="1276"/>
      <c r="N124" s="1276"/>
      <c r="O124" s="1276"/>
      <c r="P124" s="1276"/>
    </row>
    <row r="125" spans="4:30" x14ac:dyDescent="0.3">
      <c r="D125" s="1277" t="s">
        <v>1261</v>
      </c>
      <c r="E125" s="1277"/>
      <c r="F125" s="1277"/>
      <c r="G125" s="1277"/>
      <c r="H125" s="1277"/>
      <c r="I125" s="1277"/>
      <c r="J125" s="1277"/>
      <c r="K125" s="1277"/>
      <c r="L125" s="1277"/>
      <c r="M125" s="1277"/>
      <c r="N125" s="1277"/>
      <c r="O125" s="1277"/>
      <c r="P125" s="1277"/>
    </row>
    <row r="126" spans="4:30" x14ac:dyDescent="0.3">
      <c r="D126" s="1277" t="s">
        <v>1262</v>
      </c>
      <c r="E126" s="1277"/>
      <c r="F126" s="1277"/>
      <c r="G126" s="1277"/>
      <c r="H126" s="1277"/>
      <c r="I126" s="1277"/>
      <c r="J126" s="1277"/>
      <c r="K126" s="1277"/>
      <c r="L126" s="1277"/>
      <c r="M126" s="1277"/>
      <c r="N126" s="1277"/>
      <c r="O126" s="1277"/>
      <c r="P126" s="1277"/>
    </row>
    <row r="128" spans="4:30" x14ac:dyDescent="0.3">
      <c r="D128" s="1268" t="s">
        <v>1263</v>
      </c>
      <c r="E128" s="1268" t="s">
        <v>302</v>
      </c>
      <c r="F128" s="1270" t="s">
        <v>1264</v>
      </c>
      <c r="G128" s="1271"/>
      <c r="H128" s="1271"/>
      <c r="I128" s="1272"/>
      <c r="J128" s="1270" t="s">
        <v>1265</v>
      </c>
      <c r="K128" s="1271"/>
      <c r="L128" s="1271"/>
      <c r="M128" s="1272"/>
      <c r="N128" s="1270" t="s">
        <v>692</v>
      </c>
      <c r="O128" s="1271"/>
      <c r="P128" s="1272"/>
    </row>
    <row r="129" spans="4:16" x14ac:dyDescent="0.3">
      <c r="D129" s="1269"/>
      <c r="E129" s="1269"/>
      <c r="F129" s="1035" t="s">
        <v>404</v>
      </c>
      <c r="G129" s="1035" t="s">
        <v>405</v>
      </c>
      <c r="H129" s="1035" t="s">
        <v>290</v>
      </c>
      <c r="I129" s="1035" t="s">
        <v>403</v>
      </c>
      <c r="J129" s="1035" t="s">
        <v>404</v>
      </c>
      <c r="K129" s="1035" t="s">
        <v>405</v>
      </c>
      <c r="L129" s="1035" t="s">
        <v>290</v>
      </c>
      <c r="M129" s="1035" t="s">
        <v>403</v>
      </c>
      <c r="N129" s="1035" t="s">
        <v>404</v>
      </c>
      <c r="O129" s="1035" t="s">
        <v>405</v>
      </c>
      <c r="P129" s="1035" t="s">
        <v>290</v>
      </c>
    </row>
    <row r="130" spans="4:16" x14ac:dyDescent="0.3">
      <c r="D130" s="1033" t="s">
        <v>1266</v>
      </c>
      <c r="E130" s="1034" t="s">
        <v>1267</v>
      </c>
      <c r="F130" s="1033">
        <v>3676.4</v>
      </c>
      <c r="G130" s="1033">
        <v>3706</v>
      </c>
      <c r="H130" s="1033">
        <v>3708.9</v>
      </c>
      <c r="I130" s="1033">
        <v>3763.4</v>
      </c>
      <c r="J130" s="1033">
        <v>3751.2</v>
      </c>
      <c r="K130" s="1033">
        <v>3481.1</v>
      </c>
      <c r="L130" s="1033">
        <v>3690.5</v>
      </c>
      <c r="M130" s="1033">
        <v>3815.1</v>
      </c>
      <c r="N130" s="1033">
        <v>3982.6</v>
      </c>
      <c r="O130" s="1033">
        <v>4146.6000000000004</v>
      </c>
      <c r="P130" s="1033" t="s">
        <v>1268</v>
      </c>
    </row>
    <row r="131" spans="4:16" x14ac:dyDescent="0.3">
      <c r="D131" s="1033" t="s">
        <v>1269</v>
      </c>
      <c r="E131" s="1033" t="s">
        <v>1270</v>
      </c>
      <c r="F131" s="1033">
        <v>2107.6999999999998</v>
      </c>
      <c r="G131" s="1033">
        <v>2120.4</v>
      </c>
      <c r="H131" s="1033">
        <v>2117.1</v>
      </c>
      <c r="I131" s="1033">
        <v>2165.3000000000002</v>
      </c>
      <c r="J131" s="1033">
        <v>2119</v>
      </c>
      <c r="K131" s="1033">
        <v>1913.3</v>
      </c>
      <c r="L131" s="1033">
        <v>2051.8000000000002</v>
      </c>
      <c r="M131" s="1033">
        <v>2147</v>
      </c>
      <c r="N131" s="1033">
        <v>2294</v>
      </c>
      <c r="O131" s="1033">
        <v>2410.5</v>
      </c>
      <c r="P131" s="1033" t="s">
        <v>1268</v>
      </c>
    </row>
    <row r="132" spans="4:16" x14ac:dyDescent="0.3">
      <c r="D132" s="1033" t="s">
        <v>1271</v>
      </c>
      <c r="E132" s="1033" t="s">
        <v>1272</v>
      </c>
      <c r="F132" s="1033">
        <v>1696.4</v>
      </c>
      <c r="G132" s="1033">
        <v>1701.9</v>
      </c>
      <c r="H132" s="1033">
        <v>1707.8</v>
      </c>
      <c r="I132" s="1033">
        <v>1728.6</v>
      </c>
      <c r="J132" s="1033">
        <v>1737.9</v>
      </c>
      <c r="K132" s="1033">
        <v>1581.5</v>
      </c>
      <c r="L132" s="1033">
        <v>1662.2</v>
      </c>
      <c r="M132" s="1033">
        <v>1736.9</v>
      </c>
      <c r="N132" s="1033">
        <v>1851.9</v>
      </c>
      <c r="O132" s="1033">
        <v>1928.3</v>
      </c>
      <c r="P132" s="1033">
        <v>1994.3</v>
      </c>
    </row>
    <row r="133" spans="4:16" x14ac:dyDescent="0.3">
      <c r="D133" s="1033" t="s">
        <v>1273</v>
      </c>
      <c r="E133" s="1033" t="s">
        <v>1274</v>
      </c>
      <c r="F133" s="1033">
        <v>173.4</v>
      </c>
      <c r="G133" s="1033">
        <v>172.2</v>
      </c>
      <c r="H133" s="1033">
        <v>175.3</v>
      </c>
      <c r="I133" s="1033">
        <v>177.9</v>
      </c>
      <c r="J133" s="1033">
        <v>185.8</v>
      </c>
      <c r="K133" s="1033">
        <v>138.30000000000001</v>
      </c>
      <c r="L133" s="1033">
        <v>151.30000000000001</v>
      </c>
      <c r="M133" s="1033">
        <v>156.6</v>
      </c>
      <c r="N133" s="1033">
        <v>166.2</v>
      </c>
      <c r="O133" s="1033">
        <v>177.8</v>
      </c>
      <c r="P133" s="1033">
        <v>173.1</v>
      </c>
    </row>
    <row r="134" spans="4:16" x14ac:dyDescent="0.3">
      <c r="D134" s="1033" t="s">
        <v>1275</v>
      </c>
      <c r="E134" s="1033" t="s">
        <v>1276</v>
      </c>
      <c r="F134" s="1033">
        <v>96.3</v>
      </c>
      <c r="G134" s="1033">
        <v>97.3</v>
      </c>
      <c r="H134" s="1033">
        <v>95.1</v>
      </c>
      <c r="I134" s="1033">
        <v>94.2</v>
      </c>
      <c r="J134" s="1033">
        <v>103.9</v>
      </c>
      <c r="K134" s="1033">
        <v>78.3</v>
      </c>
      <c r="L134" s="1033">
        <v>85.1</v>
      </c>
      <c r="M134" s="1033">
        <v>85.2</v>
      </c>
      <c r="N134" s="1033">
        <v>84.6</v>
      </c>
      <c r="O134" s="1033">
        <v>86.9</v>
      </c>
      <c r="P134" s="1033">
        <v>86.1</v>
      </c>
    </row>
    <row r="135" spans="4:16" x14ac:dyDescent="0.3">
      <c r="D135" s="1033" t="s">
        <v>1277</v>
      </c>
      <c r="E135" s="1033" t="s">
        <v>1278</v>
      </c>
      <c r="F135" s="1033">
        <v>75.900000000000006</v>
      </c>
      <c r="G135" s="1033">
        <v>73.599999999999994</v>
      </c>
      <c r="H135" s="1033">
        <v>79</v>
      </c>
      <c r="I135" s="1033">
        <v>82.5</v>
      </c>
      <c r="J135" s="1033">
        <v>80.7</v>
      </c>
      <c r="K135" s="1033">
        <v>58.7</v>
      </c>
      <c r="L135" s="1033">
        <v>65</v>
      </c>
      <c r="M135" s="1033">
        <v>70.099999999999994</v>
      </c>
      <c r="N135" s="1033">
        <v>80.400000000000006</v>
      </c>
      <c r="O135" s="1033">
        <v>89.6</v>
      </c>
      <c r="P135" s="1033">
        <v>85.7</v>
      </c>
    </row>
    <row r="136" spans="4:16" x14ac:dyDescent="0.3">
      <c r="D136" s="1033" t="s">
        <v>1279</v>
      </c>
      <c r="E136" s="1033" t="s">
        <v>1280</v>
      </c>
      <c r="F136" s="1033">
        <v>1.2</v>
      </c>
      <c r="G136" s="1033">
        <v>1.2</v>
      </c>
      <c r="H136" s="1033">
        <v>1.2</v>
      </c>
      <c r="I136" s="1033">
        <v>1.2</v>
      </c>
      <c r="J136" s="1033">
        <v>1.2</v>
      </c>
      <c r="K136" s="1033">
        <v>1.2</v>
      </c>
      <c r="L136" s="1033">
        <v>1.2</v>
      </c>
      <c r="M136" s="1033">
        <v>1.2</v>
      </c>
      <c r="N136" s="1033">
        <v>1.2</v>
      </c>
      <c r="O136" s="1033">
        <v>1.2</v>
      </c>
      <c r="P136" s="1033">
        <v>1.2</v>
      </c>
    </row>
    <row r="137" spans="4:16" x14ac:dyDescent="0.3">
      <c r="D137" s="1033" t="s">
        <v>1281</v>
      </c>
      <c r="E137" s="1033" t="s">
        <v>1282</v>
      </c>
      <c r="F137" s="1033">
        <v>211.3</v>
      </c>
      <c r="G137" s="1033">
        <v>218.9</v>
      </c>
      <c r="H137" s="1033">
        <v>206.5</v>
      </c>
      <c r="I137" s="1033">
        <v>231.4</v>
      </c>
      <c r="J137" s="1033">
        <v>166.7</v>
      </c>
      <c r="K137" s="1033">
        <v>167.4</v>
      </c>
      <c r="L137" s="1033">
        <v>211.7</v>
      </c>
      <c r="M137" s="1033">
        <v>225.1</v>
      </c>
      <c r="N137" s="1033">
        <v>246.4</v>
      </c>
      <c r="O137" s="1033">
        <v>275.10000000000002</v>
      </c>
      <c r="P137" s="1033" t="s">
        <v>1268</v>
      </c>
    </row>
    <row r="138" spans="4:16" x14ac:dyDescent="0.3">
      <c r="D138" s="1033" t="s">
        <v>1283</v>
      </c>
      <c r="E138" s="1033" t="s">
        <v>1284</v>
      </c>
      <c r="F138" s="1033">
        <v>26.6</v>
      </c>
      <c r="G138" s="1033">
        <v>27.4</v>
      </c>
      <c r="H138" s="1033">
        <v>27.5</v>
      </c>
      <c r="I138" s="1033">
        <v>27.4</v>
      </c>
      <c r="J138" s="1033">
        <v>28.6</v>
      </c>
      <c r="K138" s="1033">
        <v>26.1</v>
      </c>
      <c r="L138" s="1033">
        <v>26.6</v>
      </c>
      <c r="M138" s="1033">
        <v>28.3</v>
      </c>
      <c r="N138" s="1033">
        <v>29.4</v>
      </c>
      <c r="O138" s="1033">
        <v>29.3</v>
      </c>
      <c r="P138" s="1033">
        <v>29.9</v>
      </c>
    </row>
    <row r="139" spans="4:16" x14ac:dyDescent="0.3">
      <c r="D139" s="1033" t="s">
        <v>1285</v>
      </c>
      <c r="E139" s="1033" t="s">
        <v>1286</v>
      </c>
      <c r="F139" s="1033">
        <v>1392.4</v>
      </c>
      <c r="G139" s="1033">
        <v>1399.3</v>
      </c>
      <c r="H139" s="1033">
        <v>1406.9</v>
      </c>
      <c r="I139" s="1033">
        <v>1426.4</v>
      </c>
      <c r="J139" s="1033">
        <v>1457.1</v>
      </c>
      <c r="K139" s="1033">
        <v>1391.6</v>
      </c>
      <c r="L139" s="1033">
        <v>1443.8</v>
      </c>
      <c r="M139" s="1033">
        <v>1486</v>
      </c>
      <c r="N139" s="1033">
        <v>1517.9</v>
      </c>
      <c r="O139" s="1033">
        <v>1542.2</v>
      </c>
      <c r="P139" s="1033">
        <v>1572.1</v>
      </c>
    </row>
    <row r="140" spans="4:16" x14ac:dyDescent="0.3">
      <c r="D140" s="1033" t="s">
        <v>1287</v>
      </c>
      <c r="E140" s="1033" t="s">
        <v>1288</v>
      </c>
      <c r="F140" s="1033">
        <v>1387</v>
      </c>
      <c r="G140" s="1033">
        <v>1394.1</v>
      </c>
      <c r="H140" s="1033">
        <v>1401.7</v>
      </c>
      <c r="I140" s="1033">
        <v>1421.3</v>
      </c>
      <c r="J140" s="1033">
        <v>1451.9</v>
      </c>
      <c r="K140" s="1033">
        <v>1386.7</v>
      </c>
      <c r="L140" s="1033">
        <v>1438.8</v>
      </c>
      <c r="M140" s="1033">
        <v>1480.8</v>
      </c>
      <c r="N140" s="1033">
        <v>1512.6</v>
      </c>
      <c r="O140" s="1033">
        <v>1536.8</v>
      </c>
      <c r="P140" s="1033">
        <v>1566.6</v>
      </c>
    </row>
    <row r="141" spans="4:16" x14ac:dyDescent="0.3">
      <c r="D141" s="1033" t="s">
        <v>1289</v>
      </c>
      <c r="E141" s="1033" t="s">
        <v>1290</v>
      </c>
      <c r="F141" s="1033">
        <v>5.3</v>
      </c>
      <c r="G141" s="1033">
        <v>5.2</v>
      </c>
      <c r="H141" s="1033">
        <v>5.0999999999999996</v>
      </c>
      <c r="I141" s="1033">
        <v>5.0999999999999996</v>
      </c>
      <c r="J141" s="1033">
        <v>5.2</v>
      </c>
      <c r="K141" s="1033">
        <v>4.9000000000000004</v>
      </c>
      <c r="L141" s="1033">
        <v>5</v>
      </c>
      <c r="M141" s="1033">
        <v>5.2</v>
      </c>
      <c r="N141" s="1033">
        <v>5.3</v>
      </c>
      <c r="O141" s="1033">
        <v>5.4</v>
      </c>
      <c r="P141" s="1033">
        <v>5.5</v>
      </c>
    </row>
  </sheetData>
  <mergeCells count="44">
    <mergeCell ref="O50:R50"/>
    <mergeCell ref="O49:R49"/>
    <mergeCell ref="O45:R45"/>
    <mergeCell ref="O44:R44"/>
    <mergeCell ref="E128:E129"/>
    <mergeCell ref="F128:I128"/>
    <mergeCell ref="J128:M128"/>
    <mergeCell ref="N128:P128"/>
    <mergeCell ref="D103:E103"/>
    <mergeCell ref="D123:P123"/>
    <mergeCell ref="D124:P124"/>
    <mergeCell ref="D125:P125"/>
    <mergeCell ref="D126:P126"/>
    <mergeCell ref="D128:D129"/>
    <mergeCell ref="U91:X91"/>
    <mergeCell ref="Y91:AB91"/>
    <mergeCell ref="D101:E102"/>
    <mergeCell ref="F101:H101"/>
    <mergeCell ref="I101:L101"/>
    <mergeCell ref="M101:O101"/>
    <mergeCell ref="Q101:T101"/>
    <mergeCell ref="U101:X101"/>
    <mergeCell ref="Y101:AB101"/>
    <mergeCell ref="Q91:T91"/>
    <mergeCell ref="M91:O91"/>
    <mergeCell ref="I91:L91"/>
    <mergeCell ref="F91:H91"/>
    <mergeCell ref="D91:E92"/>
    <mergeCell ref="Y6:AB6"/>
    <mergeCell ref="D1:AC1"/>
    <mergeCell ref="D2:AC3"/>
    <mergeCell ref="D5:E7"/>
    <mergeCell ref="F5:O5"/>
    <mergeCell ref="P5:AC5"/>
    <mergeCell ref="F6:H6"/>
    <mergeCell ref="I6:L6"/>
    <mergeCell ref="M6:O6"/>
    <mergeCell ref="Q6:T6"/>
    <mergeCell ref="U6:X6"/>
    <mergeCell ref="M23:Q23"/>
    <mergeCell ref="E23:L23"/>
    <mergeCell ref="E29:G32"/>
    <mergeCell ref="E25:F28"/>
    <mergeCell ref="D23:D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FW32" activePane="bottomRight" state="frozen"/>
      <selection pane="topRight" activeCell="B1" sqref="B1"/>
      <selection pane="bottomLeft" activeCell="A2" sqref="A2"/>
      <selection pane="bottomRight" activeCell="ER88" sqref="ER88"/>
    </sheetView>
  </sheetViews>
  <sheetFormatPr defaultColWidth="10.90625" defaultRowHeight="14.5" x14ac:dyDescent="0.35"/>
  <sheetData>
    <row r="1" spans="1:208" x14ac:dyDescent="0.35">
      <c r="A1" t="s">
        <v>222</v>
      </c>
      <c r="B1" t="s">
        <v>726</v>
      </c>
      <c r="C1" t="s">
        <v>727</v>
      </c>
      <c r="D1" t="s">
        <v>728</v>
      </c>
      <c r="E1" t="s">
        <v>729</v>
      </c>
      <c r="F1" t="s">
        <v>730</v>
      </c>
      <c r="G1" t="s">
        <v>731</v>
      </c>
      <c r="H1" t="s">
        <v>732</v>
      </c>
      <c r="I1" t="s">
        <v>733</v>
      </c>
      <c r="J1" t="s">
        <v>734</v>
      </c>
      <c r="K1" t="s">
        <v>735</v>
      </c>
      <c r="L1" t="s">
        <v>736</v>
      </c>
      <c r="M1" t="s">
        <v>737</v>
      </c>
      <c r="N1" t="s">
        <v>738</v>
      </c>
      <c r="O1" t="s">
        <v>739</v>
      </c>
      <c r="P1" t="s">
        <v>740</v>
      </c>
      <c r="Q1" t="s">
        <v>741</v>
      </c>
      <c r="R1" t="s">
        <v>742</v>
      </c>
      <c r="S1" t="s">
        <v>743</v>
      </c>
      <c r="T1" t="s">
        <v>744</v>
      </c>
      <c r="U1" t="s">
        <v>745</v>
      </c>
      <c r="V1" t="s">
        <v>746</v>
      </c>
      <c r="W1" t="s">
        <v>747</v>
      </c>
      <c r="X1" t="s">
        <v>748</v>
      </c>
      <c r="Y1" t="s">
        <v>749</v>
      </c>
      <c r="Z1" t="s">
        <v>750</v>
      </c>
      <c r="AA1" t="s">
        <v>751</v>
      </c>
      <c r="AB1" t="s">
        <v>752</v>
      </c>
      <c r="AC1" t="s">
        <v>753</v>
      </c>
      <c r="AD1" t="s">
        <v>754</v>
      </c>
      <c r="AE1" t="s">
        <v>755</v>
      </c>
      <c r="AF1" t="s">
        <v>756</v>
      </c>
      <c r="AG1" t="s">
        <v>757</v>
      </c>
      <c r="AH1" t="s">
        <v>758</v>
      </c>
      <c r="AI1" t="s">
        <v>759</v>
      </c>
      <c r="AJ1" t="s">
        <v>760</v>
      </c>
      <c r="AK1" t="s">
        <v>761</v>
      </c>
      <c r="AL1" t="s">
        <v>762</v>
      </c>
      <c r="AM1" t="s">
        <v>763</v>
      </c>
      <c r="AN1" t="s">
        <v>764</v>
      </c>
      <c r="AO1" t="s">
        <v>765</v>
      </c>
      <c r="AP1" t="s">
        <v>766</v>
      </c>
      <c r="AQ1" t="s">
        <v>767</v>
      </c>
      <c r="AR1" t="s">
        <v>768</v>
      </c>
      <c r="AS1" t="s">
        <v>769</v>
      </c>
      <c r="AT1" t="s">
        <v>770</v>
      </c>
      <c r="AU1" t="s">
        <v>771</v>
      </c>
      <c r="AV1" t="s">
        <v>772</v>
      </c>
      <c r="AW1" t="s">
        <v>773</v>
      </c>
      <c r="AX1" t="s">
        <v>774</v>
      </c>
      <c r="AY1" t="s">
        <v>775</v>
      </c>
      <c r="AZ1" t="s">
        <v>776</v>
      </c>
      <c r="BA1" t="s">
        <v>777</v>
      </c>
      <c r="BB1" t="s">
        <v>778</v>
      </c>
      <c r="BC1" t="s">
        <v>779</v>
      </c>
      <c r="BD1" t="s">
        <v>780</v>
      </c>
      <c r="BE1" t="s">
        <v>781</v>
      </c>
      <c r="BF1" t="s">
        <v>782</v>
      </c>
      <c r="BG1" t="s">
        <v>783</v>
      </c>
      <c r="BH1" t="s">
        <v>784</v>
      </c>
      <c r="BI1" t="s">
        <v>785</v>
      </c>
      <c r="BJ1" t="s">
        <v>786</v>
      </c>
      <c r="BK1" t="s">
        <v>787</v>
      </c>
      <c r="BL1" t="s">
        <v>788</v>
      </c>
      <c r="BM1" t="s">
        <v>789</v>
      </c>
      <c r="BN1" t="s">
        <v>790</v>
      </c>
      <c r="BO1" t="s">
        <v>791</v>
      </c>
      <c r="BP1" t="s">
        <v>792</v>
      </c>
      <c r="BQ1" t="s">
        <v>793</v>
      </c>
      <c r="BR1" t="s">
        <v>794</v>
      </c>
      <c r="BS1" t="s">
        <v>795</v>
      </c>
      <c r="BT1" t="s">
        <v>796</v>
      </c>
      <c r="BU1" t="s">
        <v>797</v>
      </c>
      <c r="BV1" t="s">
        <v>798</v>
      </c>
      <c r="BW1" t="s">
        <v>799</v>
      </c>
      <c r="BX1" t="s">
        <v>800</v>
      </c>
      <c r="BY1" t="s">
        <v>801</v>
      </c>
      <c r="BZ1" t="s">
        <v>802</v>
      </c>
      <c r="CA1" t="s">
        <v>803</v>
      </c>
      <c r="CB1" t="s">
        <v>804</v>
      </c>
      <c r="CC1" t="s">
        <v>805</v>
      </c>
      <c r="CD1" t="s">
        <v>806</v>
      </c>
      <c r="CE1" t="s">
        <v>807</v>
      </c>
      <c r="CF1" t="s">
        <v>808</v>
      </c>
      <c r="CG1" t="s">
        <v>809</v>
      </c>
      <c r="CH1" t="s">
        <v>810</v>
      </c>
      <c r="CI1" t="s">
        <v>811</v>
      </c>
      <c r="CJ1" t="s">
        <v>812</v>
      </c>
      <c r="CK1" t="s">
        <v>813</v>
      </c>
      <c r="CL1" t="s">
        <v>814</v>
      </c>
      <c r="CM1" t="s">
        <v>815</v>
      </c>
      <c r="CN1" t="s">
        <v>816</v>
      </c>
      <c r="CO1" t="s">
        <v>817</v>
      </c>
      <c r="CP1" t="s">
        <v>818</v>
      </c>
      <c r="CQ1" t="s">
        <v>819</v>
      </c>
      <c r="CR1" t="s">
        <v>820</v>
      </c>
      <c r="CS1" t="s">
        <v>821</v>
      </c>
      <c r="CT1" t="s">
        <v>822</v>
      </c>
      <c r="CU1" t="s">
        <v>823</v>
      </c>
      <c r="CV1" t="s">
        <v>824</v>
      </c>
      <c r="CW1" t="s">
        <v>825</v>
      </c>
      <c r="CX1" t="s">
        <v>826</v>
      </c>
      <c r="CY1" t="s">
        <v>827</v>
      </c>
      <c r="CZ1" t="s">
        <v>828</v>
      </c>
      <c r="DA1" t="s">
        <v>829</v>
      </c>
      <c r="DB1" t="s">
        <v>830</v>
      </c>
      <c r="DC1" t="s">
        <v>831</v>
      </c>
      <c r="DD1" t="s">
        <v>832</v>
      </c>
      <c r="DE1" t="s">
        <v>833</v>
      </c>
      <c r="DF1" t="s">
        <v>834</v>
      </c>
      <c r="DG1" t="s">
        <v>835</v>
      </c>
      <c r="DH1" t="s">
        <v>836</v>
      </c>
      <c r="DI1" t="s">
        <v>837</v>
      </c>
      <c r="DJ1" t="s">
        <v>838</v>
      </c>
      <c r="DK1" t="s">
        <v>839</v>
      </c>
      <c r="DL1" t="s">
        <v>840</v>
      </c>
      <c r="DM1" t="s">
        <v>841</v>
      </c>
      <c r="DN1" t="s">
        <v>842</v>
      </c>
      <c r="DO1" t="s">
        <v>843</v>
      </c>
      <c r="DP1" t="s">
        <v>844</v>
      </c>
      <c r="DQ1" t="s">
        <v>845</v>
      </c>
      <c r="DR1" t="s">
        <v>846</v>
      </c>
      <c r="DS1" t="s">
        <v>847</v>
      </c>
      <c r="DT1" t="s">
        <v>848</v>
      </c>
      <c r="DU1" t="s">
        <v>849</v>
      </c>
      <c r="DV1" t="s">
        <v>850</v>
      </c>
      <c r="DW1" t="s">
        <v>851</v>
      </c>
      <c r="DX1" t="s">
        <v>852</v>
      </c>
      <c r="DY1" t="s">
        <v>853</v>
      </c>
      <c r="DZ1" t="s">
        <v>854</v>
      </c>
      <c r="EA1" t="s">
        <v>855</v>
      </c>
      <c r="EB1" t="s">
        <v>856</v>
      </c>
      <c r="EC1" t="s">
        <v>857</v>
      </c>
      <c r="ED1" t="s">
        <v>858</v>
      </c>
      <c r="EE1" t="s">
        <v>859</v>
      </c>
      <c r="EF1" t="s">
        <v>860</v>
      </c>
      <c r="EG1" t="s">
        <v>861</v>
      </c>
      <c r="EH1" t="s">
        <v>862</v>
      </c>
      <c r="EI1" t="s">
        <v>863</v>
      </c>
      <c r="EJ1" t="s">
        <v>864</v>
      </c>
      <c r="EK1" t="s">
        <v>865</v>
      </c>
      <c r="EL1" t="s">
        <v>866</v>
      </c>
      <c r="EM1" t="s">
        <v>867</v>
      </c>
      <c r="EN1" t="s">
        <v>868</v>
      </c>
      <c r="EO1" t="s">
        <v>869</v>
      </c>
      <c r="EP1" t="s">
        <v>870</v>
      </c>
      <c r="EQ1" t="s">
        <v>871</v>
      </c>
      <c r="ER1" t="s">
        <v>872</v>
      </c>
      <c r="ES1" t="s">
        <v>873</v>
      </c>
      <c r="ET1" t="s">
        <v>874</v>
      </c>
      <c r="EU1" t="s">
        <v>875</v>
      </c>
      <c r="EV1" t="s">
        <v>876</v>
      </c>
      <c r="EW1" t="s">
        <v>877</v>
      </c>
      <c r="EX1" t="s">
        <v>878</v>
      </c>
      <c r="EY1" t="s">
        <v>879</v>
      </c>
      <c r="EZ1" t="s">
        <v>880</v>
      </c>
      <c r="FA1" t="s">
        <v>881</v>
      </c>
      <c r="FB1" t="s">
        <v>882</v>
      </c>
      <c r="FC1" t="s">
        <v>883</v>
      </c>
      <c r="FD1" t="s">
        <v>884</v>
      </c>
      <c r="FE1" t="s">
        <v>885</v>
      </c>
      <c r="FF1" t="s">
        <v>886</v>
      </c>
      <c r="FG1" t="s">
        <v>887</v>
      </c>
      <c r="FH1" t="s">
        <v>888</v>
      </c>
      <c r="FI1" t="s">
        <v>889</v>
      </c>
      <c r="FJ1" t="s">
        <v>890</v>
      </c>
      <c r="FK1" t="s">
        <v>891</v>
      </c>
      <c r="FL1" t="s">
        <v>892</v>
      </c>
      <c r="FM1" t="s">
        <v>893</v>
      </c>
      <c r="FN1" t="s">
        <v>894</v>
      </c>
      <c r="FO1" t="s">
        <v>895</v>
      </c>
      <c r="FP1" t="s">
        <v>896</v>
      </c>
      <c r="FQ1" t="s">
        <v>897</v>
      </c>
      <c r="FR1" t="s">
        <v>898</v>
      </c>
      <c r="FS1" t="s">
        <v>899</v>
      </c>
      <c r="FT1" t="s">
        <v>900</v>
      </c>
      <c r="FU1" t="s">
        <v>901</v>
      </c>
      <c r="FV1" t="s">
        <v>902</v>
      </c>
      <c r="FW1" t="s">
        <v>903</v>
      </c>
      <c r="FX1" t="s">
        <v>904</v>
      </c>
      <c r="FY1" t="s">
        <v>905</v>
      </c>
      <c r="FZ1" t="s">
        <v>906</v>
      </c>
      <c r="GA1" t="s">
        <v>907</v>
      </c>
      <c r="GB1" t="s">
        <v>908</v>
      </c>
      <c r="GC1" t="s">
        <v>909</v>
      </c>
      <c r="GD1" t="s">
        <v>910</v>
      </c>
      <c r="GE1" t="s">
        <v>911</v>
      </c>
      <c r="GF1" t="s">
        <v>912</v>
      </c>
      <c r="GG1" t="s">
        <v>913</v>
      </c>
      <c r="GH1" t="s">
        <v>914</v>
      </c>
      <c r="GI1" t="s">
        <v>915</v>
      </c>
      <c r="GJ1" t="s">
        <v>916</v>
      </c>
      <c r="GK1" t="s">
        <v>917</v>
      </c>
      <c r="GL1" t="s">
        <v>918</v>
      </c>
      <c r="GM1" t="s">
        <v>919</v>
      </c>
      <c r="GN1" t="s">
        <v>920</v>
      </c>
      <c r="GO1" t="s">
        <v>921</v>
      </c>
      <c r="GP1" t="s">
        <v>922</v>
      </c>
      <c r="GQ1" t="s">
        <v>923</v>
      </c>
      <c r="GR1" t="s">
        <v>924</v>
      </c>
      <c r="GS1" t="s">
        <v>925</v>
      </c>
      <c r="GT1" t="s">
        <v>926</v>
      </c>
      <c r="GU1" t="s">
        <v>368</v>
      </c>
      <c r="GV1" t="s">
        <v>369</v>
      </c>
      <c r="GW1" t="s">
        <v>370</v>
      </c>
      <c r="GX1" t="s">
        <v>371</v>
      </c>
      <c r="GY1" t="s">
        <v>372</v>
      </c>
      <c r="GZ1" t="s">
        <v>224</v>
      </c>
    </row>
    <row r="2" spans="1:208" x14ac:dyDescent="0.35">
      <c r="A2" t="s">
        <v>927</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928</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929</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930</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931</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932</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933</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934</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935</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936</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937</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938</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939</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940</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941</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942</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943</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944</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945</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946</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678</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680</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681</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679</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947</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948</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949</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950</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951</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952</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953</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954</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669</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955</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956</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957</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958</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959</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960</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961</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962</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963</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964</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965</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1229</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1230</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1240</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1232</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1231</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1236</v>
      </c>
      <c r="GY86">
        <v>21.4</v>
      </c>
      <c r="GZ86">
        <v>57</v>
      </c>
    </row>
    <row r="87" spans="1:208" x14ac:dyDescent="0.35">
      <c r="A87" t="s">
        <v>1237</v>
      </c>
      <c r="GU87">
        <v>60.3</v>
      </c>
      <c r="GV87">
        <v>18.5</v>
      </c>
      <c r="GW87">
        <v>0</v>
      </c>
      <c r="GX87">
        <v>0.3</v>
      </c>
      <c r="GY87">
        <v>11.3</v>
      </c>
      <c r="GZ87">
        <v>10.4</v>
      </c>
    </row>
    <row r="88" spans="1:208" x14ac:dyDescent="0.35">
      <c r="A88" t="s">
        <v>664</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8" t="s">
        <v>966</v>
      </c>
      <c r="B3" s="195"/>
    </row>
    <row r="4" spans="1:17" x14ac:dyDescent="0.35">
      <c r="A4" s="209" t="s">
        <v>967</v>
      </c>
      <c r="B4" s="210"/>
      <c r="C4" s="210"/>
    </row>
    <row r="7" spans="1:17" x14ac:dyDescent="0.35">
      <c r="A7" s="1282" t="s">
        <v>968</v>
      </c>
      <c r="B7" s="1283"/>
      <c r="C7" s="1283"/>
      <c r="D7" s="1283"/>
      <c r="E7" s="1283"/>
      <c r="F7" s="1283"/>
      <c r="G7" s="1283"/>
      <c r="H7" s="1283"/>
      <c r="I7" s="1283"/>
      <c r="J7" s="1283"/>
      <c r="K7" s="1283"/>
      <c r="L7" s="1283"/>
      <c r="M7" s="1283"/>
      <c r="N7" s="1283"/>
      <c r="O7" s="1283"/>
      <c r="P7" s="1283"/>
    </row>
    <row r="8" spans="1:17" x14ac:dyDescent="0.35">
      <c r="A8" s="200" t="s">
        <v>969</v>
      </c>
      <c r="B8" s="200"/>
      <c r="C8" s="201"/>
      <c r="D8" s="202"/>
      <c r="E8" s="201"/>
      <c r="F8" s="201"/>
      <c r="G8" s="201"/>
      <c r="H8" s="201"/>
      <c r="I8" s="201"/>
      <c r="J8" s="201"/>
      <c r="K8" s="201"/>
      <c r="L8" s="201"/>
      <c r="M8" s="201"/>
      <c r="N8" s="201"/>
      <c r="O8" s="201"/>
      <c r="P8" s="201"/>
    </row>
    <row r="9" spans="1:17" x14ac:dyDescent="0.35">
      <c r="A9" s="196"/>
      <c r="B9" s="196"/>
      <c r="C9" s="196"/>
      <c r="D9" s="203"/>
      <c r="E9" s="196"/>
      <c r="F9" s="196"/>
      <c r="G9" s="196"/>
      <c r="H9" s="196"/>
      <c r="I9" s="196"/>
      <c r="J9" s="196"/>
      <c r="K9" s="196"/>
      <c r="L9" s="196"/>
      <c r="M9" s="196"/>
      <c r="N9" s="196"/>
      <c r="O9" s="196"/>
      <c r="P9" s="196"/>
    </row>
    <row r="10" spans="1:17" x14ac:dyDescent="0.35">
      <c r="A10" s="196"/>
      <c r="B10" s="196"/>
      <c r="C10" s="196"/>
      <c r="D10" s="203"/>
      <c r="E10" s="196"/>
      <c r="F10" s="196"/>
      <c r="G10" s="196"/>
      <c r="H10" s="196"/>
      <c r="I10" s="196"/>
      <c r="J10" s="196"/>
      <c r="K10" s="196"/>
      <c r="L10" s="196"/>
      <c r="M10" s="196"/>
      <c r="N10" s="196"/>
      <c r="O10" s="1284" t="s">
        <v>437</v>
      </c>
      <c r="P10" s="1284"/>
    </row>
    <row r="11" spans="1:17" x14ac:dyDescent="0.35">
      <c r="A11" s="196"/>
      <c r="B11" s="196"/>
      <c r="C11" s="194"/>
      <c r="D11" s="197"/>
      <c r="E11" s="194"/>
      <c r="F11" s="194"/>
      <c r="G11" s="194"/>
      <c r="H11" s="194"/>
      <c r="I11" s="194"/>
      <c r="J11" s="194"/>
      <c r="K11" s="194"/>
      <c r="L11" s="194"/>
      <c r="M11" s="194"/>
      <c r="N11" s="194"/>
      <c r="O11" s="192" t="s">
        <v>970</v>
      </c>
      <c r="P11" s="192" t="s">
        <v>970</v>
      </c>
    </row>
    <row r="12" spans="1:17" x14ac:dyDescent="0.35">
      <c r="A12" s="201"/>
      <c r="B12" s="201"/>
      <c r="C12" s="201"/>
      <c r="D12" s="202">
        <v>2020</v>
      </c>
      <c r="E12" s="202">
        <v>2021</v>
      </c>
      <c r="F12" s="202">
        <v>2022</v>
      </c>
      <c r="G12" s="202">
        <v>2023</v>
      </c>
      <c r="H12" s="202">
        <v>2024</v>
      </c>
      <c r="I12" s="202">
        <v>2025</v>
      </c>
      <c r="J12" s="202">
        <v>2026</v>
      </c>
      <c r="K12" s="202">
        <v>2027</v>
      </c>
      <c r="L12" s="202">
        <v>2028</v>
      </c>
      <c r="M12" s="202">
        <v>2029</v>
      </c>
      <c r="N12" s="202">
        <v>2030</v>
      </c>
      <c r="O12" s="193">
        <v>2025</v>
      </c>
      <c r="P12" s="193">
        <v>2030</v>
      </c>
    </row>
    <row r="13" spans="1:17" x14ac:dyDescent="0.35">
      <c r="A13" s="194" t="s">
        <v>971</v>
      </c>
      <c r="B13" s="194"/>
      <c r="C13" s="194"/>
      <c r="D13" s="971">
        <v>540.56299999999999</v>
      </c>
      <c r="E13" s="971">
        <v>0</v>
      </c>
      <c r="F13" s="971">
        <v>0</v>
      </c>
      <c r="G13" s="971">
        <v>0</v>
      </c>
      <c r="H13" s="971">
        <v>0</v>
      </c>
      <c r="I13" s="971">
        <v>0</v>
      </c>
      <c r="J13" s="971">
        <v>0</v>
      </c>
      <c r="K13" s="971">
        <v>0</v>
      </c>
      <c r="L13" s="971">
        <v>0</v>
      </c>
      <c r="M13" s="971">
        <v>0</v>
      </c>
      <c r="N13" s="971">
        <v>0</v>
      </c>
      <c r="O13" s="971">
        <v>0</v>
      </c>
      <c r="P13" s="971">
        <v>0</v>
      </c>
      <c r="Q13" t="s">
        <v>70</v>
      </c>
    </row>
    <row r="14" spans="1:17" x14ac:dyDescent="0.35">
      <c r="A14" s="196" t="s">
        <v>972</v>
      </c>
      <c r="B14" s="196"/>
      <c r="C14" s="196"/>
      <c r="D14" s="197"/>
      <c r="E14" s="194"/>
      <c r="F14" s="194"/>
      <c r="G14" s="194"/>
      <c r="H14" s="194"/>
      <c r="I14" s="194"/>
      <c r="J14" s="194"/>
      <c r="K14" s="194"/>
      <c r="L14" s="194"/>
      <c r="M14" s="194"/>
      <c r="N14" s="194"/>
      <c r="O14" s="194"/>
      <c r="P14" s="194"/>
      <c r="Q14" t="s">
        <v>973</v>
      </c>
    </row>
    <row r="15" spans="1:17" x14ac:dyDescent="0.35">
      <c r="A15" s="196"/>
      <c r="B15" s="196" t="s">
        <v>974</v>
      </c>
      <c r="C15" s="196"/>
      <c r="D15" s="197">
        <v>285.56</v>
      </c>
      <c r="E15" s="197">
        <v>5</v>
      </c>
      <c r="F15" s="197">
        <v>0</v>
      </c>
      <c r="G15" s="197">
        <v>0</v>
      </c>
      <c r="H15" s="197">
        <v>0</v>
      </c>
      <c r="I15" s="197">
        <v>0</v>
      </c>
      <c r="J15" s="197">
        <v>0</v>
      </c>
      <c r="K15" s="197">
        <v>0</v>
      </c>
      <c r="L15" s="197">
        <v>0</v>
      </c>
      <c r="M15" s="197">
        <v>0</v>
      </c>
      <c r="N15" s="197">
        <v>0</v>
      </c>
      <c r="O15" s="197">
        <v>5</v>
      </c>
      <c r="P15" s="197">
        <v>5</v>
      </c>
    </row>
    <row r="16" spans="1:17" x14ac:dyDescent="0.35">
      <c r="A16" s="194"/>
      <c r="B16" s="196" t="s">
        <v>975</v>
      </c>
      <c r="C16" s="194"/>
      <c r="D16" s="197">
        <v>67.209999999999994</v>
      </c>
      <c r="E16" s="197">
        <v>13.68</v>
      </c>
      <c r="F16" s="197">
        <v>0</v>
      </c>
      <c r="G16" s="197">
        <v>0</v>
      </c>
      <c r="H16" s="197">
        <v>0</v>
      </c>
      <c r="I16" s="197">
        <v>0</v>
      </c>
      <c r="J16" s="197">
        <v>0</v>
      </c>
      <c r="K16" s="197">
        <v>0</v>
      </c>
      <c r="L16" s="197">
        <v>0</v>
      </c>
      <c r="M16" s="197">
        <v>0</v>
      </c>
      <c r="N16" s="197">
        <v>0</v>
      </c>
      <c r="O16" s="197">
        <v>13.68</v>
      </c>
      <c r="P16" s="197">
        <v>13.68</v>
      </c>
    </row>
    <row r="17" spans="1:17" x14ac:dyDescent="0.35">
      <c r="A17" s="194"/>
      <c r="B17" s="196" t="s">
        <v>976</v>
      </c>
      <c r="C17" s="194"/>
      <c r="D17" s="197">
        <v>11.12</v>
      </c>
      <c r="E17" s="197">
        <v>47.8</v>
      </c>
      <c r="F17" s="197">
        <v>0</v>
      </c>
      <c r="G17" s="197">
        <v>0</v>
      </c>
      <c r="H17" s="197">
        <v>0</v>
      </c>
      <c r="I17" s="197">
        <v>0</v>
      </c>
      <c r="J17" s="197">
        <v>0</v>
      </c>
      <c r="K17" s="197">
        <v>0</v>
      </c>
      <c r="L17" s="197">
        <v>0</v>
      </c>
      <c r="M17" s="197">
        <v>0</v>
      </c>
      <c r="N17" s="197">
        <v>0</v>
      </c>
      <c r="O17" s="197">
        <v>47.8</v>
      </c>
      <c r="P17" s="197">
        <v>47.8</v>
      </c>
    </row>
    <row r="18" spans="1:17" x14ac:dyDescent="0.35">
      <c r="A18" s="194"/>
      <c r="B18" s="196" t="s">
        <v>977</v>
      </c>
      <c r="C18" s="194"/>
      <c r="D18" s="197">
        <v>6.2149999999999999</v>
      </c>
      <c r="E18" s="197">
        <v>5.0049999999999999</v>
      </c>
      <c r="F18" s="197">
        <v>0</v>
      </c>
      <c r="G18" s="197">
        <v>0</v>
      </c>
      <c r="H18" s="197">
        <v>0</v>
      </c>
      <c r="I18" s="197">
        <v>0</v>
      </c>
      <c r="J18" s="197">
        <v>0</v>
      </c>
      <c r="K18" s="197">
        <v>0</v>
      </c>
      <c r="L18" s="197">
        <v>0</v>
      </c>
      <c r="M18" s="197">
        <v>0</v>
      </c>
      <c r="N18" s="197">
        <v>0</v>
      </c>
      <c r="O18" s="197">
        <v>5.0049999999999999</v>
      </c>
      <c r="P18" s="197">
        <v>5.0049999999999999</v>
      </c>
    </row>
    <row r="19" spans="1:17" x14ac:dyDescent="0.35">
      <c r="A19" s="194"/>
      <c r="B19" s="196"/>
      <c r="C19" s="194"/>
      <c r="D19" s="197" t="s">
        <v>978</v>
      </c>
      <c r="E19" s="197" t="s">
        <v>978</v>
      </c>
      <c r="F19" s="197" t="s">
        <v>978</v>
      </c>
      <c r="G19" s="197" t="s">
        <v>978</v>
      </c>
      <c r="H19" s="197" t="s">
        <v>978</v>
      </c>
      <c r="I19" s="197" t="s">
        <v>978</v>
      </c>
      <c r="J19" s="197" t="s">
        <v>978</v>
      </c>
      <c r="K19" s="197" t="s">
        <v>978</v>
      </c>
      <c r="L19" s="197" t="s">
        <v>978</v>
      </c>
      <c r="M19" s="197" t="s">
        <v>978</v>
      </c>
      <c r="N19" s="197" t="s">
        <v>978</v>
      </c>
      <c r="O19" s="197" t="s">
        <v>978</v>
      </c>
      <c r="P19" s="197" t="s">
        <v>978</v>
      </c>
    </row>
    <row r="20" spans="1:17" x14ac:dyDescent="0.35">
      <c r="A20" s="194"/>
      <c r="B20" s="196"/>
      <c r="C20" s="194" t="s">
        <v>979</v>
      </c>
      <c r="D20" s="197">
        <v>370.10500000000002</v>
      </c>
      <c r="E20" s="197">
        <v>71.484999999999999</v>
      </c>
      <c r="F20" s="197">
        <v>0</v>
      </c>
      <c r="G20" s="197">
        <v>0</v>
      </c>
      <c r="H20" s="197">
        <v>0</v>
      </c>
      <c r="I20" s="197">
        <v>0</v>
      </c>
      <c r="J20" s="197">
        <v>0</v>
      </c>
      <c r="K20" s="197">
        <v>0</v>
      </c>
      <c r="L20" s="197">
        <v>0</v>
      </c>
      <c r="M20" s="197">
        <v>0</v>
      </c>
      <c r="N20" s="197">
        <v>0</v>
      </c>
      <c r="O20" s="197">
        <v>71.484999999999999</v>
      </c>
      <c r="P20" s="197">
        <v>71.484999999999999</v>
      </c>
    </row>
    <row r="21" spans="1:17" x14ac:dyDescent="0.35">
      <c r="A21" s="194"/>
      <c r="B21" s="196"/>
      <c r="C21" s="194"/>
      <c r="D21" s="197"/>
      <c r="E21" s="197"/>
      <c r="F21" s="197"/>
      <c r="G21" s="197"/>
      <c r="H21" s="197"/>
      <c r="I21" s="197"/>
      <c r="J21" s="197"/>
      <c r="K21" s="197"/>
      <c r="L21" s="197"/>
      <c r="M21" s="197"/>
      <c r="N21" s="197"/>
      <c r="O21" s="197"/>
      <c r="P21" s="197"/>
    </row>
    <row r="22" spans="1:17" ht="17" x14ac:dyDescent="0.35">
      <c r="A22" s="194" t="s">
        <v>980</v>
      </c>
      <c r="B22" s="196"/>
      <c r="C22" s="194"/>
      <c r="D22" s="197">
        <v>271.98399999999998</v>
      </c>
      <c r="E22" s="197">
        <v>9.327</v>
      </c>
      <c r="F22" s="197">
        <v>0</v>
      </c>
      <c r="G22" s="197">
        <v>0</v>
      </c>
      <c r="H22" s="197">
        <v>0</v>
      </c>
      <c r="I22" s="197">
        <v>0</v>
      </c>
      <c r="J22" s="197">
        <v>0</v>
      </c>
      <c r="K22" s="197">
        <v>0</v>
      </c>
      <c r="L22" s="197">
        <v>0</v>
      </c>
      <c r="M22" s="197">
        <v>0</v>
      </c>
      <c r="N22" s="197">
        <v>0</v>
      </c>
      <c r="O22" s="197">
        <v>9.327</v>
      </c>
      <c r="P22" s="197">
        <v>9.327</v>
      </c>
      <c r="Q22" t="s">
        <v>981</v>
      </c>
    </row>
    <row r="23" spans="1:17" x14ac:dyDescent="0.35">
      <c r="A23" s="194" t="s">
        <v>192</v>
      </c>
      <c r="B23" s="196"/>
      <c r="C23" s="196"/>
      <c r="D23" s="197">
        <v>149.97300000000001</v>
      </c>
      <c r="E23" s="197">
        <v>2.5999999999999999E-2</v>
      </c>
      <c r="F23" s="197">
        <v>0</v>
      </c>
      <c r="G23" s="197">
        <v>0</v>
      </c>
      <c r="H23" s="197">
        <v>0</v>
      </c>
      <c r="I23" s="197">
        <v>0</v>
      </c>
      <c r="J23" s="197">
        <v>0</v>
      </c>
      <c r="K23" s="197">
        <v>0</v>
      </c>
      <c r="L23" s="197">
        <v>0</v>
      </c>
      <c r="M23" s="197">
        <v>0</v>
      </c>
      <c r="N23" s="197">
        <v>0</v>
      </c>
      <c r="O23" s="197">
        <v>2.5999999999999999E-2</v>
      </c>
      <c r="P23" s="197">
        <v>2.5999999999999999E-2</v>
      </c>
      <c r="Q23" t="s">
        <v>71</v>
      </c>
    </row>
    <row r="24" spans="1:17" x14ac:dyDescent="0.35">
      <c r="A24" s="194" t="s">
        <v>982</v>
      </c>
      <c r="B24" s="196"/>
      <c r="C24" s="196"/>
      <c r="D24" s="197">
        <v>135.41999999999999</v>
      </c>
      <c r="E24" s="197">
        <v>72.537999999999997</v>
      </c>
      <c r="F24" s="197">
        <v>10.331</v>
      </c>
      <c r="G24" s="197">
        <v>4.2670000000000003</v>
      </c>
      <c r="H24" s="197">
        <v>1.347</v>
      </c>
      <c r="I24" s="197">
        <v>0.67400000000000004</v>
      </c>
      <c r="J24" s="197">
        <v>0</v>
      </c>
      <c r="K24" s="197">
        <v>0</v>
      </c>
      <c r="L24" s="197">
        <v>0</v>
      </c>
      <c r="M24" s="197">
        <v>0</v>
      </c>
      <c r="N24" s="197">
        <v>0</v>
      </c>
      <c r="O24" s="197">
        <v>89.156999999999996</v>
      </c>
      <c r="P24" s="197">
        <v>89.156999999999996</v>
      </c>
      <c r="Q24" t="s">
        <v>983</v>
      </c>
    </row>
    <row r="25" spans="1:17" x14ac:dyDescent="0.35">
      <c r="A25" s="194" t="s">
        <v>984</v>
      </c>
      <c r="B25" s="196"/>
      <c r="C25" s="196"/>
      <c r="D25" s="197"/>
      <c r="E25" s="197"/>
      <c r="F25" s="197"/>
      <c r="G25" s="197"/>
      <c r="H25" s="197"/>
      <c r="I25" s="197"/>
      <c r="J25" s="197"/>
      <c r="K25" s="197"/>
      <c r="L25" s="197"/>
      <c r="M25" s="197"/>
      <c r="N25" s="197"/>
      <c r="O25" s="197"/>
      <c r="P25" s="197"/>
    </row>
    <row r="26" spans="1:17" x14ac:dyDescent="0.35">
      <c r="A26" s="194" t="s">
        <v>985</v>
      </c>
      <c r="B26" s="196"/>
      <c r="C26" s="196"/>
      <c r="D26" s="197">
        <v>40.831000000000003</v>
      </c>
      <c r="E26" s="197">
        <v>79.391999999999996</v>
      </c>
      <c r="F26" s="197">
        <v>47.442999999999998</v>
      </c>
      <c r="G26" s="197">
        <v>4.7220000000000004</v>
      </c>
      <c r="H26" s="197">
        <v>0</v>
      </c>
      <c r="I26" s="197">
        <v>0</v>
      </c>
      <c r="J26" s="197">
        <v>0</v>
      </c>
      <c r="K26" s="197">
        <v>0</v>
      </c>
      <c r="L26" s="197">
        <v>0</v>
      </c>
      <c r="M26" s="197">
        <v>0</v>
      </c>
      <c r="N26" s="197">
        <v>0</v>
      </c>
      <c r="O26" s="197">
        <v>131.55699999999999</v>
      </c>
      <c r="P26" s="197">
        <v>131.55699999999999</v>
      </c>
      <c r="Q26" t="s">
        <v>176</v>
      </c>
    </row>
    <row r="27" spans="1:17" x14ac:dyDescent="0.35">
      <c r="A27" s="194" t="s">
        <v>986</v>
      </c>
      <c r="B27" s="196"/>
      <c r="C27" s="196"/>
      <c r="D27" s="197">
        <v>58.054000000000002</v>
      </c>
      <c r="E27" s="197">
        <v>14.755000000000001</v>
      </c>
      <c r="F27" s="197">
        <v>3.4750000000000001</v>
      </c>
      <c r="G27" s="197">
        <v>3.9249999999999998</v>
      </c>
      <c r="H27" s="197">
        <v>4.375</v>
      </c>
      <c r="I27" s="197">
        <v>4.375</v>
      </c>
      <c r="J27" s="197">
        <v>4.5</v>
      </c>
      <c r="K27" s="197">
        <v>4.5</v>
      </c>
      <c r="L27" s="197">
        <v>4.5</v>
      </c>
      <c r="M27" s="197">
        <v>4.5</v>
      </c>
      <c r="N27" s="197">
        <v>4.5</v>
      </c>
      <c r="O27" s="197">
        <v>30.905000000000001</v>
      </c>
      <c r="P27" s="197">
        <v>53.405000000000001</v>
      </c>
    </row>
    <row r="28" spans="1:17" x14ac:dyDescent="0.35">
      <c r="A28" s="194" t="s">
        <v>987</v>
      </c>
      <c r="B28" s="196"/>
      <c r="C28" s="196"/>
      <c r="D28" s="197">
        <v>47.372999999999998</v>
      </c>
      <c r="E28" s="197">
        <v>-46.081000000000003</v>
      </c>
      <c r="F28" s="197">
        <v>0</v>
      </c>
      <c r="G28" s="197">
        <v>0</v>
      </c>
      <c r="H28" s="197">
        <v>0</v>
      </c>
      <c r="I28" s="197">
        <v>0</v>
      </c>
      <c r="J28" s="197">
        <v>0</v>
      </c>
      <c r="K28" s="197">
        <v>0</v>
      </c>
      <c r="L28" s="197">
        <v>0</v>
      </c>
      <c r="M28" s="197">
        <v>0</v>
      </c>
      <c r="N28" s="197">
        <v>0</v>
      </c>
      <c r="O28" s="197">
        <v>-46.081000000000003</v>
      </c>
      <c r="P28" s="197">
        <v>-46.081000000000003</v>
      </c>
      <c r="Q28" t="s">
        <v>76</v>
      </c>
    </row>
    <row r="29" spans="1:17" x14ac:dyDescent="0.35">
      <c r="A29" s="194" t="s">
        <v>988</v>
      </c>
      <c r="B29" s="196"/>
      <c r="C29" s="196"/>
      <c r="D29" s="197">
        <v>24.475000000000001</v>
      </c>
      <c r="E29" s="197">
        <v>32.784999999999997</v>
      </c>
      <c r="F29" s="197">
        <v>8.4600000000000009</v>
      </c>
      <c r="G29" s="197">
        <v>0</v>
      </c>
      <c r="H29" s="197">
        <v>0</v>
      </c>
      <c r="I29" s="197">
        <v>0</v>
      </c>
      <c r="J29" s="197">
        <v>0</v>
      </c>
      <c r="K29" s="197">
        <v>0</v>
      </c>
      <c r="L29" s="197">
        <v>0</v>
      </c>
      <c r="M29" s="197">
        <v>0</v>
      </c>
      <c r="N29" s="197">
        <v>0</v>
      </c>
      <c r="O29" s="197">
        <v>41.244999999999997</v>
      </c>
      <c r="P29" s="197">
        <v>41.244999999999997</v>
      </c>
      <c r="Q29" t="s">
        <v>989</v>
      </c>
    </row>
    <row r="30" spans="1:17" x14ac:dyDescent="0.35">
      <c r="A30" s="194" t="s">
        <v>990</v>
      </c>
      <c r="B30" s="196"/>
      <c r="C30" s="196"/>
      <c r="D30" s="197">
        <v>27.5</v>
      </c>
      <c r="E30" s="197">
        <v>0.86</v>
      </c>
      <c r="F30" s="197">
        <v>-0.22</v>
      </c>
      <c r="G30" s="197">
        <v>-0.49</v>
      </c>
      <c r="H30" s="197">
        <v>-0.56000000000000005</v>
      </c>
      <c r="I30" s="197">
        <v>-0.98</v>
      </c>
      <c r="J30" s="197">
        <v>-0.76</v>
      </c>
      <c r="K30" s="197">
        <v>-0.74</v>
      </c>
      <c r="L30" s="197">
        <v>-0.72</v>
      </c>
      <c r="M30" s="197">
        <v>-0.7</v>
      </c>
      <c r="N30" s="197">
        <v>-0.69</v>
      </c>
      <c r="O30" s="197">
        <v>-1.39</v>
      </c>
      <c r="P30" s="197">
        <v>-5</v>
      </c>
      <c r="Q30" t="s">
        <v>73</v>
      </c>
    </row>
    <row r="31" spans="1:17" x14ac:dyDescent="0.35">
      <c r="A31" s="194" t="s">
        <v>193</v>
      </c>
      <c r="B31" s="196"/>
      <c r="C31" s="196"/>
      <c r="D31" s="197">
        <v>11.407999999999999</v>
      </c>
      <c r="E31" s="197">
        <v>10.763</v>
      </c>
      <c r="F31" s="197">
        <v>5.7809999999999997</v>
      </c>
      <c r="G31" s="197">
        <v>0.92300000000000004</v>
      </c>
      <c r="H31" s="197">
        <v>0.52300000000000002</v>
      </c>
      <c r="I31" s="197">
        <v>0.43099999999999999</v>
      </c>
      <c r="J31" s="197">
        <v>0.246</v>
      </c>
      <c r="K31" s="197">
        <v>0</v>
      </c>
      <c r="L31" s="197">
        <v>0</v>
      </c>
      <c r="M31" s="197">
        <v>0</v>
      </c>
      <c r="N31" s="197">
        <v>0</v>
      </c>
      <c r="O31" s="197">
        <v>18.420999999999999</v>
      </c>
      <c r="P31" s="197">
        <v>18.667000000000002</v>
      </c>
      <c r="Q31" t="s">
        <v>991</v>
      </c>
    </row>
    <row r="32" spans="1:17" x14ac:dyDescent="0.35">
      <c r="A32" s="194" t="s">
        <v>992</v>
      </c>
      <c r="B32" s="196"/>
      <c r="C32" s="196"/>
      <c r="D32" s="197">
        <v>99.444000000000003</v>
      </c>
      <c r="E32" s="197">
        <v>61.634</v>
      </c>
      <c r="F32" s="197">
        <v>23.815000000000001</v>
      </c>
      <c r="G32" s="197">
        <v>7.35</v>
      </c>
      <c r="H32" s="197">
        <v>4.4029999999999996</v>
      </c>
      <c r="I32" s="197">
        <v>1.663</v>
      </c>
      <c r="J32" s="197">
        <v>0.74399999999999999</v>
      </c>
      <c r="K32" s="197">
        <v>0.65500000000000003</v>
      </c>
      <c r="L32" s="197">
        <v>0.68799999999999994</v>
      </c>
      <c r="M32" s="197">
        <v>10.603</v>
      </c>
      <c r="N32" s="197">
        <v>-35.328000000000003</v>
      </c>
      <c r="O32" s="197">
        <v>98.864999999999995</v>
      </c>
      <c r="P32" s="197">
        <v>76.227000000000004</v>
      </c>
      <c r="Q32" t="s">
        <v>993</v>
      </c>
    </row>
    <row r="33" spans="1:16" x14ac:dyDescent="0.35">
      <c r="A33" s="194"/>
      <c r="B33" s="196"/>
      <c r="C33" s="196"/>
      <c r="D33" s="197"/>
      <c r="E33" s="197"/>
      <c r="F33" s="197"/>
      <c r="G33" s="197"/>
      <c r="H33" s="197"/>
      <c r="I33" s="197"/>
      <c r="J33" s="197"/>
      <c r="K33" s="197"/>
      <c r="L33" s="197"/>
      <c r="M33" s="197"/>
      <c r="N33" s="197"/>
      <c r="O33" s="197"/>
      <c r="P33" s="197"/>
    </row>
    <row r="34" spans="1:16" x14ac:dyDescent="0.35">
      <c r="A34" s="198"/>
      <c r="B34" s="198"/>
      <c r="C34" s="198" t="s">
        <v>437</v>
      </c>
      <c r="D34" s="199">
        <v>1777.13</v>
      </c>
      <c r="E34" s="199">
        <v>307.48399999999998</v>
      </c>
      <c r="F34" s="199">
        <v>99.084999999999994</v>
      </c>
      <c r="G34" s="199">
        <v>20.696999999999999</v>
      </c>
      <c r="H34" s="199">
        <v>10.087999999999999</v>
      </c>
      <c r="I34" s="199">
        <v>6.1630000000000003</v>
      </c>
      <c r="J34" s="199">
        <v>4.7300000000000004</v>
      </c>
      <c r="K34" s="199">
        <v>4.415</v>
      </c>
      <c r="L34" s="199">
        <v>4.468</v>
      </c>
      <c r="M34" s="199">
        <v>14.403</v>
      </c>
      <c r="N34" s="199">
        <v>-31.518000000000001</v>
      </c>
      <c r="O34" s="199">
        <v>443.517</v>
      </c>
      <c r="P34" s="199">
        <v>440.01499999999999</v>
      </c>
    </row>
    <row r="35" spans="1:16" x14ac:dyDescent="0.35">
      <c r="A35" s="196"/>
      <c r="B35" s="196"/>
      <c r="C35" s="196"/>
      <c r="D35" s="218"/>
      <c r="E35" s="214"/>
      <c r="F35" s="194"/>
      <c r="G35" s="194"/>
      <c r="H35" s="194"/>
      <c r="I35" s="194"/>
      <c r="J35" s="194"/>
      <c r="K35" s="194"/>
      <c r="L35" s="194"/>
      <c r="M35" s="194"/>
      <c r="N35" s="194"/>
      <c r="O35" s="194"/>
      <c r="P35" s="194"/>
    </row>
    <row r="36" spans="1:16" x14ac:dyDescent="0.35">
      <c r="A36" s="204" t="s">
        <v>994</v>
      </c>
      <c r="B36" s="204"/>
      <c r="C36" s="204"/>
      <c r="D36" s="205"/>
      <c r="E36" s="204"/>
      <c r="F36" s="204"/>
      <c r="G36" s="204"/>
      <c r="H36" s="204"/>
      <c r="I36" s="204"/>
      <c r="J36" s="204"/>
      <c r="K36" s="204"/>
      <c r="L36" s="204"/>
      <c r="M36" s="204"/>
      <c r="N36" s="204"/>
      <c r="O36" s="204"/>
      <c r="P36" s="204"/>
    </row>
    <row r="37" spans="1:16" x14ac:dyDescent="0.35">
      <c r="A37" s="204"/>
      <c r="B37" s="204"/>
      <c r="C37" s="204"/>
      <c r="D37" s="205"/>
      <c r="E37" s="204"/>
      <c r="F37" s="204"/>
      <c r="G37" s="204"/>
      <c r="H37" s="204"/>
      <c r="I37" s="204"/>
      <c r="J37" s="204"/>
      <c r="K37" s="204"/>
      <c r="L37" s="204"/>
      <c r="M37" s="204"/>
      <c r="N37" s="204"/>
      <c r="O37" s="204"/>
      <c r="P37" s="204"/>
    </row>
    <row r="38" spans="1:16" x14ac:dyDescent="0.35">
      <c r="A38" s="1287" t="s">
        <v>995</v>
      </c>
      <c r="B38" s="1287"/>
      <c r="C38" s="1287"/>
      <c r="D38" s="1287"/>
      <c r="E38" s="1287"/>
      <c r="F38" s="1287"/>
      <c r="G38" s="1287"/>
      <c r="H38" s="1287"/>
      <c r="I38" s="1287"/>
      <c r="J38" s="1287"/>
      <c r="K38" s="1287"/>
      <c r="L38" s="1287"/>
      <c r="M38" s="1287"/>
      <c r="N38" s="1287"/>
      <c r="O38" s="1287"/>
      <c r="P38" s="1287"/>
    </row>
    <row r="39" spans="1:16" x14ac:dyDescent="0.35">
      <c r="A39" s="1287"/>
      <c r="B39" s="1287"/>
      <c r="C39" s="1287"/>
      <c r="D39" s="1287"/>
      <c r="E39" s="1287"/>
      <c r="F39" s="1287"/>
      <c r="G39" s="1287"/>
      <c r="H39" s="1287"/>
      <c r="I39" s="1287"/>
      <c r="J39" s="1287"/>
      <c r="K39" s="1287"/>
      <c r="L39" s="1287"/>
      <c r="M39" s="1287"/>
      <c r="N39" s="1287"/>
      <c r="O39" s="1287"/>
      <c r="P39" s="1287"/>
    </row>
    <row r="40" spans="1:16" x14ac:dyDescent="0.35">
      <c r="A40" s="1287"/>
      <c r="B40" s="1287"/>
      <c r="C40" s="1287"/>
      <c r="D40" s="1287"/>
      <c r="E40" s="1287"/>
      <c r="F40" s="1287"/>
      <c r="G40" s="1287"/>
      <c r="H40" s="1287"/>
      <c r="I40" s="1287"/>
      <c r="J40" s="1287"/>
      <c r="K40" s="1287"/>
      <c r="L40" s="1287"/>
      <c r="M40" s="1287"/>
      <c r="N40" s="1287"/>
      <c r="O40" s="1287"/>
      <c r="P40" s="1287"/>
    </row>
    <row r="41" spans="1:16" x14ac:dyDescent="0.35">
      <c r="A41" s="1287"/>
      <c r="B41" s="1287"/>
      <c r="C41" s="1287"/>
      <c r="D41" s="1287"/>
      <c r="E41" s="1287"/>
      <c r="F41" s="1287"/>
      <c r="G41" s="1287"/>
      <c r="H41" s="1287"/>
      <c r="I41" s="1287"/>
      <c r="J41" s="1287"/>
      <c r="K41" s="1287"/>
      <c r="L41" s="1287"/>
      <c r="M41" s="1287"/>
      <c r="N41" s="1287"/>
      <c r="O41" s="1287"/>
      <c r="P41" s="1287"/>
    </row>
    <row r="42" spans="1:16" x14ac:dyDescent="0.35">
      <c r="A42" s="1287"/>
      <c r="B42" s="1287"/>
      <c r="C42" s="1287"/>
      <c r="D42" s="1287"/>
      <c r="E42" s="1287"/>
      <c r="F42" s="1287"/>
      <c r="G42" s="1287"/>
      <c r="H42" s="1287"/>
      <c r="I42" s="1287"/>
      <c r="J42" s="1287"/>
      <c r="K42" s="1287"/>
      <c r="L42" s="1287"/>
      <c r="M42" s="1287"/>
      <c r="N42" s="1287"/>
      <c r="O42" s="1287"/>
      <c r="P42" s="1287"/>
    </row>
    <row r="43" spans="1:16" x14ac:dyDescent="0.35">
      <c r="A43" s="211"/>
      <c r="B43" s="211"/>
      <c r="C43" s="211"/>
      <c r="D43" s="211"/>
      <c r="E43" s="211"/>
      <c r="F43" s="211"/>
      <c r="G43" s="211"/>
      <c r="H43" s="211"/>
      <c r="I43" s="211"/>
      <c r="J43" s="211"/>
      <c r="K43" s="211"/>
      <c r="L43" s="211"/>
      <c r="M43" s="211"/>
      <c r="N43" s="211"/>
      <c r="O43" s="211"/>
      <c r="P43" s="211"/>
    </row>
    <row r="44" spans="1:16" x14ac:dyDescent="0.35">
      <c r="A44" s="1288" t="s">
        <v>996</v>
      </c>
      <c r="B44" s="1288"/>
      <c r="C44" s="1288"/>
      <c r="D44" s="1288"/>
      <c r="E44" s="1288"/>
      <c r="F44" s="1288"/>
      <c r="G44" s="1288"/>
      <c r="H44" s="1288"/>
      <c r="I44" s="1288"/>
      <c r="J44" s="1288"/>
      <c r="K44" s="1288"/>
      <c r="L44" s="1288"/>
      <c r="M44" s="1288"/>
      <c r="N44" s="1288"/>
      <c r="O44" s="1288"/>
      <c r="P44" s="1288"/>
    </row>
    <row r="45" spans="1:16" x14ac:dyDescent="0.35">
      <c r="A45" s="1288"/>
      <c r="B45" s="1288"/>
      <c r="C45" s="1288"/>
      <c r="D45" s="1288"/>
      <c r="E45" s="1288"/>
      <c r="F45" s="1288"/>
      <c r="G45" s="1288"/>
      <c r="H45" s="1288"/>
      <c r="I45" s="1288"/>
      <c r="J45" s="1288"/>
      <c r="K45" s="1288"/>
      <c r="L45" s="1288"/>
      <c r="M45" s="1288"/>
      <c r="N45" s="1288"/>
      <c r="O45" s="1288"/>
      <c r="P45" s="1288"/>
    </row>
    <row r="46" spans="1:16" x14ac:dyDescent="0.35">
      <c r="A46" s="1288"/>
      <c r="B46" s="1288"/>
      <c r="C46" s="1288"/>
      <c r="D46" s="1288"/>
      <c r="E46" s="1288"/>
      <c r="F46" s="1288"/>
      <c r="G46" s="1288"/>
      <c r="H46" s="1288"/>
      <c r="I46" s="1288"/>
      <c r="J46" s="1288"/>
      <c r="K46" s="1288"/>
      <c r="L46" s="1288"/>
      <c r="M46" s="1288"/>
      <c r="N46" s="1288"/>
      <c r="O46" s="1288"/>
      <c r="P46" s="1288"/>
    </row>
    <row r="47" spans="1:16" x14ac:dyDescent="0.35">
      <c r="A47" s="204"/>
      <c r="B47" s="204"/>
      <c r="C47" s="204"/>
      <c r="D47" s="205"/>
      <c r="E47" s="204"/>
      <c r="F47" s="204"/>
      <c r="G47" s="204"/>
      <c r="H47" s="204"/>
      <c r="I47" s="204"/>
      <c r="J47" s="204"/>
      <c r="K47" s="204"/>
      <c r="L47" s="204"/>
      <c r="M47" s="204"/>
      <c r="N47" s="204"/>
      <c r="O47" s="204"/>
      <c r="P47" s="204"/>
    </row>
    <row r="48" spans="1:16" x14ac:dyDescent="0.35">
      <c r="A48" s="1285" t="s">
        <v>997</v>
      </c>
      <c r="B48" s="1286"/>
      <c r="C48" s="1286"/>
      <c r="D48" s="1286"/>
      <c r="E48" s="1286"/>
      <c r="F48" s="1286"/>
      <c r="G48" s="1286"/>
      <c r="H48" s="1286"/>
      <c r="I48" s="1286"/>
      <c r="J48" s="1286"/>
      <c r="K48" s="1286"/>
      <c r="L48" s="1286"/>
      <c r="M48" s="1286"/>
      <c r="N48" s="1286"/>
      <c r="O48" s="1286"/>
      <c r="P48" s="1286"/>
    </row>
    <row r="49" spans="1:16" x14ac:dyDescent="0.35">
      <c r="A49" s="1286"/>
      <c r="B49" s="1286"/>
      <c r="C49" s="1286"/>
      <c r="D49" s="1286"/>
      <c r="E49" s="1286"/>
      <c r="F49" s="1286"/>
      <c r="G49" s="1286"/>
      <c r="H49" s="1286"/>
      <c r="I49" s="1286"/>
      <c r="J49" s="1286"/>
      <c r="K49" s="1286"/>
      <c r="L49" s="1286"/>
      <c r="M49" s="1286"/>
      <c r="N49" s="1286"/>
      <c r="O49" s="1286"/>
      <c r="P49" s="1286"/>
    </row>
    <row r="50" spans="1:16" x14ac:dyDescent="0.35">
      <c r="A50" s="204"/>
      <c r="B50" s="204"/>
      <c r="C50" s="204"/>
      <c r="D50" s="205"/>
      <c r="E50" s="204"/>
      <c r="F50" s="204"/>
      <c r="G50" s="204"/>
      <c r="H50" s="204"/>
      <c r="I50" s="204"/>
      <c r="J50" s="204"/>
      <c r="K50" s="204"/>
      <c r="L50" s="204"/>
      <c r="M50" s="204"/>
      <c r="N50" s="204"/>
      <c r="O50" s="204"/>
      <c r="P50" s="204"/>
    </row>
    <row r="51" spans="1:16" x14ac:dyDescent="0.35">
      <c r="A51" s="1281" t="s">
        <v>998</v>
      </c>
      <c r="B51" s="1281"/>
      <c r="C51" s="1281"/>
      <c r="D51" s="1281"/>
      <c r="E51" s="1281"/>
      <c r="F51" s="1281"/>
      <c r="G51" s="1281"/>
      <c r="H51" s="1281"/>
      <c r="I51" s="1281"/>
      <c r="J51" s="1281"/>
      <c r="K51" s="1281"/>
      <c r="L51" s="1281"/>
      <c r="M51" s="1281"/>
      <c r="N51" s="1281"/>
      <c r="O51" s="1281"/>
      <c r="P51" s="1281"/>
    </row>
    <row r="52" spans="1:16" x14ac:dyDescent="0.35">
      <c r="A52" s="1281"/>
      <c r="B52" s="1281"/>
      <c r="C52" s="1281"/>
      <c r="D52" s="1281"/>
      <c r="E52" s="1281"/>
      <c r="F52" s="1281"/>
      <c r="G52" s="1281"/>
      <c r="H52" s="1281"/>
      <c r="I52" s="1281"/>
      <c r="J52" s="1281"/>
      <c r="K52" s="1281"/>
      <c r="L52" s="1281"/>
      <c r="M52" s="1281"/>
      <c r="N52" s="1281"/>
      <c r="O52" s="1281"/>
      <c r="P52" s="1281"/>
    </row>
    <row r="53" spans="1:16" x14ac:dyDescent="0.35">
      <c r="A53" s="1281"/>
      <c r="B53" s="1281"/>
      <c r="C53" s="1281"/>
      <c r="D53" s="1281"/>
      <c r="E53" s="1281"/>
      <c r="F53" s="1281"/>
      <c r="G53" s="1281"/>
      <c r="H53" s="1281"/>
      <c r="I53" s="1281"/>
      <c r="J53" s="1281"/>
      <c r="K53" s="1281"/>
      <c r="L53" s="1281"/>
      <c r="M53" s="1281"/>
      <c r="N53" s="1281"/>
      <c r="O53" s="1281"/>
      <c r="P53" s="1281"/>
    </row>
    <row r="54" spans="1:16" x14ac:dyDescent="0.35">
      <c r="A54" s="206"/>
      <c r="B54" s="206"/>
      <c r="C54" s="206"/>
      <c r="D54" s="207"/>
      <c r="E54" s="206"/>
      <c r="F54" s="206"/>
      <c r="G54" s="206"/>
      <c r="H54" s="206"/>
      <c r="I54" s="206"/>
      <c r="J54" s="206"/>
      <c r="K54" s="206"/>
      <c r="L54" s="206"/>
      <c r="M54" s="206"/>
      <c r="N54" s="206"/>
      <c r="O54" s="206"/>
      <c r="P54" s="20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999</v>
      </c>
    </row>
    <row r="2" spans="1:6" ht="20" x14ac:dyDescent="0.4">
      <c r="A2" s="98" t="s">
        <v>1000</v>
      </c>
      <c r="B2" s="98" t="s">
        <v>1001</v>
      </c>
      <c r="C2" s="98" t="s">
        <v>1002</v>
      </c>
      <c r="D2" s="98" t="s">
        <v>1003</v>
      </c>
    </row>
    <row r="3" spans="1:6" x14ac:dyDescent="0.3">
      <c r="A3" s="100" t="s">
        <v>1004</v>
      </c>
      <c r="B3" s="99">
        <f>SUM(B4:B7)</f>
        <v>325</v>
      </c>
      <c r="E3" s="1289" t="s">
        <v>1005</v>
      </c>
      <c r="F3" s="1289"/>
    </row>
    <row r="4" spans="1:6" x14ac:dyDescent="0.3">
      <c r="A4" s="92" t="s">
        <v>1006</v>
      </c>
      <c r="B4" s="99">
        <v>284</v>
      </c>
      <c r="E4" s="52" t="s">
        <v>71</v>
      </c>
      <c r="F4" s="52" t="s">
        <v>1007</v>
      </c>
    </row>
    <row r="5" spans="1:6" x14ac:dyDescent="0.3">
      <c r="A5" s="92" t="s">
        <v>569</v>
      </c>
      <c r="B5" s="99">
        <v>20</v>
      </c>
      <c r="E5" s="34" t="s">
        <v>193</v>
      </c>
      <c r="F5" s="34">
        <f>SUM(B11:B16)</f>
        <v>82</v>
      </c>
    </row>
    <row r="6" spans="1:6" x14ac:dyDescent="0.3">
      <c r="A6" s="92" t="s">
        <v>576</v>
      </c>
      <c r="B6" s="99">
        <v>15</v>
      </c>
      <c r="E6" s="34" t="s">
        <v>69</v>
      </c>
      <c r="F6" s="34">
        <f>B23</f>
        <v>3</v>
      </c>
    </row>
    <row r="7" spans="1:6" x14ac:dyDescent="0.3">
      <c r="A7" s="92" t="s">
        <v>577</v>
      </c>
      <c r="B7" s="99">
        <v>6</v>
      </c>
      <c r="E7" s="34" t="s">
        <v>475</v>
      </c>
      <c r="F7" s="34">
        <f>B27-B28</f>
        <v>29</v>
      </c>
    </row>
    <row r="8" spans="1:6" x14ac:dyDescent="0.3">
      <c r="A8" s="52" t="s">
        <v>1008</v>
      </c>
      <c r="B8" s="99">
        <v>121</v>
      </c>
      <c r="E8" s="34" t="s">
        <v>492</v>
      </c>
      <c r="F8" s="34">
        <f>B42</f>
        <v>2</v>
      </c>
    </row>
    <row r="9" spans="1:6" x14ac:dyDescent="0.3">
      <c r="A9" s="101" t="s">
        <v>1009</v>
      </c>
      <c r="B9" s="99">
        <v>166</v>
      </c>
      <c r="E9" s="34" t="s">
        <v>1010</v>
      </c>
      <c r="F9" s="34">
        <f>B18+B20+B21</f>
        <v>34</v>
      </c>
    </row>
    <row r="10" spans="1:6" x14ac:dyDescent="0.3">
      <c r="A10" s="93" t="s">
        <v>1011</v>
      </c>
      <c r="B10" s="99">
        <v>82</v>
      </c>
      <c r="E10" s="52" t="s">
        <v>1012</v>
      </c>
      <c r="F10" s="52" t="s">
        <v>1013</v>
      </c>
    </row>
    <row r="11" spans="1:6" x14ac:dyDescent="0.3">
      <c r="A11" s="92" t="s">
        <v>1014</v>
      </c>
      <c r="B11" s="99">
        <v>54</v>
      </c>
      <c r="E11" s="34" t="s">
        <v>441</v>
      </c>
      <c r="F11" s="34">
        <f>B4</f>
        <v>284</v>
      </c>
    </row>
    <row r="12" spans="1:6" x14ac:dyDescent="0.3">
      <c r="A12" s="92" t="s">
        <v>1015</v>
      </c>
      <c r="B12" s="99">
        <v>20</v>
      </c>
      <c r="E12" s="34" t="s">
        <v>1016</v>
      </c>
      <c r="F12" s="34">
        <f>B5</f>
        <v>20</v>
      </c>
    </row>
    <row r="13" spans="1:6" x14ac:dyDescent="0.3">
      <c r="A13" s="92" t="s">
        <v>1017</v>
      </c>
      <c r="B13" s="99">
        <v>4</v>
      </c>
      <c r="E13" s="34" t="s">
        <v>576</v>
      </c>
      <c r="F13" s="34">
        <f>B6</f>
        <v>15</v>
      </c>
    </row>
    <row r="14" spans="1:6" ht="28" x14ac:dyDescent="0.3">
      <c r="A14" s="92" t="s">
        <v>1018</v>
      </c>
      <c r="B14" s="99">
        <v>2</v>
      </c>
      <c r="E14" s="39" t="s">
        <v>577</v>
      </c>
      <c r="F14" s="34">
        <f>B7</f>
        <v>6</v>
      </c>
    </row>
    <row r="15" spans="1:6" ht="28" x14ac:dyDescent="0.3">
      <c r="A15" s="92" t="s">
        <v>1019</v>
      </c>
      <c r="B15" s="99">
        <v>1</v>
      </c>
      <c r="E15" s="39" t="s">
        <v>1020</v>
      </c>
      <c r="F15" s="34">
        <f>B28</f>
        <v>15</v>
      </c>
    </row>
    <row r="16" spans="1:6" x14ac:dyDescent="0.3">
      <c r="A16" s="92" t="s">
        <v>1021</v>
      </c>
      <c r="B16" s="99">
        <v>1</v>
      </c>
      <c r="E16" s="34" t="s">
        <v>1022</v>
      </c>
      <c r="F16" s="34">
        <f>B37</f>
        <v>12</v>
      </c>
    </row>
    <row r="17" spans="1:6" x14ac:dyDescent="0.3">
      <c r="A17" s="52" t="s">
        <v>1023</v>
      </c>
      <c r="B17" s="99">
        <v>72</v>
      </c>
      <c r="E17" s="34" t="s">
        <v>1024</v>
      </c>
      <c r="F17" s="34">
        <f>B38</f>
        <v>10</v>
      </c>
    </row>
    <row r="18" spans="1:6" x14ac:dyDescent="0.3">
      <c r="A18" s="92" t="s">
        <v>1025</v>
      </c>
      <c r="B18" s="99">
        <v>22</v>
      </c>
      <c r="C18" s="34" t="s">
        <v>1026</v>
      </c>
    </row>
    <row r="19" spans="1:6" x14ac:dyDescent="0.3">
      <c r="A19" s="92" t="s">
        <v>1027</v>
      </c>
      <c r="B19" s="99">
        <v>20</v>
      </c>
      <c r="C19" s="34" t="s">
        <v>152</v>
      </c>
    </row>
    <row r="20" spans="1:6" x14ac:dyDescent="0.3">
      <c r="A20" s="92" t="s">
        <v>1028</v>
      </c>
      <c r="B20" s="99">
        <v>8</v>
      </c>
      <c r="C20" s="34" t="s">
        <v>1026</v>
      </c>
    </row>
    <row r="21" spans="1:6" x14ac:dyDescent="0.3">
      <c r="A21" s="92" t="s">
        <v>1029</v>
      </c>
      <c r="B21" s="99">
        <v>4</v>
      </c>
      <c r="C21" s="34" t="s">
        <v>71</v>
      </c>
    </row>
    <row r="22" spans="1:6" x14ac:dyDescent="0.3">
      <c r="A22" s="92" t="s">
        <v>1030</v>
      </c>
      <c r="B22" s="99">
        <v>4</v>
      </c>
      <c r="C22" s="34" t="s">
        <v>152</v>
      </c>
    </row>
    <row r="23" spans="1:6" x14ac:dyDescent="0.3">
      <c r="A23" s="92" t="s">
        <v>1031</v>
      </c>
      <c r="B23" s="99">
        <v>3</v>
      </c>
      <c r="C23" s="34" t="s">
        <v>1032</v>
      </c>
    </row>
    <row r="24" spans="1:6" x14ac:dyDescent="0.3">
      <c r="A24" s="92" t="s">
        <v>1033</v>
      </c>
      <c r="B24" s="99">
        <v>3</v>
      </c>
      <c r="C24" s="34" t="s">
        <v>1034</v>
      </c>
    </row>
    <row r="25" spans="1:6" x14ac:dyDescent="0.3">
      <c r="A25" s="102" t="s">
        <v>1035</v>
      </c>
      <c r="B25" s="99">
        <v>3</v>
      </c>
      <c r="C25" s="34" t="s">
        <v>76</v>
      </c>
    </row>
    <row r="26" spans="1:6" x14ac:dyDescent="0.3">
      <c r="A26" s="92" t="s">
        <v>1036</v>
      </c>
      <c r="B26" s="99">
        <v>4</v>
      </c>
      <c r="C26" s="34" t="s">
        <v>1037</v>
      </c>
    </row>
    <row r="27" spans="1:6" x14ac:dyDescent="0.3">
      <c r="A27" s="52" t="s">
        <v>475</v>
      </c>
      <c r="B27" s="99">
        <v>44</v>
      </c>
    </row>
    <row r="28" spans="1:6" x14ac:dyDescent="0.3">
      <c r="A28" s="117" t="s">
        <v>1020</v>
      </c>
      <c r="B28" s="118">
        <v>15</v>
      </c>
    </row>
    <row r="29" spans="1:6" x14ac:dyDescent="0.3">
      <c r="A29" s="92" t="s">
        <v>1038</v>
      </c>
      <c r="B29" s="99">
        <v>14</v>
      </c>
    </row>
    <row r="30" spans="1:6" x14ac:dyDescent="0.3">
      <c r="A30" s="92" t="s">
        <v>1039</v>
      </c>
      <c r="B30" s="99">
        <v>10</v>
      </c>
    </row>
    <row r="31" spans="1:6" x14ac:dyDescent="0.3">
      <c r="A31" s="92" t="s">
        <v>1040</v>
      </c>
      <c r="B31" s="99">
        <v>2</v>
      </c>
    </row>
    <row r="32" spans="1:6" x14ac:dyDescent="0.3">
      <c r="A32" s="92" t="s">
        <v>1041</v>
      </c>
      <c r="B32" s="99">
        <v>2</v>
      </c>
    </row>
    <row r="33" spans="1:6" x14ac:dyDescent="0.3">
      <c r="A33" s="92" t="s">
        <v>1042</v>
      </c>
      <c r="B33" s="99">
        <v>1</v>
      </c>
    </row>
    <row r="34" spans="1:6" x14ac:dyDescent="0.3">
      <c r="A34" s="52" t="s">
        <v>1043</v>
      </c>
      <c r="B34" s="99">
        <v>88</v>
      </c>
    </row>
    <row r="35" spans="1:6" x14ac:dyDescent="0.3">
      <c r="A35" s="102" t="s">
        <v>1044</v>
      </c>
      <c r="B35" s="99">
        <v>26</v>
      </c>
    </row>
    <row r="36" spans="1:6" x14ac:dyDescent="0.3">
      <c r="A36" s="92" t="s">
        <v>1045</v>
      </c>
      <c r="B36" s="99">
        <v>25</v>
      </c>
    </row>
    <row r="37" spans="1:6" x14ac:dyDescent="0.3">
      <c r="A37" s="92" t="s">
        <v>1022</v>
      </c>
      <c r="B37" s="99">
        <v>12</v>
      </c>
      <c r="C37" s="34" t="s">
        <v>1046</v>
      </c>
      <c r="E37" s="34" t="s">
        <v>1047</v>
      </c>
      <c r="F37" s="34" t="s">
        <v>1048</v>
      </c>
    </row>
    <row r="38" spans="1:6" x14ac:dyDescent="0.3">
      <c r="A38" s="92" t="s">
        <v>1024</v>
      </c>
      <c r="B38" s="99">
        <v>10</v>
      </c>
      <c r="C38" s="34" t="s">
        <v>1046</v>
      </c>
      <c r="E38" s="34" t="s">
        <v>1049</v>
      </c>
      <c r="F38" s="34" t="s">
        <v>1050</v>
      </c>
    </row>
    <row r="39" spans="1:6" x14ac:dyDescent="0.3">
      <c r="A39" s="92" t="s">
        <v>1051</v>
      </c>
      <c r="B39" s="99">
        <v>7</v>
      </c>
      <c r="C39" s="34" t="s">
        <v>1037</v>
      </c>
      <c r="E39" s="34" t="s">
        <v>1052</v>
      </c>
      <c r="F39" s="34" t="s">
        <v>1053</v>
      </c>
    </row>
    <row r="40" spans="1:6" x14ac:dyDescent="0.3">
      <c r="A40" s="92" t="s">
        <v>1054</v>
      </c>
      <c r="B40" s="99">
        <v>5</v>
      </c>
      <c r="C40" s="34" t="s">
        <v>152</v>
      </c>
      <c r="E40" s="34" t="s">
        <v>1055</v>
      </c>
    </row>
    <row r="41" spans="1:6" x14ac:dyDescent="0.3">
      <c r="A41" s="92" t="s">
        <v>1056</v>
      </c>
      <c r="B41" s="99">
        <v>2</v>
      </c>
      <c r="C41" s="34" t="s">
        <v>1037</v>
      </c>
      <c r="E41" s="34" t="s">
        <v>1057</v>
      </c>
    </row>
    <row r="42" spans="1:6" x14ac:dyDescent="0.3">
      <c r="A42" s="92" t="s">
        <v>1058</v>
      </c>
      <c r="B42" s="99">
        <v>2</v>
      </c>
      <c r="C42" s="34" t="s">
        <v>1026</v>
      </c>
      <c r="E42" s="125" t="s">
        <v>1059</v>
      </c>
    </row>
    <row r="43" spans="1:6" x14ac:dyDescent="0.3">
      <c r="A43" s="92" t="s">
        <v>1060</v>
      </c>
      <c r="B43" s="99">
        <v>0</v>
      </c>
      <c r="E43" s="34" t="s">
        <v>1061</v>
      </c>
    </row>
    <row r="44" spans="1:6" x14ac:dyDescent="0.3">
      <c r="A44" s="52" t="s">
        <v>1062</v>
      </c>
      <c r="B44" s="99">
        <v>40</v>
      </c>
    </row>
    <row r="45" spans="1:6" x14ac:dyDescent="0.3">
      <c r="A45" s="102" t="s">
        <v>1063</v>
      </c>
      <c r="B45" s="103">
        <v>21</v>
      </c>
    </row>
    <row r="46" spans="1:6" x14ac:dyDescent="0.3">
      <c r="A46" s="92" t="s">
        <v>1064</v>
      </c>
      <c r="B46" s="99">
        <v>6</v>
      </c>
    </row>
    <row r="47" spans="1:6" x14ac:dyDescent="0.3">
      <c r="A47" s="102" t="s">
        <v>1065</v>
      </c>
      <c r="B47" s="103">
        <v>4</v>
      </c>
    </row>
    <row r="48" spans="1:6" x14ac:dyDescent="0.3">
      <c r="A48" s="92" t="s">
        <v>1066</v>
      </c>
      <c r="B48" s="99">
        <v>4</v>
      </c>
    </row>
    <row r="49" spans="1:2" x14ac:dyDescent="0.3">
      <c r="A49" s="102" t="s">
        <v>1067</v>
      </c>
      <c r="B49" s="103">
        <v>3</v>
      </c>
    </row>
    <row r="50" spans="1:2" x14ac:dyDescent="0.3">
      <c r="A50" s="92" t="s">
        <v>1068</v>
      </c>
      <c r="B50" s="99">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4"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90"/>
      <c r="J1" s="1290"/>
      <c r="K1" s="1290"/>
    </row>
    <row r="2" spans="1:62" s="1" customFormat="1" ht="13" customHeight="1" x14ac:dyDescent="0.35">
      <c r="A2" s="227"/>
      <c r="O2" s="1008" t="s">
        <v>1249</v>
      </c>
      <c r="P2" s="1296" t="s">
        <v>1069</v>
      </c>
      <c r="Q2" s="1296"/>
      <c r="R2" s="1296"/>
      <c r="S2" s="1296"/>
      <c r="T2" s="226"/>
      <c r="U2" s="226"/>
      <c r="V2" s="226"/>
      <c r="W2" s="226"/>
      <c r="X2" s="226"/>
      <c r="Y2" s="1291" t="s">
        <v>1070</v>
      </c>
      <c r="Z2" s="1292"/>
      <c r="AA2" s="1292"/>
      <c r="AB2" s="1292"/>
      <c r="AC2" s="1292"/>
      <c r="AD2" s="1292"/>
      <c r="AE2" s="226"/>
      <c r="AF2" s="226"/>
      <c r="AG2" s="1293" t="s">
        <v>1071</v>
      </c>
      <c r="AH2" s="1292"/>
      <c r="AI2" s="1292"/>
      <c r="AJ2" s="1295" t="s">
        <v>1072</v>
      </c>
      <c r="AK2" s="1295"/>
      <c r="AL2" s="1295"/>
      <c r="AM2" s="1295"/>
      <c r="AN2" s="1295"/>
      <c r="AO2" s="1295"/>
      <c r="AP2" s="1295"/>
      <c r="AQ2" s="1295"/>
      <c r="AR2" s="1295"/>
      <c r="AS2" s="1295"/>
      <c r="AT2" s="513"/>
      <c r="AU2" s="1294" t="s">
        <v>518</v>
      </c>
      <c r="AV2" s="1294"/>
      <c r="AW2" s="1294"/>
      <c r="AX2" s="1294"/>
      <c r="AY2" s="1294"/>
      <c r="AZ2" s="1294"/>
      <c r="BA2" s="1294"/>
      <c r="BB2" s="400"/>
      <c r="BC2" s="400"/>
      <c r="BD2" s="400"/>
      <c r="BE2" s="400"/>
      <c r="BF2" s="400"/>
      <c r="BG2" s="400"/>
      <c r="BH2" s="400"/>
      <c r="BI2" s="400"/>
      <c r="BJ2" s="407" t="s">
        <v>1073</v>
      </c>
    </row>
    <row r="3" spans="1:62" ht="43.5" x14ac:dyDescent="0.35">
      <c r="A3" s="228"/>
      <c r="B3" s="228"/>
      <c r="C3" s="228"/>
      <c r="D3" s="228"/>
      <c r="E3" s="228"/>
      <c r="F3" s="228"/>
      <c r="G3" s="228"/>
      <c r="H3" s="228"/>
      <c r="I3" s="228"/>
      <c r="J3" s="228"/>
      <c r="K3" s="228"/>
      <c r="L3" s="228"/>
      <c r="M3" s="228"/>
      <c r="N3" s="228"/>
      <c r="O3" s="1009" t="s">
        <v>1074</v>
      </c>
      <c r="P3" s="3" t="s">
        <v>1075</v>
      </c>
      <c r="Q3" s="3" t="s">
        <v>1076</v>
      </c>
      <c r="R3" s="3" t="s">
        <v>1077</v>
      </c>
      <c r="S3" s="3" t="s">
        <v>1078</v>
      </c>
      <c r="T3" s="3" t="s">
        <v>1079</v>
      </c>
      <c r="U3" s="3" t="s">
        <v>1080</v>
      </c>
      <c r="V3" s="3" t="s">
        <v>1081</v>
      </c>
      <c r="W3" s="3" t="s">
        <v>1082</v>
      </c>
      <c r="X3" s="3" t="s">
        <v>1083</v>
      </c>
      <c r="Y3" s="3" t="s">
        <v>1084</v>
      </c>
      <c r="Z3" s="3"/>
      <c r="AA3" s="3"/>
      <c r="AB3" s="3"/>
      <c r="AC3" s="3" t="s">
        <v>1085</v>
      </c>
      <c r="AD3" s="3" t="s">
        <v>1086</v>
      </c>
      <c r="AE3" s="3" t="s">
        <v>1087</v>
      </c>
      <c r="AF3" s="3" t="s">
        <v>1088</v>
      </c>
      <c r="AG3" s="3" t="s">
        <v>1089</v>
      </c>
      <c r="AH3" s="3" t="s">
        <v>1090</v>
      </c>
      <c r="AI3" s="3" t="s">
        <v>1091</v>
      </c>
      <c r="AJ3" s="3" t="s">
        <v>1092</v>
      </c>
      <c r="AK3" s="3" t="s">
        <v>1093</v>
      </c>
      <c r="AL3" s="3" t="s">
        <v>1094</v>
      </c>
      <c r="AM3" s="3" t="s">
        <v>1095</v>
      </c>
      <c r="AN3" s="3" t="s">
        <v>1096</v>
      </c>
      <c r="AO3" s="3" t="s">
        <v>1097</v>
      </c>
      <c r="AP3" s="3" t="s">
        <v>1098</v>
      </c>
      <c r="AQ3" s="4" t="s">
        <v>1099</v>
      </c>
      <c r="AR3" s="3" t="s">
        <v>1100</v>
      </c>
      <c r="AS3" s="3" t="s">
        <v>1101</v>
      </c>
      <c r="AT3" s="3" t="s">
        <v>1102</v>
      </c>
      <c r="AU3" s="3" t="s">
        <v>1103</v>
      </c>
      <c r="AV3" s="3" t="s">
        <v>1104</v>
      </c>
      <c r="AW3" s="3" t="s">
        <v>1105</v>
      </c>
      <c r="AX3" s="3" t="s">
        <v>1106</v>
      </c>
      <c r="AY3" s="3" t="s">
        <v>1107</v>
      </c>
      <c r="AZ3" s="3" t="s">
        <v>1108</v>
      </c>
      <c r="BA3" s="3" t="s">
        <v>1085</v>
      </c>
      <c r="BB3" s="408" t="s">
        <v>1109</v>
      </c>
      <c r="BC3" s="408" t="s">
        <v>1110</v>
      </c>
      <c r="BD3" s="408" t="s">
        <v>1111</v>
      </c>
      <c r="BE3" s="408" t="s">
        <v>1112</v>
      </c>
      <c r="BF3" s="408" t="s">
        <v>1113</v>
      </c>
      <c r="BG3" s="408" t="s">
        <v>1114</v>
      </c>
      <c r="BH3" s="408" t="s">
        <v>1115</v>
      </c>
      <c r="BI3" s="408" t="s">
        <v>1116</v>
      </c>
      <c r="BJ3" s="402" t="s">
        <v>1117</v>
      </c>
    </row>
    <row r="4" spans="1:62" s="1" customFormat="1" ht="63" customHeight="1" x14ac:dyDescent="0.35">
      <c r="A4" s="411" t="s">
        <v>1118</v>
      </c>
      <c r="B4" s="227" t="s">
        <v>77</v>
      </c>
      <c r="C4" s="227" t="s">
        <v>1119</v>
      </c>
      <c r="D4" s="227" t="s">
        <v>989</v>
      </c>
      <c r="E4" s="227" t="s">
        <v>1120</v>
      </c>
      <c r="F4" s="227" t="s">
        <v>1121</v>
      </c>
      <c r="G4" s="227" t="s">
        <v>1122</v>
      </c>
      <c r="H4" s="227" t="s">
        <v>174</v>
      </c>
      <c r="I4" s="243" t="s">
        <v>480</v>
      </c>
      <c r="J4" s="243" t="s">
        <v>193</v>
      </c>
      <c r="K4" s="243" t="s">
        <v>1123</v>
      </c>
      <c r="L4" s="235" t="s">
        <v>202</v>
      </c>
      <c r="M4" s="227" t="s">
        <v>152</v>
      </c>
      <c r="N4" s="227" t="s">
        <v>1124</v>
      </c>
      <c r="O4" s="1010" t="s">
        <v>1125</v>
      </c>
      <c r="P4" s="408" t="s">
        <v>1126</v>
      </c>
      <c r="Q4" s="408" t="s">
        <v>1127</v>
      </c>
      <c r="R4" s="408" t="s">
        <v>1128</v>
      </c>
      <c r="S4" s="408" t="s">
        <v>1129</v>
      </c>
      <c r="T4" s="408" t="s">
        <v>1130</v>
      </c>
      <c r="U4" s="408" t="s">
        <v>1131</v>
      </c>
      <c r="V4" s="408" t="s">
        <v>1132</v>
      </c>
      <c r="W4" s="408" t="s">
        <v>1133</v>
      </c>
      <c r="X4" s="408" t="s">
        <v>1134</v>
      </c>
      <c r="Y4" s="408" t="s">
        <v>1135</v>
      </c>
      <c r="Z4" s="408" t="s">
        <v>1136</v>
      </c>
      <c r="AA4" s="408" t="s">
        <v>1137</v>
      </c>
      <c r="AB4" s="408" t="s">
        <v>1138</v>
      </c>
      <c r="AC4" s="408" t="s">
        <v>1139</v>
      </c>
      <c r="AD4" s="408" t="s">
        <v>1140</v>
      </c>
      <c r="AE4" s="408" t="s">
        <v>1141</v>
      </c>
      <c r="AF4" s="408" t="s">
        <v>1142</v>
      </c>
      <c r="AG4" s="408" t="s">
        <v>254</v>
      </c>
      <c r="AH4" s="408" t="s">
        <v>255</v>
      </c>
      <c r="AI4" s="408" t="s">
        <v>1143</v>
      </c>
      <c r="AJ4" s="408" t="s">
        <v>1144</v>
      </c>
      <c r="AK4" s="408" t="s">
        <v>1145</v>
      </c>
      <c r="AL4" s="408" t="s">
        <v>1146</v>
      </c>
      <c r="AM4" s="408" t="s">
        <v>1147</v>
      </c>
      <c r="AN4" s="408" t="s">
        <v>1148</v>
      </c>
      <c r="AO4" s="408" t="s">
        <v>1149</v>
      </c>
      <c r="AP4" s="408" t="s">
        <v>1150</v>
      </c>
      <c r="AQ4" s="409" t="s">
        <v>1151</v>
      </c>
      <c r="AR4" s="408" t="s">
        <v>1152</v>
      </c>
      <c r="AS4" s="408" t="s">
        <v>1153</v>
      </c>
      <c r="AT4" s="408" t="s">
        <v>1154</v>
      </c>
      <c r="AU4" s="408" t="s">
        <v>1155</v>
      </c>
      <c r="AV4" s="408" t="s">
        <v>1156</v>
      </c>
      <c r="AW4" s="408" t="s">
        <v>1157</v>
      </c>
      <c r="AX4" s="408" t="s">
        <v>1158</v>
      </c>
      <c r="AY4" s="408" t="s">
        <v>1159</v>
      </c>
      <c r="AZ4" s="408" t="s">
        <v>1160</v>
      </c>
      <c r="BA4" s="408"/>
      <c r="BB4" s="408" t="s">
        <v>581</v>
      </c>
      <c r="BC4" s="408" t="s">
        <v>1161</v>
      </c>
      <c r="BD4" s="408" t="s">
        <v>1162</v>
      </c>
      <c r="BE4" s="408" t="s">
        <v>1163</v>
      </c>
      <c r="BF4" s="408" t="s">
        <v>1164</v>
      </c>
      <c r="BG4" s="408" t="s">
        <v>1165</v>
      </c>
      <c r="BH4" s="408" t="s">
        <v>1166</v>
      </c>
      <c r="BI4" s="408" t="s">
        <v>1167</v>
      </c>
      <c r="BJ4" s="410" t="s">
        <v>1168</v>
      </c>
    </row>
    <row r="5" spans="1:62" x14ac:dyDescent="0.35">
      <c r="A5" s="229">
        <v>2021</v>
      </c>
      <c r="B5" s="231">
        <f>Q5</f>
        <v>394.202</v>
      </c>
      <c r="C5" s="231">
        <f>SUM(Y5:AB5)</f>
        <v>195.7</v>
      </c>
      <c r="D5" s="231">
        <f>T5</f>
        <v>18.823</v>
      </c>
      <c r="E5" s="231">
        <f>SUM(P5:S5)-B5</f>
        <v>0.77600000000001046</v>
      </c>
      <c r="F5" s="231">
        <f t="shared" ref="F5:F15" si="0">SUM(T5:AF5)-C5-L5-D5</f>
        <v>47.722000000000016</v>
      </c>
      <c r="G5" s="231">
        <f>SUM(BB5:BI5)-BC5</f>
        <v>81.642999999999986</v>
      </c>
      <c r="H5" s="231">
        <f>SUM(AG5:AI5)</f>
        <v>7.798</v>
      </c>
      <c r="I5" s="231">
        <f>AJ5</f>
        <v>283.95749999999998</v>
      </c>
      <c r="J5" s="231">
        <f>AL5</f>
        <v>12.347</v>
      </c>
      <c r="K5" s="231">
        <f>SUM(AM5:AT5)</f>
        <v>29.628</v>
      </c>
      <c r="L5" s="246">
        <f>103/4</f>
        <v>25.75</v>
      </c>
      <c r="M5" s="231">
        <f t="shared" ref="M5:M16" si="1">SUM(AU5:BA5)</f>
        <v>31.939</v>
      </c>
      <c r="N5" s="231">
        <f>AK5</f>
        <v>3.4</v>
      </c>
      <c r="O5" s="1011">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03">
        <v>1.1599999999999999</v>
      </c>
    </row>
    <row r="6" spans="1:62" x14ac:dyDescent="0.35">
      <c r="A6" s="229">
        <v>2022</v>
      </c>
      <c r="B6" s="231">
        <f t="shared" ref="B6:B15" si="2">Q6</f>
        <v>17.465</v>
      </c>
      <c r="C6" s="231">
        <f t="shared" ref="C6:C15" si="3">SUM(Y6:AB6)</f>
        <v>10.1</v>
      </c>
      <c r="D6" s="231">
        <f t="shared" ref="D6:D15" si="4">T6</f>
        <v>2.5950000000000002</v>
      </c>
      <c r="E6" s="231">
        <f t="shared" ref="E6:E15" si="5">SUM(P6:S6)-B6</f>
        <v>19.719000000000005</v>
      </c>
      <c r="F6" s="231">
        <f t="shared" si="0"/>
        <v>52.756999999999998</v>
      </c>
      <c r="G6" s="231">
        <f t="shared" ref="G6:G16" si="6">SUM(BB6:BI6)-BC6</f>
        <v>110.24799999999999</v>
      </c>
      <c r="H6" s="231">
        <f t="shared" ref="H6:H15" si="7">SUM(AG6:AI6)</f>
        <v>7.9489999999999998</v>
      </c>
      <c r="I6" s="231">
        <f t="shared" ref="I6:I15" si="8">AJ6</f>
        <v>77.092500000000001</v>
      </c>
      <c r="J6" s="231">
        <f t="shared" ref="J6:J15" si="9">AL6</f>
        <v>46.79</v>
      </c>
      <c r="K6" s="231">
        <f t="shared" ref="K6:K16" si="10">SUM(AM6:AT6)</f>
        <v>35.671000000000006</v>
      </c>
      <c r="L6" s="246">
        <v>0</v>
      </c>
      <c r="M6" s="231">
        <f t="shared" si="1"/>
        <v>56.412999999999997</v>
      </c>
      <c r="N6" s="231">
        <f t="shared" ref="N6:N15" si="11">AK6</f>
        <v>5.0999999999999996</v>
      </c>
      <c r="O6" s="1011">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03">
        <v>4.2</v>
      </c>
    </row>
    <row r="7" spans="1:62" x14ac:dyDescent="0.35">
      <c r="A7" s="229">
        <v>2023</v>
      </c>
      <c r="B7" s="231">
        <f t="shared" si="2"/>
        <v>0.48599999999999999</v>
      </c>
      <c r="C7" s="231">
        <f t="shared" si="3"/>
        <v>0</v>
      </c>
      <c r="D7" s="231">
        <f t="shared" si="4"/>
        <v>0.93700000000000006</v>
      </c>
      <c r="E7" s="231">
        <f t="shared" si="5"/>
        <v>1.4159999999999999</v>
      </c>
      <c r="F7" s="231">
        <f t="shared" si="0"/>
        <v>12</v>
      </c>
      <c r="G7" s="231">
        <f t="shared" si="6"/>
        <v>12.726000000000001</v>
      </c>
      <c r="H7" s="231">
        <f t="shared" si="7"/>
        <v>4.7519999999999998</v>
      </c>
      <c r="I7" s="231">
        <f t="shared" si="8"/>
        <v>1</v>
      </c>
      <c r="J7" s="231">
        <f t="shared" si="9"/>
        <v>38.595999999999997</v>
      </c>
      <c r="K7" s="231">
        <f t="shared" si="10"/>
        <v>24.216000000000001</v>
      </c>
      <c r="L7" s="246">
        <v>0</v>
      </c>
      <c r="M7" s="231">
        <f t="shared" si="1"/>
        <v>15.652999999999999</v>
      </c>
      <c r="N7" s="231">
        <f t="shared" si="11"/>
        <v>0</v>
      </c>
      <c r="O7" s="1011">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03">
        <v>2.7</v>
      </c>
    </row>
    <row r="8" spans="1:62" x14ac:dyDescent="0.35">
      <c r="A8" s="229">
        <v>2024</v>
      </c>
      <c r="B8" s="231">
        <f t="shared" si="2"/>
        <v>0</v>
      </c>
      <c r="C8" s="231">
        <f t="shared" si="3"/>
        <v>0</v>
      </c>
      <c r="D8" s="231">
        <f t="shared" si="4"/>
        <v>0.16</v>
      </c>
      <c r="E8" s="231">
        <f t="shared" si="5"/>
        <v>1.4790000000000001</v>
      </c>
      <c r="F8" s="231">
        <f t="shared" si="0"/>
        <v>4.2219999999999995</v>
      </c>
      <c r="G8" s="231">
        <f t="shared" si="6"/>
        <v>1.365</v>
      </c>
      <c r="H8" s="231">
        <f t="shared" si="7"/>
        <v>4.637999999999999</v>
      </c>
      <c r="I8" s="231">
        <f t="shared" si="8"/>
        <v>0</v>
      </c>
      <c r="J8" s="231">
        <f t="shared" si="9"/>
        <v>31.911000000000001</v>
      </c>
      <c r="K8" s="231">
        <f t="shared" si="10"/>
        <v>9.6430000000000007</v>
      </c>
      <c r="L8" s="246">
        <v>0</v>
      </c>
      <c r="M8" s="231">
        <f t="shared" si="1"/>
        <v>3.9320000000000004</v>
      </c>
      <c r="N8" s="231">
        <f t="shared" si="11"/>
        <v>0</v>
      </c>
      <c r="O8" s="1011">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04">
        <v>0.87</v>
      </c>
    </row>
    <row r="9" spans="1:62" x14ac:dyDescent="0.35">
      <c r="A9" s="229">
        <v>2025</v>
      </c>
      <c r="B9" s="231">
        <f t="shared" si="2"/>
        <v>0</v>
      </c>
      <c r="C9" s="231">
        <f t="shared" si="3"/>
        <v>0</v>
      </c>
      <c r="D9" s="231">
        <f t="shared" si="4"/>
        <v>3.3000000000000002E-2</v>
      </c>
      <c r="E9" s="231">
        <f t="shared" si="5"/>
        <v>1.63</v>
      </c>
      <c r="F9" s="231">
        <f t="shared" si="0"/>
        <v>2.3719999999999999</v>
      </c>
      <c r="G9" s="231">
        <f t="shared" si="6"/>
        <v>-0.90100000000000025</v>
      </c>
      <c r="H9" s="231">
        <f t="shared" si="7"/>
        <v>1.8800000000000001</v>
      </c>
      <c r="I9" s="231">
        <f t="shared" si="8"/>
        <v>0</v>
      </c>
      <c r="J9" s="231">
        <f t="shared" si="9"/>
        <v>23.099</v>
      </c>
      <c r="K9" s="231">
        <f t="shared" si="10"/>
        <v>4.5789999999999997</v>
      </c>
      <c r="L9" s="246">
        <v>0</v>
      </c>
      <c r="M9" s="231">
        <f t="shared" si="1"/>
        <v>-0.74299999999999988</v>
      </c>
      <c r="N9" s="231">
        <f t="shared" si="11"/>
        <v>0</v>
      </c>
      <c r="O9" s="1011">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1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04">
        <v>0.33</v>
      </c>
    </row>
    <row r="10" spans="1:62" x14ac:dyDescent="0.35">
      <c r="A10" s="229">
        <v>2026</v>
      </c>
      <c r="B10" s="231">
        <f t="shared" si="2"/>
        <v>0</v>
      </c>
      <c r="C10" s="231">
        <f t="shared" si="3"/>
        <v>0</v>
      </c>
      <c r="D10" s="231">
        <f t="shared" si="4"/>
        <v>3.2000000000000001E-2</v>
      </c>
      <c r="E10" s="231">
        <f t="shared" si="5"/>
        <v>1.671</v>
      </c>
      <c r="F10" s="231">
        <f t="shared" si="0"/>
        <v>0.49</v>
      </c>
      <c r="G10" s="231">
        <f t="shared" si="6"/>
        <v>-2.1500000000000004</v>
      </c>
      <c r="H10" s="231">
        <f t="shared" si="7"/>
        <v>1.446</v>
      </c>
      <c r="I10" s="231">
        <f t="shared" si="8"/>
        <v>0</v>
      </c>
      <c r="J10" s="231">
        <f t="shared" si="9"/>
        <v>10.766999999999999</v>
      </c>
      <c r="K10" s="231">
        <f t="shared" si="10"/>
        <v>2.9130000000000003</v>
      </c>
      <c r="L10" s="246"/>
      <c r="M10" s="231">
        <f t="shared" si="1"/>
        <v>-21.606000000000002</v>
      </c>
      <c r="N10" s="231">
        <f t="shared" si="11"/>
        <v>0</v>
      </c>
      <c r="O10" s="1011">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1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04">
        <v>0.17</v>
      </c>
    </row>
    <row r="11" spans="1:62" x14ac:dyDescent="0.35">
      <c r="A11" s="229">
        <v>2027</v>
      </c>
      <c r="B11" s="231">
        <f t="shared" si="2"/>
        <v>0</v>
      </c>
      <c r="C11" s="231">
        <f t="shared" si="3"/>
        <v>0</v>
      </c>
      <c r="D11" s="231">
        <f t="shared" si="4"/>
        <v>3.2000000000000001E-2</v>
      </c>
      <c r="E11" s="231">
        <f t="shared" si="5"/>
        <v>1.7130000000000001</v>
      </c>
      <c r="F11" s="231">
        <f t="shared" si="0"/>
        <v>0</v>
      </c>
      <c r="G11" s="231">
        <f t="shared" si="6"/>
        <v>-4.8169999999999993</v>
      </c>
      <c r="H11" s="231">
        <f t="shared" si="7"/>
        <v>0.65699999999999992</v>
      </c>
      <c r="I11" s="231">
        <f t="shared" si="8"/>
        <v>0</v>
      </c>
      <c r="J11" s="231">
        <f t="shared" si="9"/>
        <v>4.0789999999999997</v>
      </c>
      <c r="K11" s="231">
        <f t="shared" si="10"/>
        <v>2.46</v>
      </c>
      <c r="L11" s="246"/>
      <c r="M11" s="231">
        <f t="shared" si="1"/>
        <v>-14.713000000000001</v>
      </c>
      <c r="N11" s="231">
        <f t="shared" si="11"/>
        <v>0</v>
      </c>
      <c r="O11" s="1011">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12">
        <v>0.1</v>
      </c>
      <c r="AP11" s="5">
        <v>0.03</v>
      </c>
      <c r="AQ11" s="10">
        <v>0</v>
      </c>
      <c r="AR11" s="5">
        <v>0</v>
      </c>
      <c r="AS11" s="5">
        <v>0</v>
      </c>
      <c r="AT11" s="41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05">
        <v>0.06</v>
      </c>
    </row>
    <row r="12" spans="1:62" x14ac:dyDescent="0.35">
      <c r="A12" s="229">
        <v>2028</v>
      </c>
      <c r="B12" s="231">
        <f t="shared" si="2"/>
        <v>0</v>
      </c>
      <c r="C12" s="231">
        <f t="shared" si="3"/>
        <v>0</v>
      </c>
      <c r="D12" s="231">
        <f t="shared" si="4"/>
        <v>3.3000000000000002E-2</v>
      </c>
      <c r="E12" s="231">
        <f t="shared" si="5"/>
        <v>1.7130000000000001</v>
      </c>
      <c r="F12" s="231">
        <f t="shared" si="0"/>
        <v>0</v>
      </c>
      <c r="G12" s="231">
        <f t="shared" si="6"/>
        <v>-5.0590000000000002</v>
      </c>
      <c r="H12" s="231">
        <f t="shared" si="7"/>
        <v>-1.071</v>
      </c>
      <c r="I12" s="231">
        <f t="shared" si="8"/>
        <v>0</v>
      </c>
      <c r="J12" s="231">
        <f t="shared" si="9"/>
        <v>1.635</v>
      </c>
      <c r="K12" s="231">
        <f t="shared" si="10"/>
        <v>1.81</v>
      </c>
      <c r="L12" s="246"/>
      <c r="M12" s="231">
        <f t="shared" si="1"/>
        <v>-2.7690000000000001</v>
      </c>
      <c r="N12" s="231">
        <f t="shared" si="11"/>
        <v>0</v>
      </c>
      <c r="O12" s="1011">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1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05">
        <v>0.03</v>
      </c>
    </row>
    <row r="13" spans="1:62" x14ac:dyDescent="0.35">
      <c r="A13" s="229">
        <v>2029</v>
      </c>
      <c r="B13" s="231">
        <f t="shared" si="2"/>
        <v>0</v>
      </c>
      <c r="C13" s="231">
        <f t="shared" si="3"/>
        <v>0</v>
      </c>
      <c r="D13" s="231">
        <f t="shared" si="4"/>
        <v>3.3000000000000002E-2</v>
      </c>
      <c r="E13" s="231">
        <f t="shared" si="5"/>
        <v>1.7130000000000001</v>
      </c>
      <c r="F13" s="231">
        <f t="shared" si="0"/>
        <v>0</v>
      </c>
      <c r="G13" s="231">
        <f t="shared" si="6"/>
        <v>-5.218</v>
      </c>
      <c r="H13" s="231">
        <f t="shared" si="7"/>
        <v>-1.964</v>
      </c>
      <c r="I13" s="231">
        <f t="shared" si="8"/>
        <v>0</v>
      </c>
      <c r="J13" s="231">
        <f t="shared" si="9"/>
        <v>-1.7000000000000001E-2</v>
      </c>
      <c r="K13" s="231">
        <f t="shared" si="10"/>
        <v>1</v>
      </c>
      <c r="L13" s="246"/>
      <c r="M13" s="231">
        <f t="shared" si="1"/>
        <v>-2.75</v>
      </c>
      <c r="N13" s="231">
        <f t="shared" si="11"/>
        <v>0</v>
      </c>
      <c r="O13" s="1011">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1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05">
        <v>0.01</v>
      </c>
    </row>
    <row r="14" spans="1:62" x14ac:dyDescent="0.35">
      <c r="A14" s="229">
        <v>2030</v>
      </c>
      <c r="B14" s="231">
        <f t="shared" si="2"/>
        <v>0</v>
      </c>
      <c r="C14" s="231">
        <f t="shared" si="3"/>
        <v>0</v>
      </c>
      <c r="D14" s="231">
        <f t="shared" si="4"/>
        <v>3.3000000000000002E-2</v>
      </c>
      <c r="E14" s="231">
        <f t="shared" si="5"/>
        <v>1.8130000000000002</v>
      </c>
      <c r="F14" s="231">
        <f t="shared" si="0"/>
        <v>0</v>
      </c>
      <c r="G14" s="231">
        <f t="shared" si="6"/>
        <v>-5.9420000000000002</v>
      </c>
      <c r="H14" s="231">
        <f t="shared" si="7"/>
        <v>-2.0210000000000004</v>
      </c>
      <c r="I14" s="231">
        <f t="shared" si="8"/>
        <v>0</v>
      </c>
      <c r="J14" s="231">
        <f t="shared" si="9"/>
        <v>-1.9E-2</v>
      </c>
      <c r="K14" s="231">
        <f t="shared" si="10"/>
        <v>0.8</v>
      </c>
      <c r="L14" s="246"/>
      <c r="M14" s="231">
        <f t="shared" si="1"/>
        <v>-8.1189999999999998</v>
      </c>
      <c r="N14" s="231">
        <f t="shared" si="11"/>
        <v>0</v>
      </c>
      <c r="O14" s="1011">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04">
        <v>0.01</v>
      </c>
    </row>
    <row r="15" spans="1:62" ht="17.149999999999999" customHeight="1" x14ac:dyDescent="0.35">
      <c r="A15" s="229">
        <v>2031</v>
      </c>
      <c r="B15" s="231">
        <f t="shared" si="2"/>
        <v>0</v>
      </c>
      <c r="C15" s="231">
        <f t="shared" si="3"/>
        <v>0</v>
      </c>
      <c r="D15" s="231">
        <f t="shared" si="4"/>
        <v>0</v>
      </c>
      <c r="E15" s="231">
        <f t="shared" si="5"/>
        <v>1.8230000000000002</v>
      </c>
      <c r="F15" s="231">
        <f t="shared" si="0"/>
        <v>0</v>
      </c>
      <c r="G15" s="231">
        <f t="shared" si="6"/>
        <v>-7.7250000000000005</v>
      </c>
      <c r="H15" s="231">
        <f t="shared" si="7"/>
        <v>-2.4630000000000001</v>
      </c>
      <c r="I15" s="231">
        <f t="shared" si="8"/>
        <v>0</v>
      </c>
      <c r="J15" s="231">
        <f t="shared" si="9"/>
        <v>-1.9E-2</v>
      </c>
      <c r="K15" s="231">
        <f t="shared" si="10"/>
        <v>0</v>
      </c>
      <c r="L15" s="246"/>
      <c r="M15" s="231">
        <f t="shared" si="1"/>
        <v>-3.0390000000000001</v>
      </c>
      <c r="N15" s="231">
        <f t="shared" si="11"/>
        <v>0</v>
      </c>
      <c r="O15" s="1011">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04">
        <v>0</v>
      </c>
    </row>
    <row r="16" spans="1:62" x14ac:dyDescent="0.35">
      <c r="A16" s="230" t="s">
        <v>437</v>
      </c>
      <c r="B16" s="230">
        <f>SUM(B5:B15)</f>
        <v>412.15299999999996</v>
      </c>
      <c r="C16" s="230">
        <f>SUM(C5:C15)</f>
        <v>205.79999999999998</v>
      </c>
      <c r="D16" s="230">
        <f>SUM(D5:D15)</f>
        <v>22.711000000000006</v>
      </c>
      <c r="E16" s="230">
        <f t="shared" ref="E16:H16" si="12">SUM(E5:E15)</f>
        <v>35.466000000000015</v>
      </c>
      <c r="F16" s="230">
        <f t="shared" si="12"/>
        <v>119.563</v>
      </c>
      <c r="G16" s="231">
        <f t="shared" si="6"/>
        <v>174.17</v>
      </c>
      <c r="H16" s="230">
        <f t="shared" si="12"/>
        <v>21.600999999999996</v>
      </c>
      <c r="I16" s="246">
        <f t="shared" ref="I16" si="13">SUM(I5:I15)</f>
        <v>362.04999999999995</v>
      </c>
      <c r="J16" s="246">
        <f t="shared" ref="J16" si="14">SUM(J5:J15)</f>
        <v>169.16899999999998</v>
      </c>
      <c r="K16" s="231">
        <f t="shared" si="10"/>
        <v>112.72</v>
      </c>
      <c r="L16" s="246">
        <f>SUM(L5:L15)</f>
        <v>25.75</v>
      </c>
      <c r="M16" s="231">
        <f t="shared" si="1"/>
        <v>85.197999999999993</v>
      </c>
      <c r="N16" s="231">
        <f>AK16</f>
        <v>8.5</v>
      </c>
      <c r="O16" s="1012">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06">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1169</v>
      </c>
      <c r="BD18" s="8" t="s">
        <v>1169</v>
      </c>
      <c r="BE18" s="8"/>
      <c r="BF18" s="8" t="s">
        <v>1169</v>
      </c>
      <c r="BG18" s="8" t="s">
        <v>1169</v>
      </c>
      <c r="BI18" s="8" t="s">
        <v>1169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0" t="s">
        <v>1171</v>
      </c>
      <c r="B1" s="270"/>
      <c r="C1" s="270"/>
      <c r="D1" s="270"/>
    </row>
    <row r="2" spans="1:22" x14ac:dyDescent="0.35">
      <c r="A2" t="s">
        <v>1172</v>
      </c>
      <c r="B2" s="220">
        <v>2021</v>
      </c>
      <c r="C2" s="220">
        <v>2021</v>
      </c>
      <c r="D2" s="220">
        <v>2021</v>
      </c>
      <c r="E2" s="220">
        <v>2022</v>
      </c>
      <c r="F2" s="220">
        <v>2022</v>
      </c>
      <c r="G2" s="220">
        <v>2022</v>
      </c>
      <c r="H2" s="220">
        <v>2022</v>
      </c>
      <c r="I2" s="220">
        <v>2023</v>
      </c>
      <c r="J2" s="220">
        <v>2023</v>
      </c>
      <c r="K2" s="220">
        <v>2023</v>
      </c>
      <c r="L2" s="220">
        <v>2023</v>
      </c>
      <c r="M2" s="220">
        <v>2024</v>
      </c>
      <c r="N2" s="220">
        <v>2024</v>
      </c>
      <c r="O2" s="220">
        <v>2024</v>
      </c>
      <c r="P2" s="220">
        <v>2024</v>
      </c>
      <c r="Q2" s="220">
        <v>2025</v>
      </c>
      <c r="R2" s="220">
        <v>2025</v>
      </c>
      <c r="S2" s="220">
        <v>2025</v>
      </c>
      <c r="T2" s="220">
        <v>2025</v>
      </c>
      <c r="U2" s="220">
        <v>2026</v>
      </c>
    </row>
    <row r="3" spans="1:22" x14ac:dyDescent="0.35">
      <c r="A3" s="24" t="s">
        <v>1173</v>
      </c>
      <c r="B3" s="232" t="s">
        <v>1174</v>
      </c>
      <c r="C3" s="232" t="s">
        <v>1175</v>
      </c>
      <c r="D3" s="232" t="s">
        <v>1176</v>
      </c>
      <c r="E3" s="232" t="s">
        <v>1177</v>
      </c>
      <c r="F3" s="232" t="s">
        <v>1178</v>
      </c>
      <c r="G3" s="232" t="s">
        <v>1179</v>
      </c>
      <c r="H3" s="232" t="s">
        <v>1180</v>
      </c>
      <c r="I3" s="232" t="s">
        <v>1181</v>
      </c>
      <c r="J3" s="232" t="s">
        <v>1182</v>
      </c>
      <c r="K3" s="232" t="s">
        <v>1183</v>
      </c>
      <c r="L3" s="232" t="s">
        <v>1184</v>
      </c>
      <c r="M3" s="232" t="s">
        <v>1185</v>
      </c>
      <c r="N3" s="232" t="s">
        <v>1186</v>
      </c>
      <c r="O3" s="232" t="s">
        <v>1187</v>
      </c>
      <c r="P3" s="232" t="s">
        <v>1188</v>
      </c>
      <c r="Q3" s="232" t="s">
        <v>1189</v>
      </c>
      <c r="R3" s="232" t="s">
        <v>1190</v>
      </c>
      <c r="S3" s="232" t="s">
        <v>1191</v>
      </c>
      <c r="T3" s="232" t="s">
        <v>1192</v>
      </c>
      <c r="U3" s="232" t="s">
        <v>1193</v>
      </c>
    </row>
    <row r="4" spans="1:22" x14ac:dyDescent="0.35">
      <c r="A4" s="24" t="s">
        <v>1194</v>
      </c>
      <c r="B4" s="232"/>
      <c r="C4" s="232"/>
      <c r="D4" s="232">
        <v>0</v>
      </c>
      <c r="E4" s="232">
        <v>0</v>
      </c>
      <c r="F4" s="232">
        <v>0.5</v>
      </c>
      <c r="G4" s="232">
        <v>0.5</v>
      </c>
      <c r="H4" s="232">
        <v>0</v>
      </c>
      <c r="I4" s="232">
        <v>0</v>
      </c>
      <c r="J4" s="232">
        <v>0</v>
      </c>
      <c r="K4" s="232">
        <v>0</v>
      </c>
      <c r="L4" s="232">
        <v>0</v>
      </c>
      <c r="M4" s="232">
        <v>0</v>
      </c>
      <c r="N4" s="232">
        <v>0</v>
      </c>
      <c r="O4" s="232">
        <v>0</v>
      </c>
      <c r="P4" s="232">
        <v>0</v>
      </c>
      <c r="Q4" s="232">
        <v>0</v>
      </c>
      <c r="R4" s="232">
        <v>0</v>
      </c>
      <c r="S4" s="232">
        <v>0</v>
      </c>
      <c r="T4" s="232">
        <v>0</v>
      </c>
      <c r="U4" s="232">
        <v>0</v>
      </c>
    </row>
    <row r="5" spans="1:22" x14ac:dyDescent="0.35">
      <c r="A5" s="24" t="s">
        <v>1195</v>
      </c>
      <c r="B5" s="232">
        <v>0.04</v>
      </c>
      <c r="C5" s="232">
        <v>0.48</v>
      </c>
      <c r="D5" s="232">
        <v>0.48</v>
      </c>
      <c r="E5" s="232">
        <v>0</v>
      </c>
      <c r="F5" s="232">
        <v>0</v>
      </c>
      <c r="G5" s="232">
        <v>0</v>
      </c>
      <c r="H5" s="232">
        <v>0</v>
      </c>
      <c r="I5" s="232">
        <v>0</v>
      </c>
      <c r="J5" s="232">
        <v>0</v>
      </c>
      <c r="K5" s="232">
        <v>0</v>
      </c>
      <c r="L5" s="232">
        <v>0</v>
      </c>
      <c r="M5" s="232">
        <v>0</v>
      </c>
      <c r="N5" s="232">
        <v>0</v>
      </c>
      <c r="O5" s="232">
        <v>0</v>
      </c>
      <c r="P5" s="232">
        <v>0</v>
      </c>
      <c r="Q5" s="232">
        <v>0</v>
      </c>
      <c r="R5" s="232">
        <v>0</v>
      </c>
      <c r="S5" s="232">
        <v>0</v>
      </c>
      <c r="T5" s="232">
        <v>0</v>
      </c>
      <c r="U5" s="232">
        <v>0</v>
      </c>
    </row>
    <row r="6" spans="1:22" x14ac:dyDescent="0.35">
      <c r="A6" s="24" t="s">
        <v>1196</v>
      </c>
      <c r="B6" s="232">
        <f>B8</f>
        <v>0</v>
      </c>
      <c r="C6" s="232">
        <f>C8</f>
        <v>0.28000000000000003</v>
      </c>
      <c r="D6" s="232">
        <f t="shared" ref="D6:U6" si="0">D8</f>
        <v>0.72</v>
      </c>
      <c r="E6" s="232">
        <f t="shared" si="0"/>
        <v>0.25</v>
      </c>
      <c r="F6" s="232">
        <f t="shared" si="0"/>
        <v>0.25</v>
      </c>
      <c r="G6" s="232">
        <f t="shared" si="0"/>
        <v>0.25</v>
      </c>
      <c r="H6" s="232">
        <f t="shared" si="0"/>
        <v>0.25</v>
      </c>
      <c r="I6" s="232">
        <f t="shared" si="0"/>
        <v>0.25</v>
      </c>
      <c r="J6" s="232">
        <f t="shared" si="0"/>
        <v>0.25</v>
      </c>
      <c r="K6" s="232">
        <f t="shared" si="0"/>
        <v>0.25</v>
      </c>
      <c r="L6" s="232">
        <f t="shared" si="0"/>
        <v>0.25</v>
      </c>
      <c r="M6" s="232">
        <f t="shared" si="0"/>
        <v>0.25</v>
      </c>
      <c r="N6" s="232">
        <f t="shared" si="0"/>
        <v>0.25</v>
      </c>
      <c r="O6" s="232">
        <f t="shared" si="0"/>
        <v>0.25</v>
      </c>
      <c r="P6" s="232">
        <f t="shared" si="0"/>
        <v>0.25</v>
      </c>
      <c r="Q6" s="232">
        <f t="shared" si="0"/>
        <v>0.25</v>
      </c>
      <c r="R6" s="232">
        <f t="shared" si="0"/>
        <v>0.25</v>
      </c>
      <c r="S6" s="232">
        <f t="shared" si="0"/>
        <v>0.25</v>
      </c>
      <c r="T6" s="232">
        <f t="shared" si="0"/>
        <v>0.25</v>
      </c>
      <c r="U6" s="232">
        <f t="shared" si="0"/>
        <v>0.25</v>
      </c>
    </row>
    <row r="7" spans="1:22" x14ac:dyDescent="0.35">
      <c r="A7" s="24" t="s">
        <v>1197</v>
      </c>
      <c r="B7" s="232">
        <v>0</v>
      </c>
      <c r="C7" s="232">
        <v>0</v>
      </c>
      <c r="D7" s="232">
        <v>1</v>
      </c>
      <c r="E7" s="232">
        <v>0.25</v>
      </c>
      <c r="F7" s="232">
        <v>0.25</v>
      </c>
      <c r="G7" s="232">
        <v>0.25</v>
      </c>
      <c r="H7" s="232">
        <v>0.25</v>
      </c>
      <c r="I7" s="232">
        <v>0.25</v>
      </c>
      <c r="J7" s="232">
        <v>0.25</v>
      </c>
      <c r="K7" s="232">
        <v>0.25</v>
      </c>
      <c r="L7" s="232">
        <v>0.25</v>
      </c>
      <c r="M7" s="232">
        <v>0.25</v>
      </c>
      <c r="N7" s="232">
        <v>0.25</v>
      </c>
      <c r="O7" s="232">
        <v>0.25</v>
      </c>
      <c r="P7" s="232">
        <v>0.25</v>
      </c>
      <c r="Q7" s="232">
        <v>0.25</v>
      </c>
      <c r="R7" s="232">
        <v>0.25</v>
      </c>
      <c r="S7" s="232">
        <v>0.25</v>
      </c>
      <c r="T7" s="232">
        <v>0.25</v>
      </c>
      <c r="U7" s="232">
        <v>0.25</v>
      </c>
    </row>
    <row r="8" spans="1:22" x14ac:dyDescent="0.35">
      <c r="A8" s="24" t="s">
        <v>1198</v>
      </c>
      <c r="B8" s="232">
        <v>0</v>
      </c>
      <c r="C8" s="232">
        <v>0.28000000000000003</v>
      </c>
      <c r="D8" s="232">
        <v>0.72</v>
      </c>
      <c r="E8" s="232">
        <v>0.25</v>
      </c>
      <c r="F8" s="232">
        <v>0.25</v>
      </c>
      <c r="G8" s="232">
        <v>0.25</v>
      </c>
      <c r="H8" s="232">
        <v>0.25</v>
      </c>
      <c r="I8" s="232">
        <v>0.25</v>
      </c>
      <c r="J8" s="232">
        <v>0.25</v>
      </c>
      <c r="K8" s="232">
        <v>0.25</v>
      </c>
      <c r="L8" s="232">
        <v>0.25</v>
      </c>
      <c r="M8" s="232">
        <v>0.25</v>
      </c>
      <c r="N8" s="232">
        <v>0.25</v>
      </c>
      <c r="O8" s="232">
        <v>0.25</v>
      </c>
      <c r="P8" s="232">
        <v>0.25</v>
      </c>
      <c r="Q8" s="232">
        <v>0.25</v>
      </c>
      <c r="R8" s="232">
        <v>0.25</v>
      </c>
      <c r="S8" s="232">
        <v>0.25</v>
      </c>
      <c r="T8" s="232">
        <v>0.25</v>
      </c>
      <c r="U8" s="232">
        <v>0.25</v>
      </c>
    </row>
    <row r="9" spans="1:22" ht="26" x14ac:dyDescent="0.35">
      <c r="A9" s="24" t="s">
        <v>1199</v>
      </c>
      <c r="B9" s="232">
        <v>0</v>
      </c>
      <c r="C9" s="232">
        <f>0.18</f>
        <v>0.18</v>
      </c>
      <c r="D9" s="232">
        <f>1-C9</f>
        <v>0.82000000000000006</v>
      </c>
      <c r="E9" s="232">
        <v>0.25</v>
      </c>
      <c r="F9" s="232">
        <v>0.25</v>
      </c>
      <c r="G9" s="232">
        <v>0.25</v>
      </c>
      <c r="H9" s="232">
        <v>0.25</v>
      </c>
      <c r="I9" s="232">
        <v>0.25</v>
      </c>
      <c r="J9" s="232">
        <v>0.25</v>
      </c>
      <c r="K9" s="232">
        <v>0.25</v>
      </c>
      <c r="L9" s="232">
        <v>0.25</v>
      </c>
      <c r="M9" s="232">
        <v>0.25</v>
      </c>
      <c r="N9" s="232">
        <v>0.25</v>
      </c>
      <c r="O9" s="232">
        <v>0.25</v>
      </c>
      <c r="P9" s="232">
        <v>0.25</v>
      </c>
      <c r="Q9" s="232">
        <v>0.25</v>
      </c>
      <c r="R9" s="232">
        <v>0.25</v>
      </c>
      <c r="S9" s="232">
        <v>0.25</v>
      </c>
      <c r="T9" s="232">
        <v>0.25</v>
      </c>
      <c r="U9" s="232">
        <v>0.25</v>
      </c>
    </row>
    <row r="10" spans="1:22" x14ac:dyDescent="0.35">
      <c r="A10" s="24" t="s">
        <v>1200</v>
      </c>
      <c r="B10" s="232">
        <v>0</v>
      </c>
      <c r="C10" s="232">
        <v>0.5</v>
      </c>
      <c r="D10" s="232">
        <v>0.5</v>
      </c>
      <c r="E10" s="232">
        <v>0.25</v>
      </c>
      <c r="F10" s="232">
        <v>0.25</v>
      </c>
      <c r="G10" s="232">
        <v>0.25</v>
      </c>
      <c r="H10" s="232">
        <v>0.25</v>
      </c>
      <c r="I10" s="232">
        <v>0.25</v>
      </c>
      <c r="J10" s="232">
        <v>0.25</v>
      </c>
      <c r="K10" s="232">
        <v>0.25</v>
      </c>
      <c r="L10" s="232">
        <v>0.25</v>
      </c>
      <c r="M10" s="232">
        <v>0.25</v>
      </c>
      <c r="N10" s="232">
        <v>0.25</v>
      </c>
      <c r="O10" s="232">
        <v>0.25</v>
      </c>
      <c r="P10" s="232">
        <v>0.25</v>
      </c>
      <c r="Q10" s="232">
        <v>0.25</v>
      </c>
      <c r="R10" s="232">
        <v>0.25</v>
      </c>
      <c r="S10" s="232">
        <v>0.25</v>
      </c>
      <c r="T10" s="232">
        <v>0.25</v>
      </c>
      <c r="U10" s="232">
        <v>0.25</v>
      </c>
    </row>
    <row r="11" spans="1:22" x14ac:dyDescent="0.35">
      <c r="A11" s="24" t="s">
        <v>1201</v>
      </c>
      <c r="B11" s="232">
        <v>0</v>
      </c>
      <c r="C11" s="232">
        <v>0.5</v>
      </c>
      <c r="D11" s="232">
        <v>0.5</v>
      </c>
      <c r="E11" s="232">
        <v>0.25</v>
      </c>
      <c r="F11" s="232">
        <v>0.25</v>
      </c>
      <c r="G11" s="232">
        <v>0.25</v>
      </c>
      <c r="H11" s="232">
        <v>0.25</v>
      </c>
      <c r="I11" s="232">
        <v>0.25</v>
      </c>
      <c r="J11" s="232">
        <v>0.25</v>
      </c>
      <c r="K11" s="232">
        <v>0.25</v>
      </c>
      <c r="L11" s="232">
        <v>0.25</v>
      </c>
      <c r="M11" s="232">
        <v>0.25</v>
      </c>
      <c r="N11" s="232">
        <v>0.25</v>
      </c>
      <c r="O11" s="232">
        <v>0.25</v>
      </c>
      <c r="P11" s="232">
        <v>0.25</v>
      </c>
      <c r="Q11" s="232">
        <v>0.25</v>
      </c>
      <c r="R11" s="232">
        <v>0.25</v>
      </c>
      <c r="S11" s="232">
        <v>0.25</v>
      </c>
      <c r="T11" s="232">
        <v>0.25</v>
      </c>
      <c r="U11" s="232">
        <v>0.25</v>
      </c>
    </row>
    <row r="12" spans="1:22" ht="14.15" customHeight="1" x14ac:dyDescent="0.35">
      <c r="A12" s="24" t="s">
        <v>1202</v>
      </c>
      <c r="B12" s="232">
        <v>1</v>
      </c>
      <c r="C12" s="232"/>
      <c r="D12" s="232"/>
      <c r="E12" s="232"/>
      <c r="F12" s="232"/>
      <c r="G12" s="232"/>
      <c r="H12" s="232"/>
      <c r="I12" s="232"/>
      <c r="J12" s="232"/>
      <c r="K12" s="232"/>
      <c r="L12" s="232"/>
      <c r="M12" s="232"/>
      <c r="N12" s="232"/>
      <c r="O12" s="232"/>
      <c r="P12" s="232"/>
      <c r="Q12" s="232"/>
      <c r="R12" s="232"/>
      <c r="S12" s="232"/>
      <c r="T12" s="232"/>
      <c r="U12" s="232"/>
    </row>
    <row r="13" spans="1:22" x14ac:dyDescent="0.35">
      <c r="A13" s="24" t="s">
        <v>1203</v>
      </c>
      <c r="B13" s="232">
        <v>0</v>
      </c>
      <c r="C13" s="232">
        <v>0.4</v>
      </c>
      <c r="D13" s="232">
        <v>0.6</v>
      </c>
      <c r="E13" s="232">
        <v>0.4</v>
      </c>
      <c r="F13" s="232">
        <v>0.3</v>
      </c>
      <c r="G13" s="232">
        <v>0.2</v>
      </c>
      <c r="H13" s="232">
        <v>0.1</v>
      </c>
      <c r="I13" s="232">
        <v>0.25</v>
      </c>
      <c r="J13" s="232">
        <v>0.25</v>
      </c>
      <c r="K13" s="232">
        <v>0.25</v>
      </c>
      <c r="L13" s="232">
        <v>0.25</v>
      </c>
      <c r="M13" s="232">
        <v>0.25</v>
      </c>
      <c r="N13" s="232">
        <v>0.25</v>
      </c>
      <c r="O13" s="232">
        <v>0.25</v>
      </c>
      <c r="P13" s="232">
        <v>0.25</v>
      </c>
      <c r="Q13" s="232">
        <v>0.25</v>
      </c>
      <c r="R13" s="232">
        <v>0.25</v>
      </c>
      <c r="S13" s="232">
        <v>0.25</v>
      </c>
      <c r="T13" s="232">
        <v>0.25</v>
      </c>
      <c r="U13" s="232">
        <v>0.25</v>
      </c>
    </row>
    <row r="14" spans="1:22" x14ac:dyDescent="0.35">
      <c r="A14" s="24"/>
      <c r="B14" s="232"/>
      <c r="C14" s="232"/>
      <c r="D14" s="232"/>
      <c r="E14" s="232"/>
      <c r="F14" s="232"/>
      <c r="G14" s="232"/>
      <c r="H14" s="232"/>
      <c r="I14" s="232"/>
      <c r="J14" s="232"/>
      <c r="K14" s="232"/>
      <c r="L14" s="232"/>
      <c r="M14" s="232"/>
      <c r="N14" s="232"/>
      <c r="O14" s="232"/>
      <c r="P14" s="232"/>
      <c r="Q14" s="232"/>
      <c r="R14" s="232"/>
      <c r="S14" s="232"/>
      <c r="T14" s="232"/>
      <c r="U14" s="232"/>
    </row>
    <row r="15" spans="1:22" ht="26" x14ac:dyDescent="0.35">
      <c r="A15" s="269" t="s">
        <v>1204</v>
      </c>
      <c r="B15" s="232">
        <v>1</v>
      </c>
      <c r="C15" s="232">
        <v>2</v>
      </c>
      <c r="D15" s="232">
        <v>3</v>
      </c>
      <c r="E15" s="232">
        <v>4</v>
      </c>
      <c r="F15" s="232">
        <v>5</v>
      </c>
      <c r="G15" s="232">
        <v>6</v>
      </c>
      <c r="H15" s="232">
        <v>7</v>
      </c>
      <c r="I15" s="232">
        <v>8</v>
      </c>
      <c r="J15" s="232">
        <v>9</v>
      </c>
      <c r="K15" s="232">
        <v>10</v>
      </c>
      <c r="L15" s="232">
        <v>11</v>
      </c>
      <c r="M15" s="232">
        <v>12</v>
      </c>
      <c r="N15" s="232">
        <v>13</v>
      </c>
      <c r="O15" s="232">
        <v>14</v>
      </c>
      <c r="P15" s="232">
        <v>15</v>
      </c>
      <c r="Q15" s="232">
        <v>16</v>
      </c>
      <c r="R15" s="232">
        <v>17</v>
      </c>
      <c r="S15" s="232">
        <v>18</v>
      </c>
      <c r="T15" s="232">
        <v>19</v>
      </c>
      <c r="U15" s="232">
        <v>20</v>
      </c>
    </row>
    <row r="16" spans="1:22" x14ac:dyDescent="0.35">
      <c r="A16" s="24" t="s">
        <v>1205</v>
      </c>
      <c r="B16" s="232">
        <v>7.0000000000000007E-2</v>
      </c>
      <c r="C16" s="232">
        <v>7.0000000000000007E-2</v>
      </c>
      <c r="D16" s="232">
        <v>4.9000000000000002E-2</v>
      </c>
      <c r="E16" s="232">
        <v>4.9000000000000002E-2</v>
      </c>
      <c r="F16" s="232">
        <v>4.9000000000000002E-2</v>
      </c>
      <c r="G16" s="232">
        <v>4.9000000000000002E-2</v>
      </c>
      <c r="H16" s="232">
        <v>4.9000000000000002E-2</v>
      </c>
      <c r="I16" s="232">
        <v>4.9000000000000002E-2</v>
      </c>
      <c r="J16" s="232">
        <v>4.9000000000000002E-2</v>
      </c>
      <c r="K16" s="232">
        <v>4.9000000000000002E-2</v>
      </c>
      <c r="L16" s="232">
        <v>4.9000000000000002E-2</v>
      </c>
      <c r="M16" s="232">
        <v>4.9000000000000002E-2</v>
      </c>
      <c r="N16" s="232">
        <f t="shared" ref="N16:T16" si="1">0.0475</f>
        <v>4.7500000000000001E-2</v>
      </c>
      <c r="O16" s="232">
        <f t="shared" si="1"/>
        <v>4.7500000000000001E-2</v>
      </c>
      <c r="P16" s="232">
        <f t="shared" si="1"/>
        <v>4.7500000000000001E-2</v>
      </c>
      <c r="Q16" s="232">
        <f t="shared" si="1"/>
        <v>4.7500000000000001E-2</v>
      </c>
      <c r="R16" s="232">
        <f t="shared" si="1"/>
        <v>4.7500000000000001E-2</v>
      </c>
      <c r="S16" s="232">
        <f t="shared" si="1"/>
        <v>4.7500000000000001E-2</v>
      </c>
      <c r="T16" s="232">
        <f t="shared" si="1"/>
        <v>4.7500000000000001E-2</v>
      </c>
      <c r="U16" s="232">
        <f>0.0375</f>
        <v>3.7499999999999999E-2</v>
      </c>
      <c r="V16" s="232">
        <f>SUM(B16:U16)</f>
        <v>0.99999999999999989</v>
      </c>
    </row>
    <row r="17" spans="1:23" ht="26" x14ac:dyDescent="0.35">
      <c r="A17" s="24" t="s">
        <v>1206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2">
        <f>SUM(B17:U17)</f>
        <v>0.94000000000000006</v>
      </c>
      <c r="W17" t="s">
        <v>1207</v>
      </c>
    </row>
    <row r="19" spans="1:23" x14ac:dyDescent="0.35">
      <c r="B19" s="669">
        <f>'Federal and State Purchases'!M32</f>
        <v>1.5312550207230657E-2</v>
      </c>
      <c r="C19" s="669">
        <f>'Federal and State Purchases'!J32</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C22" sqref="C22:N22"/>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1208</v>
      </c>
      <c r="B1" s="45" t="s">
        <v>1118</v>
      </c>
      <c r="C1" s="239">
        <v>2021</v>
      </c>
      <c r="D1" s="239">
        <f>C1</f>
        <v>2021</v>
      </c>
      <c r="E1" s="239">
        <f>D1</f>
        <v>2021</v>
      </c>
      <c r="F1" s="239">
        <v>2022</v>
      </c>
      <c r="G1" s="239">
        <v>2022</v>
      </c>
      <c r="H1" s="239">
        <v>2022</v>
      </c>
      <c r="I1" s="239">
        <v>2022</v>
      </c>
      <c r="J1" s="239">
        <v>2023</v>
      </c>
      <c r="K1" s="239">
        <v>2023</v>
      </c>
      <c r="L1" s="239">
        <v>2023</v>
      </c>
      <c r="M1" s="239">
        <v>2023</v>
      </c>
      <c r="N1" s="239">
        <v>2024</v>
      </c>
      <c r="O1" s="239">
        <v>2024</v>
      </c>
      <c r="P1" s="239">
        <v>2024</v>
      </c>
      <c r="Q1" s="239">
        <v>2024</v>
      </c>
      <c r="R1" s="239">
        <v>2025</v>
      </c>
      <c r="S1" s="239">
        <v>2025</v>
      </c>
      <c r="T1" s="239">
        <v>2025</v>
      </c>
      <c r="U1" s="239">
        <v>2025</v>
      </c>
      <c r="V1" s="239">
        <v>2026</v>
      </c>
    </row>
    <row r="2" spans="1:23" x14ac:dyDescent="0.35">
      <c r="B2" s="45" t="s">
        <v>1209</v>
      </c>
      <c r="C2" s="220" t="s">
        <v>371</v>
      </c>
      <c r="D2" s="220" t="s">
        <v>372</v>
      </c>
      <c r="E2" s="220" t="s">
        <v>224</v>
      </c>
      <c r="F2" s="220" t="s">
        <v>225</v>
      </c>
      <c r="G2" s="220" t="s">
        <v>226</v>
      </c>
      <c r="H2" s="220" t="s">
        <v>227</v>
      </c>
      <c r="I2" s="220" t="s">
        <v>228</v>
      </c>
      <c r="J2" s="220" t="s">
        <v>229</v>
      </c>
      <c r="K2" s="220" t="s">
        <v>230</v>
      </c>
      <c r="L2" s="220" t="s">
        <v>231</v>
      </c>
      <c r="M2" s="220" t="s">
        <v>232</v>
      </c>
      <c r="N2" s="220" t="s">
        <v>233</v>
      </c>
      <c r="O2" s="220" t="s">
        <v>234</v>
      </c>
      <c r="P2" s="220" t="s">
        <v>235</v>
      </c>
      <c r="Q2" s="220" t="s">
        <v>219</v>
      </c>
      <c r="R2" s="220" t="s">
        <v>220</v>
      </c>
      <c r="S2" s="220" t="s">
        <v>221</v>
      </c>
      <c r="T2" s="220" t="s">
        <v>1210</v>
      </c>
      <c r="U2" s="220" t="s">
        <v>1211</v>
      </c>
      <c r="V2" s="220" t="s">
        <v>1212</v>
      </c>
    </row>
    <row r="3" spans="1:23" x14ac:dyDescent="0.35">
      <c r="A3" s="45">
        <v>3</v>
      </c>
      <c r="B3" s="45" t="s">
        <v>973</v>
      </c>
      <c r="C3" s="240">
        <f>4*'ARP Timing'!B6*VLOOKUP(C$1,'ARP Score'!$A$5:$M14,$A3)</f>
        <v>0</v>
      </c>
      <c r="D3" s="240">
        <f>4*'ARP Timing'!C6*VLOOKUP(D$1,'ARP Score'!$A$5:$M14,$A3)</f>
        <v>219.184</v>
      </c>
      <c r="E3" s="240">
        <f>4*'ARP Timing'!D6*VLOOKUP(E$1,'ARP Score'!$A$5:$M14,$A3)</f>
        <v>563.61599999999999</v>
      </c>
      <c r="F3" s="240">
        <f>4*'ARP Timing'!E6*VLOOKUP(F$1,'ARP Score'!$A$5:$M14,$A3)</f>
        <v>10.1</v>
      </c>
      <c r="G3" s="240">
        <f>4*'ARP Timing'!F6*VLOOKUP(G$1,'ARP Score'!$A$5:$M14,$A3)</f>
        <v>10.1</v>
      </c>
      <c r="H3" s="240">
        <f>4*'ARP Timing'!G6*VLOOKUP(H$1,'ARP Score'!$A$5:$M14,$A3)</f>
        <v>10.1</v>
      </c>
      <c r="I3" s="240">
        <f>4*'ARP Timing'!H6*VLOOKUP(I$1,'ARP Score'!$A$5:$M14,$A3)</f>
        <v>10.1</v>
      </c>
      <c r="J3" s="240">
        <f>4*'ARP Timing'!I6*VLOOKUP(J$1,'ARP Score'!$A$5:$M14,$A3)</f>
        <v>0</v>
      </c>
      <c r="K3" s="240">
        <f>4*'ARP Timing'!J6*VLOOKUP(K$1,'ARP Score'!$A$5:$M14,$A3)</f>
        <v>0</v>
      </c>
      <c r="L3" s="240">
        <f>4*'ARP Timing'!K6*VLOOKUP(L$1,'ARP Score'!$A$5:$M14,$A3)</f>
        <v>0</v>
      </c>
      <c r="M3" s="240">
        <f>4*'ARP Timing'!L6*VLOOKUP(M$1,'ARP Score'!$A$5:$M14,$A3)</f>
        <v>0</v>
      </c>
      <c r="N3" s="240">
        <f>4*'ARP Timing'!M6*VLOOKUP(N$1,'ARP Score'!$A$5:$M14,$A3)</f>
        <v>0</v>
      </c>
      <c r="O3" s="240">
        <f>4*'ARP Timing'!N6*VLOOKUP(O$1,'ARP Score'!$A$5:$M14,$A3)</f>
        <v>0</v>
      </c>
      <c r="P3" s="240">
        <f>4*'ARP Timing'!O6*VLOOKUP(P$1,'ARP Score'!$A$5:$M14,$A3)</f>
        <v>0</v>
      </c>
      <c r="Q3" s="240">
        <f>4*'ARP Timing'!P6*VLOOKUP(Q$1,'ARP Score'!$A$5:$M14,$A3)</f>
        <v>0</v>
      </c>
      <c r="R3" s="240">
        <f>4*'ARP Timing'!Q6*VLOOKUP(R$1,'ARP Score'!$A$5:$M14,$A3)</f>
        <v>0</v>
      </c>
      <c r="S3" s="240">
        <f>4*'ARP Timing'!R6*VLOOKUP(S$1,'ARP Score'!$A$5:$M14,$A3)</f>
        <v>0</v>
      </c>
      <c r="T3" s="240">
        <f>4*'ARP Timing'!S6*VLOOKUP(T$1,'ARP Score'!$A$5:$M14,$A3)</f>
        <v>0</v>
      </c>
      <c r="U3" s="240">
        <f>4*'ARP Timing'!T6*VLOOKUP(U$1,'ARP Score'!$A$5:$M14,$A3)</f>
        <v>0</v>
      </c>
      <c r="V3" s="240">
        <f>4*'ARP Timing'!U6*VLOOKUP(V$1,'ARP Score'!$A$5:$M14,$A3)</f>
        <v>0</v>
      </c>
      <c r="W3" s="240">
        <f>SUM(C3:U3)/4</f>
        <v>205.8</v>
      </c>
    </row>
    <row r="4" spans="1:23" x14ac:dyDescent="0.35">
      <c r="A4" s="45">
        <v>5</v>
      </c>
      <c r="B4" s="241" t="s">
        <v>1120</v>
      </c>
      <c r="C4" s="240">
        <f>4*'ARP Timing'!B7*VLOOKUP(C$1,'ARP Score'!$A$5:$M15,$A4)</f>
        <v>0</v>
      </c>
      <c r="D4" s="240">
        <f>4*'ARP Timing'!C7*VLOOKUP(D$1,'ARP Score'!$A$5:$M15,$A4)</f>
        <v>0</v>
      </c>
      <c r="E4" s="240">
        <f>4*'ARP Timing'!D7*VLOOKUP(E$1,'ARP Score'!$A$5:$M15,$A4)</f>
        <v>3.1040000000000418</v>
      </c>
      <c r="F4" s="240">
        <f>4*'ARP Timing'!E7*VLOOKUP(F$1,'ARP Score'!$A$5:$M15,$A4)</f>
        <v>19.719000000000005</v>
      </c>
      <c r="G4" s="240">
        <f>4*'ARP Timing'!F7*VLOOKUP(G$1,'ARP Score'!$A$5:$M15,$A4)</f>
        <v>19.719000000000005</v>
      </c>
      <c r="H4" s="240">
        <f>4*'ARP Timing'!G7*VLOOKUP(H$1,'ARP Score'!$A$5:$M15,$A4)</f>
        <v>19.719000000000005</v>
      </c>
      <c r="I4" s="240">
        <f>4*'ARP Timing'!H7*VLOOKUP(I$1,'ARP Score'!$A$5:$M15,$A4)</f>
        <v>19.719000000000005</v>
      </c>
      <c r="J4" s="240">
        <f>4*'ARP Timing'!I7*VLOOKUP(J$1,'ARP Score'!$A$5:$M15,$A4)</f>
        <v>1.4159999999999999</v>
      </c>
      <c r="K4" s="240">
        <f>4*'ARP Timing'!J7*VLOOKUP(K$1,'ARP Score'!$A$5:$M15,$A4)</f>
        <v>1.4159999999999999</v>
      </c>
      <c r="L4" s="240">
        <f>4*'ARP Timing'!K7*VLOOKUP(L$1,'ARP Score'!$A$5:$M15,$A4)</f>
        <v>1.4159999999999999</v>
      </c>
      <c r="M4" s="240">
        <f>4*'ARP Timing'!L7*VLOOKUP(M$1,'ARP Score'!$A$5:$M15,$A4)</f>
        <v>1.4159999999999999</v>
      </c>
      <c r="N4" s="240">
        <f>4*'ARP Timing'!M7*VLOOKUP(N$1,'ARP Score'!$A$5:$M15,$A4)</f>
        <v>1.4790000000000001</v>
      </c>
      <c r="O4" s="240">
        <f>4*'ARP Timing'!N7*VLOOKUP(O$1,'ARP Score'!$A$5:$M15,$A4)</f>
        <v>1.4790000000000001</v>
      </c>
      <c r="P4" s="240">
        <f>4*'ARP Timing'!O7*VLOOKUP(P$1,'ARP Score'!$A$5:$M15,$A4)</f>
        <v>1.4790000000000001</v>
      </c>
      <c r="Q4" s="240">
        <f>4*'ARP Timing'!P7*VLOOKUP(Q$1,'ARP Score'!$A$5:$M15,$A4)</f>
        <v>1.4790000000000001</v>
      </c>
      <c r="R4" s="240">
        <f>4*'ARP Timing'!Q7*VLOOKUP(R$1,'ARP Score'!$A$5:$M15,$A4)</f>
        <v>1.63</v>
      </c>
      <c r="S4" s="240">
        <f>4*'ARP Timing'!R7*VLOOKUP(S$1,'ARP Score'!$A$5:$M15,$A4)</f>
        <v>1.63</v>
      </c>
      <c r="T4" s="240">
        <f>4*'ARP Timing'!S7*VLOOKUP(T$1,'ARP Score'!$A$5:$M15,$A4)</f>
        <v>1.63</v>
      </c>
      <c r="U4" s="240">
        <f>4*'ARP Timing'!T7*VLOOKUP(U$1,'ARP Score'!$A$5:$M15,$A4)</f>
        <v>1.63</v>
      </c>
      <c r="V4" s="240">
        <f>4*'ARP Timing'!U7*VLOOKUP(V$1,'ARP Score'!$A$5:$M15,$A4)</f>
        <v>1.671</v>
      </c>
      <c r="W4" s="240">
        <f>SUM(C4:U4)/4</f>
        <v>25.020000000000007</v>
      </c>
    </row>
    <row r="5" spans="1:23" x14ac:dyDescent="0.35">
      <c r="A5" s="45">
        <v>6</v>
      </c>
      <c r="B5" s="241" t="s">
        <v>1121</v>
      </c>
      <c r="C5" s="240">
        <f>4*'ARP Timing'!B8*VLOOKUP(C$1,'ARP Score'!$A$5:$M16,$A5)</f>
        <v>0</v>
      </c>
      <c r="D5" s="240">
        <f>4*'ARP Timing'!C8*VLOOKUP(D$1,'ARP Score'!$A$5:$M16,$A5)</f>
        <v>53.448640000000026</v>
      </c>
      <c r="E5" s="240">
        <f>4*'ARP Timing'!D8*VLOOKUP(E$1,'ARP Score'!$A$5:$M16,$A5)</f>
        <v>137.43936000000005</v>
      </c>
      <c r="F5" s="240">
        <f>4*'ARP Timing'!E8*VLOOKUP(F$1,'ARP Score'!$A$5:$M16,$A5)</f>
        <v>52.756999999999998</v>
      </c>
      <c r="G5" s="240">
        <f>4*'ARP Timing'!F8*VLOOKUP(G$1,'ARP Score'!$A$5:$M16,$A5)</f>
        <v>52.756999999999998</v>
      </c>
      <c r="H5" s="240">
        <f>4*'ARP Timing'!G8*VLOOKUP(H$1,'ARP Score'!$A$5:$M16,$A5)</f>
        <v>52.756999999999998</v>
      </c>
      <c r="I5" s="240">
        <f>4*'ARP Timing'!H8*VLOOKUP(I$1,'ARP Score'!$A$5:$M16,$A5)</f>
        <v>52.756999999999998</v>
      </c>
      <c r="J5" s="240">
        <f>4*'ARP Timing'!I8*VLOOKUP(J$1,'ARP Score'!$A$5:$M16,$A5)</f>
        <v>12</v>
      </c>
      <c r="K5" s="240">
        <f>4*'ARP Timing'!J8*VLOOKUP(K$1,'ARP Score'!$A$5:$M16,$A5)</f>
        <v>12</v>
      </c>
      <c r="L5" s="240">
        <f>4*'ARP Timing'!K8*VLOOKUP(L$1,'ARP Score'!$A$5:$M16,$A5)</f>
        <v>12</v>
      </c>
      <c r="M5" s="240">
        <f>4*'ARP Timing'!L8*VLOOKUP(M$1,'ARP Score'!$A$5:$M16,$A5)</f>
        <v>12</v>
      </c>
      <c r="N5" s="240">
        <f>4*'ARP Timing'!M8*VLOOKUP(N$1,'ARP Score'!$A$5:$M16,$A5)</f>
        <v>4.2219999999999995</v>
      </c>
      <c r="O5" s="240">
        <f>4*'ARP Timing'!N8*VLOOKUP(O$1,'ARP Score'!$A$5:$M16,$A5)</f>
        <v>4.2219999999999995</v>
      </c>
      <c r="P5" s="240">
        <f>4*'ARP Timing'!O8*VLOOKUP(P$1,'ARP Score'!$A$5:$M16,$A5)</f>
        <v>4.2219999999999995</v>
      </c>
      <c r="Q5" s="240">
        <f>4*'ARP Timing'!P8*VLOOKUP(Q$1,'ARP Score'!$A$5:$M16,$A5)</f>
        <v>4.2219999999999995</v>
      </c>
      <c r="R5" s="240">
        <f>4*'ARP Timing'!Q8*VLOOKUP(R$1,'ARP Score'!$A$5:$M16,$A5)</f>
        <v>2.3719999999999999</v>
      </c>
      <c r="S5" s="240">
        <f>4*'ARP Timing'!R8*VLOOKUP(S$1,'ARP Score'!$A$5:$M16,$A5)</f>
        <v>2.3719999999999999</v>
      </c>
      <c r="T5" s="240">
        <f>4*'ARP Timing'!S8*VLOOKUP(T$1,'ARP Score'!$A$5:$M16,$A5)</f>
        <v>2.3719999999999999</v>
      </c>
      <c r="U5" s="240">
        <f>4*'ARP Timing'!T8*VLOOKUP(U$1,'ARP Score'!$A$5:$M16,$A5)</f>
        <v>2.3719999999999999</v>
      </c>
      <c r="V5" s="240">
        <f>4*'ARP Timing'!U8*VLOOKUP(V$1,'ARP Score'!$A$5:$M16,$A5)</f>
        <v>0.49</v>
      </c>
      <c r="W5" s="240">
        <f t="shared" ref="W5:W15" si="0">SUM(C5:U5)/4</f>
        <v>119.07300000000002</v>
      </c>
    </row>
    <row r="6" spans="1:23" x14ac:dyDescent="0.35">
      <c r="A6" s="45">
        <v>7</v>
      </c>
      <c r="B6" s="241" t="s">
        <v>1213</v>
      </c>
      <c r="C6" s="240">
        <f>4*'ARP Timing'!B9*VLOOKUP(C$1,'ARP Score'!$A$5:$M17,$A6)</f>
        <v>0</v>
      </c>
      <c r="D6" s="240">
        <f>4*'ARP Timing'!C9*VLOOKUP(D$1,'ARP Score'!$A$5:$M17,$A6)</f>
        <v>58.782959999999989</v>
      </c>
      <c r="E6" s="240">
        <f>4*'ARP Timing'!D9*VLOOKUP(E$1,'ARP Score'!$A$5:$M17,$A6)</f>
        <v>267.78904</v>
      </c>
      <c r="F6" s="240">
        <f>4*'ARP Timing'!E9*VLOOKUP(F$1,'ARP Score'!$A$5:$M17,$A6)</f>
        <v>110.24799999999999</v>
      </c>
      <c r="G6" s="240">
        <f>4*'ARP Timing'!F9*VLOOKUP(G$1,'ARP Score'!$A$5:$M17,$A6)</f>
        <v>110.24799999999999</v>
      </c>
      <c r="H6" s="240">
        <f>4*'ARP Timing'!G9*VLOOKUP(H$1,'ARP Score'!$A$5:$M17,$A6)</f>
        <v>110.24799999999999</v>
      </c>
      <c r="I6" s="240">
        <f>4*'ARP Timing'!H9*VLOOKUP(I$1,'ARP Score'!$A$5:$M17,$A6)</f>
        <v>110.24799999999999</v>
      </c>
      <c r="J6" s="240">
        <f>4*'ARP Timing'!I9*VLOOKUP(J$1,'ARP Score'!$A$5:$M17,$A6)</f>
        <v>12.726000000000001</v>
      </c>
      <c r="K6" s="240">
        <f>4*'ARP Timing'!J9*VLOOKUP(K$1,'ARP Score'!$A$5:$M17,$A6)</f>
        <v>12.726000000000001</v>
      </c>
      <c r="L6" s="240">
        <f>4*'ARP Timing'!K9*VLOOKUP(L$1,'ARP Score'!$A$5:$M17,$A6)</f>
        <v>12.726000000000001</v>
      </c>
      <c r="M6" s="240">
        <f>4*'ARP Timing'!L9*VLOOKUP(M$1,'ARP Score'!$A$5:$M17,$A6)</f>
        <v>12.726000000000001</v>
      </c>
      <c r="N6" s="240">
        <f>4*'ARP Timing'!M9*VLOOKUP(N$1,'ARP Score'!$A$5:$M17,$A6)</f>
        <v>1.365</v>
      </c>
      <c r="O6" s="240">
        <f>4*'ARP Timing'!N9*VLOOKUP(O$1,'ARP Score'!$A$5:$M17,$A6)</f>
        <v>1.365</v>
      </c>
      <c r="P6" s="240">
        <f>4*'ARP Timing'!O9*VLOOKUP(P$1,'ARP Score'!$A$5:$M17,$A6)</f>
        <v>1.365</v>
      </c>
      <c r="Q6" s="240">
        <f>4*'ARP Timing'!P9*VLOOKUP(Q$1,'ARP Score'!$A$5:$M17,$A6)</f>
        <v>1.365</v>
      </c>
      <c r="R6" s="240">
        <f>4*'ARP Timing'!Q9*VLOOKUP(R$1,'ARP Score'!$A$5:$M17,$A6)</f>
        <v>-0.90100000000000025</v>
      </c>
      <c r="S6" s="240">
        <f>4*'ARP Timing'!R9*VLOOKUP(S$1,'ARP Score'!$A$5:$M17,$A6)</f>
        <v>-0.90100000000000025</v>
      </c>
      <c r="T6" s="240">
        <f>4*'ARP Timing'!S9*VLOOKUP(T$1,'ARP Score'!$A$5:$M17,$A6)</f>
        <v>-0.90100000000000025</v>
      </c>
      <c r="U6" s="240">
        <f>4*'ARP Timing'!T9*VLOOKUP(U$1,'ARP Score'!$A$5:$M17,$A6)</f>
        <v>-0.90100000000000025</v>
      </c>
      <c r="V6" s="240">
        <f>4*'ARP Timing'!U9*VLOOKUP(V$1,'ARP Score'!$A$5:$M17,$A6)</f>
        <v>-2.1500000000000004</v>
      </c>
      <c r="W6" s="240">
        <f t="shared" si="0"/>
        <v>205.08100000000007</v>
      </c>
    </row>
    <row r="7" spans="1:23" x14ac:dyDescent="0.35">
      <c r="A7" s="45">
        <v>8</v>
      </c>
      <c r="B7" s="241" t="s">
        <v>174</v>
      </c>
      <c r="C7" s="240">
        <f>4*'ARP Timing'!B10*VLOOKUP(C$1,'ARP Score'!$A$5:$M18,$A7)</f>
        <v>0</v>
      </c>
      <c r="D7" s="240">
        <f>4*'ARP Timing'!C10*VLOOKUP(D$1,'ARP Score'!$A$5:$M18,$A7)</f>
        <v>15.596</v>
      </c>
      <c r="E7" s="240">
        <f>4*'ARP Timing'!D10*VLOOKUP(E$1,'ARP Score'!$A$5:$M18,$A7)</f>
        <v>15.596</v>
      </c>
      <c r="F7" s="240">
        <f>4*'ARP Timing'!E10*VLOOKUP(F$1,'ARP Score'!$A$5:$M18,$A7)</f>
        <v>7.9489999999999998</v>
      </c>
      <c r="G7" s="240">
        <f>4*'ARP Timing'!F10*VLOOKUP(G$1,'ARP Score'!$A$5:$M18,$A7)</f>
        <v>7.9489999999999998</v>
      </c>
      <c r="H7" s="240">
        <f>4*'ARP Timing'!G10*VLOOKUP(H$1,'ARP Score'!$A$5:$M18,$A7)</f>
        <v>7.9489999999999998</v>
      </c>
      <c r="I7" s="240">
        <f>4*'ARP Timing'!H10*VLOOKUP(I$1,'ARP Score'!$A$5:$M18,$A7)</f>
        <v>7.9489999999999998</v>
      </c>
      <c r="J7" s="240">
        <f>4*'ARP Timing'!I10*VLOOKUP(J$1,'ARP Score'!$A$5:$M18,$A7)</f>
        <v>4.7519999999999998</v>
      </c>
      <c r="K7" s="240">
        <f>4*'ARP Timing'!J10*VLOOKUP(K$1,'ARP Score'!$A$5:$M18,$A7)</f>
        <v>4.7519999999999998</v>
      </c>
      <c r="L7" s="240">
        <f>4*'ARP Timing'!K10*VLOOKUP(L$1,'ARP Score'!$A$5:$M18,$A7)</f>
        <v>4.7519999999999998</v>
      </c>
      <c r="M7" s="240">
        <f>4*'ARP Timing'!L10*VLOOKUP(M$1,'ARP Score'!$A$5:$M18,$A7)</f>
        <v>4.7519999999999998</v>
      </c>
      <c r="N7" s="240">
        <f>4*'ARP Timing'!M10*VLOOKUP(N$1,'ARP Score'!$A$5:$M18,$A7)</f>
        <v>4.637999999999999</v>
      </c>
      <c r="O7" s="240">
        <f>4*'ARP Timing'!N10*VLOOKUP(O$1,'ARP Score'!$A$5:$M18,$A7)</f>
        <v>4.637999999999999</v>
      </c>
      <c r="P7" s="240">
        <f>4*'ARP Timing'!O10*VLOOKUP(P$1,'ARP Score'!$A$5:$M18,$A7)</f>
        <v>4.637999999999999</v>
      </c>
      <c r="Q7" s="240">
        <f>4*'ARP Timing'!P10*VLOOKUP(Q$1,'ARP Score'!$A$5:$M18,$A7)</f>
        <v>4.637999999999999</v>
      </c>
      <c r="R7" s="240">
        <f>4*'ARP Timing'!Q10*VLOOKUP(R$1,'ARP Score'!$A$5:$M18,$A7)</f>
        <v>1.8800000000000001</v>
      </c>
      <c r="S7" s="240">
        <f>4*'ARP Timing'!R10*VLOOKUP(S$1,'ARP Score'!$A$5:$M18,$A7)</f>
        <v>1.8800000000000001</v>
      </c>
      <c r="T7" s="240">
        <f>4*'ARP Timing'!S10*VLOOKUP(T$1,'ARP Score'!$A$5:$M18,$A7)</f>
        <v>1.8800000000000001</v>
      </c>
      <c r="U7" s="240">
        <f>4*'ARP Timing'!T10*VLOOKUP(U$1,'ARP Score'!$A$5:$M18,$A7)</f>
        <v>1.8800000000000001</v>
      </c>
      <c r="V7" s="240">
        <f>4*'ARP Timing'!U10*VLOOKUP(V$1,'ARP Score'!$A$5:$M18,$A7)</f>
        <v>1.446</v>
      </c>
      <c r="W7" s="240">
        <f t="shared" si="0"/>
        <v>27.016999999999996</v>
      </c>
    </row>
    <row r="8" spans="1:23" x14ac:dyDescent="0.35">
      <c r="A8" s="45">
        <v>9</v>
      </c>
      <c r="B8" s="244" t="s">
        <v>480</v>
      </c>
      <c r="C8" s="240">
        <f>4*'ARP Timing'!B$11*VLOOKUP(C$1,'ARP Score'!$A$5:$M19,$A8)</f>
        <v>0</v>
      </c>
      <c r="D8" s="240">
        <f>0.6*SUM('ARP Score'!B5:B7)*4</f>
        <v>989.16719999999987</v>
      </c>
      <c r="E8" s="239">
        <v>0</v>
      </c>
      <c r="F8" s="240">
        <v>0</v>
      </c>
      <c r="G8" s="240">
        <v>0</v>
      </c>
      <c r="H8" s="240">
        <f>D8*0.4/0.6</f>
        <v>659.44479999999999</v>
      </c>
      <c r="I8" s="240">
        <v>0</v>
      </c>
      <c r="J8" s="45">
        <v>0</v>
      </c>
      <c r="K8" s="240">
        <v>0</v>
      </c>
      <c r="L8" s="240">
        <v>0</v>
      </c>
      <c r="M8" s="240">
        <v>0</v>
      </c>
      <c r="N8" s="240">
        <v>0</v>
      </c>
      <c r="O8" s="240">
        <v>0</v>
      </c>
      <c r="P8" s="240">
        <v>0</v>
      </c>
      <c r="Q8" s="240">
        <v>0</v>
      </c>
      <c r="R8" s="240">
        <v>0</v>
      </c>
      <c r="S8" s="240">
        <v>0</v>
      </c>
      <c r="T8" s="240">
        <v>0</v>
      </c>
      <c r="U8" s="240">
        <v>0</v>
      </c>
      <c r="V8" s="240">
        <v>0</v>
      </c>
      <c r="W8" s="240">
        <f t="shared" si="0"/>
        <v>412.15299999999996</v>
      </c>
    </row>
    <row r="9" spans="1:23" x14ac:dyDescent="0.35">
      <c r="A9" s="45">
        <v>10</v>
      </c>
      <c r="B9" s="244" t="s">
        <v>193</v>
      </c>
      <c r="C9" s="240">
        <f>4*'ARP Timing'!B$11*VLOOKUP(C$1,'ARP Score'!$A$5:$M20,$A9)</f>
        <v>0</v>
      </c>
      <c r="D9" s="240">
        <f>4*'ARP Timing'!C$11*VLOOKUP(D$1,'ARP Score'!$A$5:$M20,$A9)</f>
        <v>24.693999999999999</v>
      </c>
      <c r="E9" s="240">
        <f>4*'ARP Timing'!D$11*VLOOKUP(E$1,'ARP Score'!$A$5:$M20,$A9)</f>
        <v>24.693999999999999</v>
      </c>
      <c r="F9" s="240">
        <f>4*'ARP Timing'!E$11*VLOOKUP(F$1,'ARP Score'!$A$5:$M20,$A9)</f>
        <v>46.79</v>
      </c>
      <c r="G9" s="240">
        <f>4*'ARP Timing'!F$11*VLOOKUP(G$1,'ARP Score'!$A$5:$M20,$A9)</f>
        <v>46.79</v>
      </c>
      <c r="H9" s="240">
        <f>4*'ARP Timing'!G$11*VLOOKUP(H$1,'ARP Score'!$A$5:$M20,$A9)</f>
        <v>46.79</v>
      </c>
      <c r="I9" s="240">
        <f>4*'ARP Timing'!H$11*VLOOKUP(I$1,'ARP Score'!$A$5:$M20,$A9)</f>
        <v>46.79</v>
      </c>
      <c r="J9" s="240">
        <f>4*'ARP Timing'!I$11*VLOOKUP(J$1,'ARP Score'!$A$5:$M20,$A9)</f>
        <v>38.595999999999997</v>
      </c>
      <c r="K9" s="240">
        <f>4*'ARP Timing'!J$11*VLOOKUP(K$1,'ARP Score'!$A$5:$M20,$A9)</f>
        <v>38.595999999999997</v>
      </c>
      <c r="L9" s="240">
        <f>4*'ARP Timing'!K$11*VLOOKUP(L$1,'ARP Score'!$A$5:$M20,$A9)</f>
        <v>38.595999999999997</v>
      </c>
      <c r="M9" s="240">
        <f>4*'ARP Timing'!L$11*VLOOKUP(M$1,'ARP Score'!$A$5:$M20,$A9)</f>
        <v>38.595999999999997</v>
      </c>
      <c r="N9" s="240">
        <f>4*'ARP Timing'!M$11*VLOOKUP(N$1,'ARP Score'!$A$5:$M20,$A9)</f>
        <v>31.911000000000001</v>
      </c>
      <c r="O9" s="240">
        <f>4*'ARP Timing'!N$11*VLOOKUP(O$1,'ARP Score'!$A$5:$M20,$A9)</f>
        <v>31.911000000000001</v>
      </c>
      <c r="P9" s="240">
        <f>4*'ARP Timing'!O$11*VLOOKUP(P$1,'ARP Score'!$A$5:$M20,$A9)</f>
        <v>31.911000000000001</v>
      </c>
      <c r="Q9" s="240">
        <f>4*'ARP Timing'!P$11*VLOOKUP(Q$1,'ARP Score'!$A$5:$M20,$A9)</f>
        <v>31.911000000000001</v>
      </c>
      <c r="R9" s="240">
        <f>4*'ARP Timing'!Q$11*VLOOKUP(R$1,'ARP Score'!$A$5:$M20,$A9)</f>
        <v>23.099</v>
      </c>
      <c r="S9" s="240">
        <f>4*'ARP Timing'!R$11*VLOOKUP(S$1,'ARP Score'!$A$5:$M20,$A9)</f>
        <v>23.099</v>
      </c>
      <c r="T9" s="240">
        <f>4*'ARP Timing'!S$11*VLOOKUP(T$1,'ARP Score'!$A$5:$M20,$A9)</f>
        <v>23.099</v>
      </c>
      <c r="U9" s="240">
        <f>4*'ARP Timing'!T$11*VLOOKUP(U$1,'ARP Score'!$A$5:$M20,$A9)</f>
        <v>23.099</v>
      </c>
      <c r="V9" s="240">
        <f>4*'ARP Timing'!U$11*VLOOKUP(V$1,'ARP Score'!$A$5:$M20,$A9)</f>
        <v>10.766999999999999</v>
      </c>
      <c r="W9" s="240">
        <f t="shared" si="0"/>
        <v>152.74300000000005</v>
      </c>
    </row>
    <row r="10" spans="1:23" x14ac:dyDescent="0.35">
      <c r="A10" s="401">
        <v>11</v>
      </c>
      <c r="B10" s="244" t="s">
        <v>496</v>
      </c>
      <c r="C10" s="240">
        <f>4*'ARP Timing'!B$11*VLOOKUP(C$1,'ARP Score'!$A$5:$M22,$A10)</f>
        <v>0</v>
      </c>
      <c r="D10" s="240">
        <f>4*'ARP Timing'!C$11*VLOOKUP(D$1,'ARP Score'!$A$5:$M22,$A10)</f>
        <v>59.256</v>
      </c>
      <c r="E10" s="240">
        <f>4*'ARP Timing'!D$11*VLOOKUP(E$1,'ARP Score'!$A$5:$M22,$A10)</f>
        <v>59.256</v>
      </c>
      <c r="F10" s="240">
        <f>4*'ARP Timing'!E$11*VLOOKUP(F$1,'ARP Score'!$A$5:$M22,$A10)</f>
        <v>35.671000000000006</v>
      </c>
      <c r="G10" s="240">
        <f>4*'ARP Timing'!F$11*VLOOKUP(G$1,'ARP Score'!$A$5:$M22,$A10)</f>
        <v>35.671000000000006</v>
      </c>
      <c r="H10" s="240">
        <f>4*'ARP Timing'!G$11*VLOOKUP(H$1,'ARP Score'!$A$5:$M22,$A10)</f>
        <v>35.671000000000006</v>
      </c>
      <c r="I10" s="240">
        <f>4*'ARP Timing'!H$11*VLOOKUP(I$1,'ARP Score'!$A$5:$M22,$A10)</f>
        <v>35.671000000000006</v>
      </c>
      <c r="J10" s="240">
        <f>4*'ARP Timing'!I$11*VLOOKUP(J$1,'ARP Score'!$A$5:$M22,$A10)</f>
        <v>24.216000000000001</v>
      </c>
      <c r="K10" s="240">
        <f>4*'ARP Timing'!J$11*VLOOKUP(K$1,'ARP Score'!$A$5:$M22,$A10)</f>
        <v>24.216000000000001</v>
      </c>
      <c r="L10" s="240">
        <f>4*'ARP Timing'!K$11*VLOOKUP(L$1,'ARP Score'!$A$5:$M22,$A10)</f>
        <v>24.216000000000001</v>
      </c>
      <c r="M10" s="240">
        <f>4*'ARP Timing'!L$11*VLOOKUP(M$1,'ARP Score'!$A$5:$M22,$A10)</f>
        <v>24.216000000000001</v>
      </c>
      <c r="N10" s="240">
        <f>4*'ARP Timing'!M$11*VLOOKUP(N$1,'ARP Score'!$A$5:$M22,$A10)</f>
        <v>9.6430000000000007</v>
      </c>
      <c r="O10" s="240">
        <f>4*'ARP Timing'!N$11*VLOOKUP(O$1,'ARP Score'!$A$5:$M22,$A10)</f>
        <v>9.6430000000000007</v>
      </c>
      <c r="P10" s="240">
        <f>4*'ARP Timing'!O$11*VLOOKUP(P$1,'ARP Score'!$A$5:$M22,$A10)</f>
        <v>9.6430000000000007</v>
      </c>
      <c r="Q10" s="240">
        <f>4*'ARP Timing'!P$11*VLOOKUP(Q$1,'ARP Score'!$A$5:$M22,$A10)</f>
        <v>9.6430000000000007</v>
      </c>
      <c r="R10" s="240">
        <f>4*'ARP Timing'!Q$11*VLOOKUP(R$1,'ARP Score'!$A$5:$M22,$A10)</f>
        <v>4.5789999999999997</v>
      </c>
      <c r="S10" s="240">
        <f>4*'ARP Timing'!R$11*VLOOKUP(S$1,'ARP Score'!$A$5:$M22,$A10)</f>
        <v>4.5789999999999997</v>
      </c>
      <c r="T10" s="240">
        <f>4*'ARP Timing'!S$11*VLOOKUP(T$1,'ARP Score'!$A$5:$M22,$A10)</f>
        <v>4.5789999999999997</v>
      </c>
      <c r="U10" s="240">
        <f>4*'ARP Timing'!T$11*VLOOKUP(U$1,'ARP Score'!$A$5:$M22,$A10)</f>
        <v>4.5789999999999997</v>
      </c>
      <c r="V10" s="240">
        <f>4*'ARP Timing'!U$11*VLOOKUP(V$1,'ARP Score'!$A$5:$M22,$A10)</f>
        <v>2.9130000000000003</v>
      </c>
      <c r="W10" s="240">
        <f t="shared" si="0"/>
        <v>103.73700000000002</v>
      </c>
    </row>
    <row r="11" spans="1:23" x14ac:dyDescent="0.35">
      <c r="A11" s="45">
        <v>12</v>
      </c>
      <c r="B11" s="1" t="s">
        <v>202</v>
      </c>
      <c r="C11" s="240">
        <f>4*'ARP Timing'!B12*VLOOKUP(C$1,'ARP Score'!$A$5:$M20,$A11)</f>
        <v>103</v>
      </c>
      <c r="D11" s="240">
        <f>4*'ARP Timing'!C12*VLOOKUP(D$1,'ARP Score'!$A$5:$M20,$A11)</f>
        <v>0</v>
      </c>
      <c r="E11" s="240">
        <f>4*'ARP Timing'!D12*VLOOKUP(E$1,'ARP Score'!$A$5:$M20,$A11)</f>
        <v>0</v>
      </c>
      <c r="F11" s="240">
        <f>4*'ARP Timing'!E12*VLOOKUP(F$1,'ARP Score'!$A$5:$M20,$A11)</f>
        <v>0</v>
      </c>
      <c r="G11" s="240">
        <f>4*'ARP Timing'!F12*VLOOKUP(G$1,'ARP Score'!$A$5:$M20,$A11)</f>
        <v>0</v>
      </c>
      <c r="H11" s="240">
        <f>4*'ARP Timing'!G12*VLOOKUP(H$1,'ARP Score'!$A$5:$M20,$A11)</f>
        <v>0</v>
      </c>
      <c r="I11" s="240">
        <f>4*'ARP Timing'!H12*VLOOKUP(I$1,'ARP Score'!$A$5:$M20,$A11)</f>
        <v>0</v>
      </c>
      <c r="J11" s="240">
        <f>4*'ARP Timing'!I12*VLOOKUP(J$1,'ARP Score'!$A$5:$M20,$A11)</f>
        <v>0</v>
      </c>
      <c r="K11" s="240">
        <f>4*'ARP Timing'!J12*VLOOKUP(K$1,'ARP Score'!$A$5:$M20,$A11)</f>
        <v>0</v>
      </c>
      <c r="L11" s="240">
        <f>4*'ARP Timing'!K12*VLOOKUP(L$1,'ARP Score'!$A$5:$M20,$A11)</f>
        <v>0</v>
      </c>
      <c r="M11" s="240">
        <f>4*'ARP Timing'!L12*VLOOKUP(M$1,'ARP Score'!$A$5:$M20,$A11)</f>
        <v>0</v>
      </c>
      <c r="N11" s="240">
        <f>4*'ARP Timing'!M12*VLOOKUP(N$1,'ARP Score'!$A$5:$M20,$A11)</f>
        <v>0</v>
      </c>
      <c r="O11" s="240">
        <f>4*'ARP Timing'!N12*VLOOKUP(O$1,'ARP Score'!$A$5:$M20,$A11)</f>
        <v>0</v>
      </c>
      <c r="P11" s="240">
        <f>4*'ARP Timing'!O12*VLOOKUP(P$1,'ARP Score'!$A$5:$M20,$A11)</f>
        <v>0</v>
      </c>
      <c r="Q11" s="240">
        <f>4*'ARP Timing'!P12*VLOOKUP(Q$1,'ARP Score'!$A$5:$M20,$A11)</f>
        <v>0</v>
      </c>
      <c r="R11" s="240">
        <f>4*'ARP Timing'!Q12*VLOOKUP(R$1,'ARP Score'!$A$5:$M20,$A11)</f>
        <v>0</v>
      </c>
      <c r="S11" s="240">
        <f>4*'ARP Timing'!R12*VLOOKUP(S$1,'ARP Score'!$A$5:$M20,$A11)</f>
        <v>0</v>
      </c>
      <c r="T11" s="240">
        <f>4*'ARP Timing'!S12*VLOOKUP(T$1,'ARP Score'!$A$5:$M20,$A11)</f>
        <v>0</v>
      </c>
      <c r="U11" s="240">
        <f>4*'ARP Timing'!T12*VLOOKUP(U$1,'ARP Score'!$A$5:$M20,$A11)</f>
        <v>0</v>
      </c>
      <c r="V11" s="240">
        <f>4*'ARP Timing'!U12*VLOOKUP(V$1,'ARP Score'!$A$5:$M20,$A11)</f>
        <v>0</v>
      </c>
      <c r="W11" s="240">
        <f t="shared" si="0"/>
        <v>25.75</v>
      </c>
    </row>
    <row r="12" spans="1:23" x14ac:dyDescent="0.35">
      <c r="A12" s="45">
        <v>13</v>
      </c>
      <c r="B12" s="241" t="s">
        <v>152</v>
      </c>
      <c r="C12" s="240">
        <f>4*'ARP Timing'!B13*VLOOKUP(C$1,'ARP Score'!$A$5:$M21,$A12)</f>
        <v>0</v>
      </c>
      <c r="D12" s="240">
        <f>4*'ARP Timing'!C13*VLOOKUP(D$1,'ARP Score'!$A$5:$M21,$A12)</f>
        <v>51.102400000000003</v>
      </c>
      <c r="E12" s="240">
        <f>4*'ARP Timing'!D13*VLOOKUP(E$1,'ARP Score'!$A$5:$M21,$A12)</f>
        <v>76.653599999999997</v>
      </c>
      <c r="F12" s="240">
        <f>4*'ARP Timing'!E13*VLOOKUP(F$1,'ARP Score'!$A$5:$M21,$A12)</f>
        <v>90.260800000000003</v>
      </c>
      <c r="G12" s="240">
        <f>4*'ARP Timing'!F13*VLOOKUP(G$1,'ARP Score'!$A$5:$M21,$A12)</f>
        <v>67.695599999999999</v>
      </c>
      <c r="H12" s="240">
        <f>4*'ARP Timing'!G13*VLOOKUP(H$1,'ARP Score'!$A$5:$M21,$A12)</f>
        <v>45.130400000000002</v>
      </c>
      <c r="I12" s="240">
        <f>4*'ARP Timing'!H13*VLOOKUP(I$1,'ARP Score'!$A$5:$M21,$A12)</f>
        <v>22.565200000000001</v>
      </c>
      <c r="J12" s="240">
        <f>4*'ARP Timing'!I13*VLOOKUP(J$1,'ARP Score'!$A$5:$M21,$A12)</f>
        <v>15.652999999999999</v>
      </c>
      <c r="K12" s="240">
        <f>4*'ARP Timing'!J13*VLOOKUP(K$1,'ARP Score'!$A$5:$M21,$A12)</f>
        <v>15.652999999999999</v>
      </c>
      <c r="L12" s="240">
        <f>4*'ARP Timing'!K13*VLOOKUP(L$1,'ARP Score'!$A$5:$M21,$A12)</f>
        <v>15.652999999999999</v>
      </c>
      <c r="M12" s="240">
        <f>4*'ARP Timing'!L13*VLOOKUP(M$1,'ARP Score'!$A$5:$M21,$A12)</f>
        <v>15.652999999999999</v>
      </c>
      <c r="N12" s="240">
        <f>4*'ARP Timing'!M13*VLOOKUP(N$1,'ARP Score'!$A$5:$M21,$A12)</f>
        <v>3.9320000000000004</v>
      </c>
      <c r="O12" s="240">
        <f>4*'ARP Timing'!N13*VLOOKUP(O$1,'ARP Score'!$A$5:$M21,$A12)</f>
        <v>3.9320000000000004</v>
      </c>
      <c r="P12" s="240">
        <f>4*'ARP Timing'!O13*VLOOKUP(P$1,'ARP Score'!$A$5:$M21,$A12)</f>
        <v>3.9320000000000004</v>
      </c>
      <c r="Q12" s="240">
        <f>4*'ARP Timing'!P13*VLOOKUP(Q$1,'ARP Score'!$A$5:$M21,$A12)</f>
        <v>3.9320000000000004</v>
      </c>
      <c r="R12" s="240">
        <f>4*'ARP Timing'!Q13*VLOOKUP(R$1,'ARP Score'!$A$5:$M21,$A12)</f>
        <v>-0.74299999999999988</v>
      </c>
      <c r="S12" s="240">
        <f>4*'ARP Timing'!R13*VLOOKUP(S$1,'ARP Score'!$A$5:$M21,$A12)</f>
        <v>-0.74299999999999988</v>
      </c>
      <c r="T12" s="240">
        <f>4*'ARP Timing'!S13*VLOOKUP(T$1,'ARP Score'!$A$5:$M21,$A12)</f>
        <v>-0.74299999999999988</v>
      </c>
      <c r="U12" s="240">
        <f>4*'ARP Timing'!T13*VLOOKUP(U$1,'ARP Score'!$A$5:$M21,$A12)</f>
        <v>-0.74299999999999988</v>
      </c>
      <c r="V12" s="240">
        <f>4*'ARP Timing'!U13*VLOOKUP(V$1,'ARP Score'!$A$5:$M21,$A12)</f>
        <v>-21.606000000000002</v>
      </c>
      <c r="W12" s="240">
        <f t="shared" si="0"/>
        <v>107.19400000000005</v>
      </c>
    </row>
    <row r="13" spans="1:23" x14ac:dyDescent="0.35">
      <c r="A13" s="45">
        <v>15</v>
      </c>
      <c r="B13" s="45" t="s">
        <v>1214</v>
      </c>
      <c r="C13" s="240">
        <f>0.3*'ARP Score'!$N5*4*'ARP Timing'!B6</f>
        <v>0</v>
      </c>
      <c r="D13" s="240">
        <f>0.3*'ARP Score'!$N5*4*'ARP Timing'!C6</f>
        <v>1.1424000000000001</v>
      </c>
      <c r="E13" s="240">
        <f>0.3*'ARP Score'!$N5*4*'ARP Timing'!D6</f>
        <v>2.9375999999999998</v>
      </c>
      <c r="F13" s="240">
        <f>0.3*'ARP Score'!$N6*4*'ARP Timing'!E6</f>
        <v>1.5299999999999998</v>
      </c>
      <c r="G13" s="240">
        <f>0.3*'ARP Score'!$N6*4*'ARP Timing'!F6</f>
        <v>1.5299999999999998</v>
      </c>
      <c r="H13" s="240">
        <f>0.3*'ARP Score'!$N6*4*'ARP Timing'!G6</f>
        <v>1.5299999999999998</v>
      </c>
      <c r="I13" s="240">
        <f>0.3*'ARP Score'!$N6*4*'ARP Timing'!H6</f>
        <v>1.5299999999999998</v>
      </c>
      <c r="J13" s="240">
        <f>0.3*'ARP Score'!$N7*4*'ARP Timing'!I6</f>
        <v>0</v>
      </c>
      <c r="K13" s="240">
        <f>0.3*'ARP Score'!$N7*4*'ARP Timing'!J6</f>
        <v>0</v>
      </c>
      <c r="L13" s="240">
        <f>0.3*'ARP Score'!$N7*4*'ARP Timing'!K6</f>
        <v>0</v>
      </c>
      <c r="M13" s="240">
        <f>0.3*'ARP Score'!$N7*4*'ARP Timing'!L6</f>
        <v>0</v>
      </c>
      <c r="N13" s="240">
        <f>0.3*'ARP Score'!$N7*4*'ARP Timing'!M6</f>
        <v>0</v>
      </c>
      <c r="O13" s="240">
        <f>0.3*'ARP Score'!$N7*4*'ARP Timing'!N6</f>
        <v>0</v>
      </c>
      <c r="P13" s="240">
        <f>0.3*'ARP Score'!$N7*4*'ARP Timing'!O6</f>
        <v>0</v>
      </c>
      <c r="Q13" s="240">
        <f>0.3*'ARP Score'!$N7*4*'ARP Timing'!P6</f>
        <v>0</v>
      </c>
      <c r="R13" s="240">
        <f>0.3*'ARP Score'!$N7*4*'ARP Timing'!Q6</f>
        <v>0</v>
      </c>
      <c r="S13" s="240">
        <f>0.3*'ARP Score'!$N7*4*'ARP Timing'!R6</f>
        <v>0</v>
      </c>
      <c r="T13" s="240">
        <f>0.3*'ARP Score'!$N7*4*'ARP Timing'!S6</f>
        <v>0</v>
      </c>
      <c r="U13" s="240">
        <f>0.3*'ARP Score'!$N7*4*'ARP Timing'!T6</f>
        <v>0</v>
      </c>
      <c r="V13" s="240">
        <f>0.3*'ARP Score'!$N7*4*'ARP Timing'!U6</f>
        <v>0</v>
      </c>
      <c r="W13" s="240">
        <f t="shared" si="0"/>
        <v>2.5499999999999994</v>
      </c>
    </row>
    <row r="14" spans="1:23" x14ac:dyDescent="0.35">
      <c r="A14" s="45">
        <v>14</v>
      </c>
      <c r="B14" s="45" t="s">
        <v>1215</v>
      </c>
      <c r="C14" s="240">
        <f>C13/0.3*0.2</f>
        <v>0</v>
      </c>
      <c r="D14" s="240">
        <f t="shared" ref="D14:F14" si="1">D13/0.3*0.2</f>
        <v>0.76160000000000005</v>
      </c>
      <c r="E14" s="240">
        <f t="shared" si="1"/>
        <v>1.9584000000000001</v>
      </c>
      <c r="F14" s="240">
        <f t="shared" si="1"/>
        <v>1.02</v>
      </c>
      <c r="G14" s="240">
        <f t="shared" ref="G14" si="2">G13/0.3*0.2</f>
        <v>1.02</v>
      </c>
      <c r="H14" s="240">
        <f t="shared" ref="H14" si="3">H13/0.3*0.2</f>
        <v>1.02</v>
      </c>
      <c r="I14" s="240">
        <f t="shared" ref="I14" si="4">I13/0.3*0.2</f>
        <v>1.02</v>
      </c>
      <c r="J14" s="240">
        <f t="shared" ref="J14" si="5">J13/0.3*0.2</f>
        <v>0</v>
      </c>
      <c r="K14" s="240">
        <f t="shared" ref="K14" si="6">K13/0.3*0.2</f>
        <v>0</v>
      </c>
      <c r="L14" s="240">
        <f t="shared" ref="L14" si="7">L13/0.3*0.2</f>
        <v>0</v>
      </c>
      <c r="M14" s="240">
        <f t="shared" ref="M14" si="8">M13/0.3*0.2</f>
        <v>0</v>
      </c>
      <c r="N14" s="240">
        <f t="shared" ref="N14" si="9">N13/0.3*0.2</f>
        <v>0</v>
      </c>
      <c r="O14" s="240">
        <f t="shared" ref="O14" si="10">O13/0.3*0.2</f>
        <v>0</v>
      </c>
      <c r="P14" s="240">
        <f t="shared" ref="P14" si="11">P13/0.3*0.2</f>
        <v>0</v>
      </c>
      <c r="Q14" s="240">
        <f t="shared" ref="Q14" si="12">Q13/0.3*0.2</f>
        <v>0</v>
      </c>
      <c r="R14" s="240">
        <f t="shared" ref="R14" si="13">R13/0.3*0.2</f>
        <v>0</v>
      </c>
      <c r="S14" s="240">
        <f t="shared" ref="S14" si="14">S13/0.3*0.2</f>
        <v>0</v>
      </c>
      <c r="T14" s="240">
        <f t="shared" ref="T14" si="15">T13/0.3*0.2</f>
        <v>0</v>
      </c>
      <c r="U14" s="240">
        <f t="shared" ref="U14" si="16">U13/0.3*0.2</f>
        <v>0</v>
      </c>
      <c r="V14" s="240">
        <f t="shared" ref="V14" si="17">V13/0.3*0.2</f>
        <v>0</v>
      </c>
      <c r="W14" s="240">
        <f t="shared" si="0"/>
        <v>1.6999999999999997</v>
      </c>
    </row>
    <row r="15" spans="1:23" x14ac:dyDescent="0.35">
      <c r="A15" s="45">
        <v>14</v>
      </c>
      <c r="B15" s="45" t="s">
        <v>645</v>
      </c>
      <c r="C15" s="240">
        <f>C14/0.2*0.5</f>
        <v>0</v>
      </c>
      <c r="D15" s="240">
        <f t="shared" ref="D15:F15" si="18">D14/0.2*0.5</f>
        <v>1.9040000000000001</v>
      </c>
      <c r="E15" s="240">
        <f t="shared" si="18"/>
        <v>4.8959999999999999</v>
      </c>
      <c r="F15" s="240">
        <f t="shared" si="18"/>
        <v>2.5499999999999998</v>
      </c>
      <c r="G15" s="240">
        <f t="shared" ref="G15" si="19">G14/0.2*0.5</f>
        <v>2.5499999999999998</v>
      </c>
      <c r="H15" s="240">
        <f t="shared" ref="H15" si="20">H14/0.2*0.5</f>
        <v>2.5499999999999998</v>
      </c>
      <c r="I15" s="240">
        <f t="shared" ref="I15" si="21">I14/0.2*0.5</f>
        <v>2.5499999999999998</v>
      </c>
      <c r="J15" s="240">
        <f t="shared" ref="J15" si="22">J14/0.2*0.5</f>
        <v>0</v>
      </c>
      <c r="K15" s="240">
        <f t="shared" ref="K15" si="23">K14/0.2*0.5</f>
        <v>0</v>
      </c>
      <c r="L15" s="240">
        <f t="shared" ref="L15" si="24">L14/0.2*0.5</f>
        <v>0</v>
      </c>
      <c r="M15" s="240">
        <f t="shared" ref="M15" si="25">M14/0.2*0.5</f>
        <v>0</v>
      </c>
      <c r="N15" s="240">
        <f t="shared" ref="N15" si="26">N14/0.2*0.5</f>
        <v>0</v>
      </c>
      <c r="O15" s="240">
        <f t="shared" ref="O15" si="27">O14/0.2*0.5</f>
        <v>0</v>
      </c>
      <c r="P15" s="240">
        <f t="shared" ref="P15" si="28">P14/0.2*0.5</f>
        <v>0</v>
      </c>
      <c r="Q15" s="240">
        <f t="shared" ref="Q15" si="29">Q14/0.2*0.5</f>
        <v>0</v>
      </c>
      <c r="R15" s="240">
        <f t="shared" ref="R15" si="30">R14/0.2*0.5</f>
        <v>0</v>
      </c>
      <c r="S15" s="240">
        <f t="shared" ref="S15" si="31">S14/0.2*0.5</f>
        <v>0</v>
      </c>
      <c r="T15" s="240">
        <f t="shared" ref="T15" si="32">T14/0.2*0.5</f>
        <v>0</v>
      </c>
      <c r="U15" s="240">
        <f t="shared" ref="U15" si="33">U14/0.2*0.5</f>
        <v>0</v>
      </c>
      <c r="V15" s="240">
        <f t="shared" ref="V15" si="34">V14/0.2*0.5</f>
        <v>0</v>
      </c>
      <c r="W15" s="240">
        <f t="shared" si="0"/>
        <v>4.25</v>
      </c>
    </row>
    <row r="16" spans="1:23" x14ac:dyDescent="0.35">
      <c r="C16" s="240"/>
      <c r="D16" s="240"/>
      <c r="E16" s="240"/>
      <c r="F16" s="240"/>
      <c r="G16" s="240"/>
      <c r="H16" s="240"/>
      <c r="I16" s="240"/>
      <c r="J16" s="240"/>
      <c r="K16" s="240"/>
      <c r="L16" s="240"/>
      <c r="M16" s="240"/>
      <c r="N16" s="240"/>
      <c r="O16" s="240"/>
      <c r="P16" s="240"/>
      <c r="Q16" s="240"/>
      <c r="R16" s="240"/>
      <c r="S16" s="240"/>
      <c r="T16" s="240"/>
      <c r="U16" s="240"/>
      <c r="V16" s="240"/>
      <c r="W16" s="240"/>
    </row>
    <row r="17" spans="1:23" x14ac:dyDescent="0.35">
      <c r="A17" s="45" t="s">
        <v>1216</v>
      </c>
      <c r="C17" s="240"/>
      <c r="D17" s="240"/>
      <c r="E17" s="240"/>
      <c r="F17" s="240"/>
      <c r="G17" s="240"/>
      <c r="H17" s="240"/>
      <c r="I17" s="240"/>
      <c r="J17" s="240"/>
      <c r="K17" s="240"/>
      <c r="L17" s="240"/>
      <c r="M17" s="240"/>
      <c r="N17" s="240"/>
      <c r="O17" s="240"/>
      <c r="P17" s="240"/>
      <c r="Q17" s="240"/>
      <c r="R17" s="240"/>
      <c r="S17" s="240"/>
      <c r="T17" s="240"/>
      <c r="U17" s="240"/>
      <c r="V17" s="240"/>
      <c r="W17" s="240"/>
    </row>
    <row r="18" spans="1:23" x14ac:dyDescent="0.35">
      <c r="B18" s="143" t="s">
        <v>186</v>
      </c>
      <c r="C18" s="240">
        <f>'ARP Score'!$BG5/'ARP Score'!$G5*C6</f>
        <v>0</v>
      </c>
      <c r="D18" s="240">
        <f>'ARP Score'!$BG5/'ARP Score'!$G5*D6</f>
        <v>2.2132800000000001</v>
      </c>
      <c r="E18" s="240">
        <f>'ARP Score'!$BG5/'ARP Score'!$G5*E6</f>
        <v>10.082720000000002</v>
      </c>
      <c r="F18" s="240">
        <f>'ARP Score'!$BG6/'ARP Score'!$G6*F6</f>
        <v>7.1439999999999992</v>
      </c>
      <c r="G18" s="240">
        <f>'ARP Score'!$BG6/'ARP Score'!$G6*G6</f>
        <v>7.1439999999999992</v>
      </c>
      <c r="H18" s="240">
        <f>'ARP Score'!$BG6/'ARP Score'!$G6*H6</f>
        <v>7.1439999999999992</v>
      </c>
      <c r="I18" s="240">
        <f>'ARP Score'!$BG6/'ARP Score'!$G6*I6</f>
        <v>7.1439999999999992</v>
      </c>
      <c r="J18" s="240">
        <f>'ARP Score'!$BG7/'ARP Score'!$G7*J6</f>
        <v>0</v>
      </c>
      <c r="K18" s="240">
        <f>'ARP Score'!$BG7/'ARP Score'!$G7*K6</f>
        <v>0</v>
      </c>
      <c r="L18" s="240">
        <f>'ARP Score'!$BG7/'ARP Score'!$G7*L6</f>
        <v>0</v>
      </c>
      <c r="M18" s="240">
        <f>'ARP Score'!$BG7/'ARP Score'!$G7*M6</f>
        <v>0</v>
      </c>
      <c r="N18" s="240"/>
      <c r="O18" s="240"/>
      <c r="P18" s="240"/>
      <c r="Q18" s="240"/>
      <c r="R18" s="240"/>
      <c r="S18" s="240"/>
      <c r="T18" s="240"/>
      <c r="U18" s="240"/>
      <c r="V18" s="240"/>
      <c r="W18" s="240"/>
    </row>
    <row r="19" spans="1:23" x14ac:dyDescent="0.35">
      <c r="B19" s="143" t="s">
        <v>1217</v>
      </c>
      <c r="C19" s="240">
        <f>'ARP Score'!$BI5/'ARP Score'!$G5*C6</f>
        <v>0</v>
      </c>
      <c r="D19" s="240">
        <f>'ARP Score'!$BI5/'ARP Score'!$G5*D6</f>
        <v>15.128640000000001</v>
      </c>
      <c r="E19" s="240">
        <f>'ARP Score'!$BI5/'ARP Score'!$G5*E6</f>
        <v>68.919360000000012</v>
      </c>
      <c r="F19" s="240">
        <f>'ARP Score'!$BI6/'ARP Score'!$G6*F6</f>
        <v>5.6120000000000001</v>
      </c>
      <c r="G19" s="240">
        <f>'ARP Score'!$BI6/'ARP Score'!$G6*G6</f>
        <v>5.6120000000000001</v>
      </c>
      <c r="H19" s="240">
        <f>'ARP Score'!$BI6/'ARP Score'!$G6*H6</f>
        <v>5.6120000000000001</v>
      </c>
      <c r="I19" s="240">
        <f>'ARP Score'!$BI6/'ARP Score'!$G6*I6</f>
        <v>5.6120000000000001</v>
      </c>
      <c r="J19" s="240">
        <f>'ARP Score'!$B7/'ARP Score'!$G7*J6</f>
        <v>0.48599999999999993</v>
      </c>
      <c r="K19" s="240">
        <f>'ARP Score'!$B7/'ARP Score'!$G7*K6</f>
        <v>0.48599999999999993</v>
      </c>
      <c r="L19" s="240">
        <f>'ARP Score'!$B7/'ARP Score'!$G7*L6</f>
        <v>0.48599999999999993</v>
      </c>
      <c r="M19" s="240">
        <f>'ARP Score'!$B7/'ARP Score'!$G7*M6</f>
        <v>0.48599999999999993</v>
      </c>
      <c r="N19" s="240">
        <f>'ARP Score'!$B8/'ARP Score'!$G8*N6</f>
        <v>0</v>
      </c>
      <c r="O19" s="240"/>
      <c r="P19" s="240"/>
      <c r="Q19" s="240"/>
      <c r="R19" s="240"/>
      <c r="S19" s="240"/>
      <c r="T19" s="240"/>
      <c r="U19" s="240"/>
      <c r="V19" s="240"/>
      <c r="W19" s="240"/>
    </row>
    <row r="20" spans="1:23" x14ac:dyDescent="0.35">
      <c r="B20" s="143" t="s">
        <v>191</v>
      </c>
      <c r="C20" s="240">
        <f>'ARP Score'!$BF5/'ARP Score'!$G5*C6</f>
        <v>0</v>
      </c>
      <c r="D20" s="240">
        <f>'ARP Score'!$BF5/'ARP Score'!$G5*D6</f>
        <v>3.2479199999999997</v>
      </c>
      <c r="E20" s="240">
        <f>'ARP Score'!$BF5/'ARP Score'!$G5*E6</f>
        <v>14.796080000000002</v>
      </c>
      <c r="F20" s="240">
        <f>'ARP Score'!$BF6/'ARP Score'!$G6*F6</f>
        <v>1.7329999999999999</v>
      </c>
      <c r="G20" s="240">
        <f>'ARP Score'!$BF6/'ARP Score'!$G6*G6</f>
        <v>1.7329999999999999</v>
      </c>
      <c r="H20" s="240">
        <f>'ARP Score'!$BF6/'ARP Score'!$G6*H6</f>
        <v>1.7329999999999999</v>
      </c>
      <c r="I20" s="240">
        <f>'ARP Score'!$BF6/'ARP Score'!$G6*I6</f>
        <v>1.7329999999999999</v>
      </c>
      <c r="J20" s="240">
        <f>'ARP Score'!$BF7/'ARP Score'!$G7*J6</f>
        <v>0</v>
      </c>
      <c r="K20" s="240">
        <f>'ARP Score'!$BF7/'ARP Score'!$G7*K6</f>
        <v>0</v>
      </c>
      <c r="L20" s="240">
        <f>'ARP Score'!$BF7/'ARP Score'!$G7*L6</f>
        <v>0</v>
      </c>
      <c r="M20" s="240">
        <f>'ARP Score'!$BF7/'ARP Score'!$G7*M6</f>
        <v>0</v>
      </c>
      <c r="N20" s="240"/>
      <c r="O20" s="240"/>
      <c r="P20" s="240"/>
      <c r="Q20" s="240"/>
      <c r="R20" s="240"/>
      <c r="S20" s="240"/>
      <c r="T20" s="240"/>
      <c r="U20" s="240"/>
      <c r="V20" s="240"/>
      <c r="W20" s="240"/>
    </row>
    <row r="21" spans="1:23" x14ac:dyDescent="0.35">
      <c r="B21" s="639" t="s">
        <v>569</v>
      </c>
      <c r="C21" s="240">
        <f>15/40*(C6*'ARP Score'!$BD5/'ARP Score'!$G5)</f>
        <v>0</v>
      </c>
      <c r="D21" s="240">
        <f>15/40*(D6*('ARP Score'!$BD5+'ARP Score'!$BE5)/'ARP Score'!$G5)</f>
        <v>13.2921</v>
      </c>
      <c r="E21" s="240">
        <f>15/40*(E6*('ARP Score'!$BD5+'ARP Score'!$BE5)/'ARP Score'!$G5)</f>
        <v>60.552900000000008</v>
      </c>
      <c r="F21" s="240">
        <f>15/40*(F6*('ARP Score'!$BD6+'ARP Score'!$BE6)/'ARP Score'!$G6)</f>
        <v>1.0687500000000001</v>
      </c>
      <c r="G21" s="240">
        <f>15/40*(G6*('ARP Score'!$BD6+'ARP Score'!$BE6)/'ARP Score'!$G6)</f>
        <v>1.0687500000000001</v>
      </c>
      <c r="H21" s="240">
        <f>15/40*(H6*('ARP Score'!$BD6+'ARP Score'!$BE6)/'ARP Score'!$G6)</f>
        <v>1.0687500000000001</v>
      </c>
      <c r="I21" s="240">
        <f>15/40*(I6*('ARP Score'!$BD6+'ARP Score'!$BE6)/'ARP Score'!$G6)</f>
        <v>1.0687500000000001</v>
      </c>
      <c r="J21" s="240">
        <f>15/40*(J6*('ARP Score'!$BD7+'ARP Score'!$BE7)/'ARP Score'!$G7)</f>
        <v>0.78750000000000009</v>
      </c>
      <c r="K21" s="240">
        <f>15/40*(K6*('ARP Score'!$BD7+'ARP Score'!$BE7)/'ARP Score'!$G7)</f>
        <v>0.78750000000000009</v>
      </c>
      <c r="L21" s="240">
        <f>15/40*(L6*('ARP Score'!$BD7+'ARP Score'!$BE7)/'ARP Score'!$G7)</f>
        <v>0.78750000000000009</v>
      </c>
      <c r="M21" s="240">
        <f>15/40*(M6*('ARP Score'!$BD7+'ARP Score'!$BE7)/'ARP Score'!$G7)</f>
        <v>0.78750000000000009</v>
      </c>
      <c r="N21" s="240"/>
      <c r="O21" s="240"/>
      <c r="P21" s="240"/>
      <c r="Q21" s="240"/>
      <c r="R21" s="240"/>
      <c r="S21" s="240"/>
      <c r="T21" s="240"/>
      <c r="U21" s="240"/>
      <c r="V21" s="240"/>
      <c r="W21" s="240"/>
    </row>
    <row r="22" spans="1:23" x14ac:dyDescent="0.35">
      <c r="B22" s="639" t="s">
        <v>1218</v>
      </c>
      <c r="C22" s="240"/>
      <c r="D22" s="240">
        <f>D21/15*25</f>
        <v>22.153499999999998</v>
      </c>
      <c r="E22" s="240">
        <f>E21/15*25</f>
        <v>100.92150000000002</v>
      </c>
      <c r="F22" s="240">
        <f>F21/15*25</f>
        <v>1.7812500000000002</v>
      </c>
      <c r="G22" s="240">
        <f>G21/15*25</f>
        <v>1.7812500000000002</v>
      </c>
      <c r="H22" s="240">
        <f t="shared" ref="H22:J22" si="35">H21/15*25</f>
        <v>1.7812500000000002</v>
      </c>
      <c r="I22" s="240">
        <f t="shared" si="35"/>
        <v>1.7812500000000002</v>
      </c>
      <c r="J22" s="240">
        <f t="shared" si="35"/>
        <v>1.3125000000000002</v>
      </c>
      <c r="K22" s="240">
        <f t="shared" ref="K22" si="36">K21/15*25</f>
        <v>1.3125000000000002</v>
      </c>
      <c r="L22" s="240">
        <f t="shared" ref="L22" si="37">L21/15*25</f>
        <v>1.3125000000000002</v>
      </c>
      <c r="M22" s="240">
        <f t="shared" ref="M22" si="38">M21/15*25</f>
        <v>1.3125000000000002</v>
      </c>
      <c r="N22" s="240"/>
      <c r="O22" s="240"/>
      <c r="P22" s="240"/>
      <c r="Q22" s="240"/>
      <c r="R22" s="240"/>
      <c r="S22" s="240"/>
      <c r="T22" s="240"/>
      <c r="U22" s="240"/>
      <c r="V22" s="240"/>
      <c r="W22" s="240"/>
    </row>
    <row r="23" spans="1:23" x14ac:dyDescent="0.35">
      <c r="B23" s="143" t="s">
        <v>581</v>
      </c>
      <c r="C23" s="240">
        <f>'ARP Score'!$BB5/'ARP Score'!$G5*C6</f>
        <v>0</v>
      </c>
      <c r="D23" s="240">
        <f>'ARP Score'!$BB5/'ARP Score'!$G5*D6</f>
        <v>2.9519999999999995</v>
      </c>
      <c r="E23" s="240">
        <f>'ARP Score'!$BB5/'ARP Score'!$G5*E6</f>
        <v>13.448</v>
      </c>
      <c r="F23" s="240">
        <f>'ARP Score'!$BB6/'ARP Score'!$G6*F6</f>
        <v>11.3</v>
      </c>
      <c r="G23" s="240">
        <f>'ARP Score'!$BB6/'ARP Score'!$G6*G6</f>
        <v>11.3</v>
      </c>
      <c r="H23" s="240">
        <f>'ARP Score'!$BB6/'ARP Score'!$G6*H6</f>
        <v>11.3</v>
      </c>
      <c r="I23" s="240">
        <f>'ARP Score'!$BB6/'ARP Score'!$G6*I6</f>
        <v>11.3</v>
      </c>
      <c r="J23" s="240">
        <f>'ARP Score'!$BB7/'ARP Score'!$G7*J6</f>
        <v>8.4</v>
      </c>
      <c r="K23" s="240">
        <f>'ARP Score'!$BB7/'ARP Score'!$G7*K6</f>
        <v>8.4</v>
      </c>
      <c r="L23" s="240">
        <f>'ARP Score'!$BB7/'ARP Score'!$G7*L6</f>
        <v>8.4</v>
      </c>
      <c r="M23" s="240">
        <f>'ARP Score'!$BB7/'ARP Score'!$G7*M6</f>
        <v>8.4</v>
      </c>
      <c r="N23" s="240">
        <f>'ARP Score'!$BB8/'ARP Score'!$G8*N6</f>
        <v>0.2</v>
      </c>
      <c r="O23" s="240">
        <f>'ARP Score'!$BB8/'ARP Score'!$G8*O6</f>
        <v>0.2</v>
      </c>
      <c r="P23" s="240">
        <f>'ARP Score'!$BB8/'ARP Score'!$G8*P6</f>
        <v>0.2</v>
      </c>
      <c r="Q23" s="240">
        <f>'ARP Score'!$BB8/'ARP Score'!$G8*Q6</f>
        <v>0.2</v>
      </c>
      <c r="R23" s="240"/>
      <c r="S23" s="240"/>
      <c r="T23" s="240"/>
      <c r="U23" s="240"/>
      <c r="V23" s="240"/>
      <c r="W23" s="240"/>
    </row>
    <row r="24" spans="1:23" x14ac:dyDescent="0.35">
      <c r="B24" s="143" t="s">
        <v>582</v>
      </c>
      <c r="C24" s="240">
        <f>'ARP Score'!$BH5/'ARP Score'!$G5*C6</f>
        <v>0</v>
      </c>
      <c r="D24" s="240">
        <f>'ARP Score'!$BH5/'ARP Score'!$G5*D6</f>
        <v>-0.20447999999999997</v>
      </c>
      <c r="E24" s="240">
        <f>'ARP Score'!$BH5/'ARP Score'!$G5*E6</f>
        <v>-0.93152000000000001</v>
      </c>
      <c r="F24" s="240">
        <f>'ARP Score'!$BH6/'ARP Score'!$G6*F6</f>
        <v>81.608999999999995</v>
      </c>
      <c r="G24" s="240">
        <f>'ARP Score'!$BH6/'ARP Score'!$G6*G6</f>
        <v>81.608999999999995</v>
      </c>
      <c r="H24" s="240">
        <f>'ARP Score'!$BH6/'ARP Score'!$G6*H6</f>
        <v>81.608999999999995</v>
      </c>
      <c r="I24" s="240">
        <f>'ARP Score'!$BH6/'ARP Score'!$G6*I6</f>
        <v>81.608999999999995</v>
      </c>
      <c r="J24" s="240">
        <f>'ARP Score'!$BH7/'ARP Score'!$G7*J6</f>
        <v>1.3759999999999999</v>
      </c>
      <c r="K24" s="240">
        <f>'ARP Score'!$BH7/'ARP Score'!$G7*K6</f>
        <v>1.3759999999999999</v>
      </c>
      <c r="L24" s="240">
        <f>'ARP Score'!$BH7/'ARP Score'!$G7*L6</f>
        <v>1.3759999999999999</v>
      </c>
      <c r="M24" s="240">
        <f>'ARP Score'!$BH7/'ARP Score'!$G7*M6</f>
        <v>1.3759999999999999</v>
      </c>
      <c r="N24" s="240">
        <f>'ARP Score'!$BH8/'ARP Score'!$G8*N6</f>
        <v>-0.87500000000000011</v>
      </c>
      <c r="O24" s="240">
        <f>'ARP Score'!$BH8/'ARP Score'!$G8*O6</f>
        <v>-0.87500000000000011</v>
      </c>
      <c r="P24" s="240">
        <f>'ARP Score'!$BH8/'ARP Score'!$G8*P6</f>
        <v>-0.87500000000000011</v>
      </c>
      <c r="Q24" s="240">
        <f>'ARP Score'!$BH8/'ARP Score'!$G8*Q6</f>
        <v>-0.87500000000000011</v>
      </c>
      <c r="R24" s="240"/>
      <c r="S24" s="240"/>
      <c r="T24" s="240"/>
      <c r="U24" s="240"/>
      <c r="V24" s="240"/>
      <c r="W24" s="240"/>
    </row>
    <row r="25" spans="1:23" x14ac:dyDescent="0.35">
      <c r="B25" s="143" t="s">
        <v>437</v>
      </c>
      <c r="C25" s="240">
        <f>SUM(C18:C24)</f>
        <v>0</v>
      </c>
      <c r="D25" s="240">
        <f t="shared" ref="D25:Q25" si="39">SUM(D18:D24)</f>
        <v>58.782959999999996</v>
      </c>
      <c r="E25" s="240">
        <f t="shared" si="39"/>
        <v>267.78904000000006</v>
      </c>
      <c r="F25" s="240">
        <f t="shared" si="39"/>
        <v>110.24799999999999</v>
      </c>
      <c r="G25" s="240">
        <f t="shared" si="39"/>
        <v>110.24799999999999</v>
      </c>
      <c r="H25" s="240">
        <f t="shared" si="39"/>
        <v>110.24799999999999</v>
      </c>
      <c r="I25" s="240">
        <f t="shared" si="39"/>
        <v>110.24799999999999</v>
      </c>
      <c r="J25" s="240">
        <f t="shared" si="39"/>
        <v>12.362</v>
      </c>
      <c r="K25" s="240">
        <f t="shared" si="39"/>
        <v>12.362</v>
      </c>
      <c r="L25" s="240">
        <f t="shared" si="39"/>
        <v>12.362</v>
      </c>
      <c r="M25" s="240">
        <f t="shared" si="39"/>
        <v>12.362</v>
      </c>
      <c r="N25" s="240">
        <f t="shared" si="39"/>
        <v>-0.67500000000000004</v>
      </c>
      <c r="O25" s="240">
        <f t="shared" si="39"/>
        <v>-0.67500000000000004</v>
      </c>
      <c r="P25" s="240">
        <f t="shared" si="39"/>
        <v>-0.67500000000000004</v>
      </c>
      <c r="Q25" s="240">
        <f t="shared" si="39"/>
        <v>-0.67500000000000004</v>
      </c>
      <c r="R25" s="240"/>
      <c r="S25" s="240"/>
      <c r="T25" s="240"/>
      <c r="U25" s="240"/>
      <c r="V25" s="240"/>
      <c r="W25" s="240"/>
    </row>
    <row r="26" spans="1:23" x14ac:dyDescent="0.35">
      <c r="D26" s="242">
        <f>D6-D25</f>
        <v>0</v>
      </c>
      <c r="E26" s="242">
        <f t="shared" ref="E26:M26" si="40">E6-E25</f>
        <v>0</v>
      </c>
      <c r="F26" s="242">
        <f t="shared" si="40"/>
        <v>0</v>
      </c>
      <c r="G26" s="242">
        <f t="shared" si="40"/>
        <v>0</v>
      </c>
      <c r="H26" s="242">
        <f t="shared" si="40"/>
        <v>0</v>
      </c>
      <c r="I26" s="242">
        <f t="shared" si="40"/>
        <v>0</v>
      </c>
      <c r="J26" s="242">
        <f t="shared" si="40"/>
        <v>0.36400000000000077</v>
      </c>
      <c r="K26" s="242">
        <f t="shared" si="40"/>
        <v>0.36400000000000077</v>
      </c>
      <c r="L26" s="242">
        <f t="shared" si="40"/>
        <v>0.36400000000000077</v>
      </c>
      <c r="M26" s="242">
        <f t="shared" si="40"/>
        <v>0.36400000000000077</v>
      </c>
    </row>
    <row r="27" spans="1:23" x14ac:dyDescent="0.35">
      <c r="B27" s="45" t="s">
        <v>1219</v>
      </c>
      <c r="D27" s="220" t="s">
        <v>372</v>
      </c>
      <c r="E27" s="220" t="s">
        <v>224</v>
      </c>
      <c r="F27" s="220" t="s">
        <v>225</v>
      </c>
      <c r="G27" s="220" t="s">
        <v>226</v>
      </c>
      <c r="H27" s="220" t="s">
        <v>227</v>
      </c>
      <c r="I27" s="220" t="s">
        <v>228</v>
      </c>
      <c r="J27" s="220" t="s">
        <v>229</v>
      </c>
      <c r="K27" s="220" t="s">
        <v>230</v>
      </c>
      <c r="L27" s="220" t="s">
        <v>231</v>
      </c>
      <c r="M27" s="220" t="s">
        <v>232</v>
      </c>
      <c r="N27" s="220" t="s">
        <v>233</v>
      </c>
      <c r="O27" s="220" t="s">
        <v>234</v>
      </c>
      <c r="P27" s="220" t="s">
        <v>235</v>
      </c>
      <c r="Q27" s="220" t="s">
        <v>219</v>
      </c>
      <c r="R27" s="220" t="s">
        <v>220</v>
      </c>
      <c r="S27" s="220" t="s">
        <v>221</v>
      </c>
      <c r="T27" s="220" t="s">
        <v>1210</v>
      </c>
      <c r="U27" s="220" t="s">
        <v>1211</v>
      </c>
      <c r="V27" s="220" t="s">
        <v>1212</v>
      </c>
    </row>
    <row r="28" spans="1:23" x14ac:dyDescent="0.35">
      <c r="B28" s="241"/>
      <c r="C28" s="242" t="s">
        <v>437</v>
      </c>
      <c r="D28" s="247">
        <f>SUM(D29:D43)</f>
        <v>5.8765000000000009</v>
      </c>
      <c r="E28" s="247">
        <f t="shared" ref="E28:V28" si="41">SUM(E29:E43)</f>
        <v>11.753000000000002</v>
      </c>
      <c r="F28" s="247">
        <f t="shared" si="41"/>
        <v>15.762320000000003</v>
      </c>
      <c r="G28" s="247">
        <f t="shared" si="41"/>
        <v>19.771640000000005</v>
      </c>
      <c r="H28" s="247">
        <f t="shared" si="41"/>
        <v>23.812229000000006</v>
      </c>
      <c r="I28" s="247">
        <f t="shared" si="41"/>
        <v>27.852818000000006</v>
      </c>
      <c r="J28" s="247">
        <f t="shared" si="41"/>
        <v>30.517977000000005</v>
      </c>
      <c r="K28" s="247">
        <f t="shared" si="41"/>
        <v>33.183136000000005</v>
      </c>
      <c r="L28" s="247">
        <f t="shared" si="41"/>
        <v>36.260924000000003</v>
      </c>
      <c r="M28" s="247">
        <f t="shared" si="41"/>
        <v>39.338711999999994</v>
      </c>
      <c r="N28" s="247">
        <f t="shared" si="41"/>
        <v>40.928439999999995</v>
      </c>
      <c r="O28" s="247">
        <f t="shared" si="41"/>
        <v>42.518167999999996</v>
      </c>
      <c r="P28" s="247">
        <f t="shared" si="41"/>
        <v>44.428388999999996</v>
      </c>
      <c r="Q28" s="247">
        <f t="shared" si="41"/>
        <v>46.338610000000003</v>
      </c>
      <c r="R28" s="247">
        <f t="shared" si="41"/>
        <v>47.279744500000007</v>
      </c>
      <c r="S28" s="247">
        <f t="shared" si="41"/>
        <v>46.283419000000009</v>
      </c>
      <c r="T28" s="247">
        <f t="shared" si="41"/>
        <v>45.578489500000011</v>
      </c>
      <c r="U28" s="247">
        <f t="shared" si="41"/>
        <v>45.454798000000011</v>
      </c>
      <c r="V28" s="247">
        <f t="shared" si="41"/>
        <v>45.360580000000013</v>
      </c>
    </row>
    <row r="29" spans="1:23" x14ac:dyDescent="0.35">
      <c r="A29" s="45">
        <v>2021</v>
      </c>
      <c r="B29" s="241" t="s">
        <v>1220</v>
      </c>
      <c r="C29" s="242"/>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1" t="s">
        <v>458</v>
      </c>
      <c r="C30" s="242"/>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1" t="s">
        <v>1221</v>
      </c>
      <c r="C31" s="242"/>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1" t="s">
        <v>299</v>
      </c>
      <c r="C32" s="242"/>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1" t="s">
        <v>300</v>
      </c>
      <c r="C33" s="242"/>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1" t="s">
        <v>458</v>
      </c>
      <c r="C34" s="242"/>
      <c r="H34" s="242"/>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1" t="s">
        <v>1221</v>
      </c>
      <c r="C35" s="242"/>
      <c r="H35" s="242"/>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1" t="s">
        <v>299</v>
      </c>
      <c r="C36" s="242"/>
      <c r="H36" s="242"/>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1" t="s">
        <v>300</v>
      </c>
      <c r="C37" s="242"/>
      <c r="H37" s="242"/>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1" t="s">
        <v>458</v>
      </c>
      <c r="C38" s="242"/>
      <c r="H38" s="242"/>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1" t="s">
        <v>1221</v>
      </c>
      <c r="C39" s="242"/>
      <c r="H39" s="242"/>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1" t="s">
        <v>299</v>
      </c>
      <c r="C40" s="242"/>
      <c r="H40" s="242"/>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1" t="s">
        <v>300</v>
      </c>
      <c r="C41" s="242"/>
      <c r="H41" s="242"/>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1" t="s">
        <v>458</v>
      </c>
      <c r="C42" s="242"/>
      <c r="H42" s="242"/>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1" t="s">
        <v>1221</v>
      </c>
      <c r="C43" s="242"/>
      <c r="H43" s="242"/>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1222</v>
      </c>
      <c r="D46" s="220" t="s">
        <v>372</v>
      </c>
      <c r="E46" s="220" t="s">
        <v>224</v>
      </c>
      <c r="F46" s="220" t="s">
        <v>225</v>
      </c>
      <c r="G46" s="220" t="s">
        <v>226</v>
      </c>
      <c r="H46" s="220" t="s">
        <v>227</v>
      </c>
      <c r="I46" s="220" t="s">
        <v>228</v>
      </c>
      <c r="J46" s="220" t="s">
        <v>229</v>
      </c>
      <c r="K46" s="220" t="s">
        <v>230</v>
      </c>
      <c r="L46" s="220" t="s">
        <v>231</v>
      </c>
      <c r="M46" s="220" t="s">
        <v>232</v>
      </c>
      <c r="N46" s="220" t="s">
        <v>233</v>
      </c>
      <c r="O46" s="220" t="s">
        <v>234</v>
      </c>
      <c r="P46" s="220" t="s">
        <v>235</v>
      </c>
      <c r="Q46" s="220" t="s">
        <v>219</v>
      </c>
      <c r="R46" s="220" t="s">
        <v>220</v>
      </c>
      <c r="S46" s="220" t="s">
        <v>221</v>
      </c>
      <c r="T46" s="220" t="s">
        <v>1210</v>
      </c>
      <c r="U46" s="220" t="s">
        <v>1211</v>
      </c>
      <c r="V46" s="220" t="s">
        <v>1212</v>
      </c>
    </row>
    <row r="47" spans="1:23" x14ac:dyDescent="0.35">
      <c r="B47" s="241"/>
      <c r="C47" s="242" t="s">
        <v>437</v>
      </c>
      <c r="D47" s="247">
        <f t="shared" ref="D47:U47" si="42">SUM(D48:D66)</f>
        <v>0</v>
      </c>
      <c r="E47" s="247">
        <f t="shared" si="42"/>
        <v>0</v>
      </c>
      <c r="F47" s="247">
        <f t="shared" si="42"/>
        <v>34.620851999999999</v>
      </c>
      <c r="G47" s="247">
        <f t="shared" si="42"/>
        <v>45.996274799999995</v>
      </c>
      <c r="H47" s="247">
        <f t="shared" si="42"/>
        <v>59.350031999999992</v>
      </c>
      <c r="I47" s="247">
        <f t="shared" si="42"/>
        <v>64.295867999999999</v>
      </c>
      <c r="J47" s="247">
        <f t="shared" si="42"/>
        <v>72.538927999999999</v>
      </c>
      <c r="K47" s="247">
        <f t="shared" si="42"/>
        <v>80.122543199999996</v>
      </c>
      <c r="L47" s="247">
        <f t="shared" si="42"/>
        <v>98.916719999999998</v>
      </c>
      <c r="M47" s="247">
        <f t="shared" si="42"/>
        <v>102.213944</v>
      </c>
      <c r="N47" s="247">
        <f t="shared" si="42"/>
        <v>102.213944</v>
      </c>
      <c r="O47" s="247">
        <f t="shared" si="42"/>
        <v>102.213944</v>
      </c>
      <c r="P47" s="247">
        <f t="shared" si="42"/>
        <v>98.916719999999998</v>
      </c>
      <c r="Q47" s="247">
        <f t="shared" si="42"/>
        <v>98.916719999999998</v>
      </c>
      <c r="R47" s="247">
        <f t="shared" si="42"/>
        <v>99.081581199999988</v>
      </c>
      <c r="S47" s="247">
        <f t="shared" si="42"/>
        <v>93.146578000000005</v>
      </c>
      <c r="T47" s="247">
        <f t="shared" si="42"/>
        <v>86.552129999999991</v>
      </c>
      <c r="U47" s="247">
        <f t="shared" si="42"/>
        <v>86.552129999999991</v>
      </c>
      <c r="V47" s="247">
        <f>SUM(V48:V66)</f>
        <v>82.265738799999994</v>
      </c>
      <c r="W47" s="45">
        <f>SUM(G47:V47)/4</f>
        <v>343.32344900000004</v>
      </c>
    </row>
    <row r="48" spans="1:23" x14ac:dyDescent="0.35">
      <c r="A48" s="45">
        <v>2021</v>
      </c>
      <c r="B48" s="241" t="s">
        <v>1220</v>
      </c>
      <c r="C48" s="242"/>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1" t="s">
        <v>458</v>
      </c>
      <c r="C49" s="242"/>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1" t="s">
        <v>1221</v>
      </c>
      <c r="C50" s="242"/>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1" t="s">
        <v>299</v>
      </c>
      <c r="C51" s="242"/>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1" t="s">
        <v>300</v>
      </c>
      <c r="C52" s="242"/>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1" t="s">
        <v>458</v>
      </c>
      <c r="C53" s="242"/>
      <c r="H53" s="242"/>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1" t="s">
        <v>1221</v>
      </c>
      <c r="C54" s="242"/>
      <c r="H54" s="242"/>
    </row>
    <row r="55" spans="1:22" x14ac:dyDescent="0.35">
      <c r="A55" s="45">
        <v>2023</v>
      </c>
      <c r="B55" s="241" t="s">
        <v>299</v>
      </c>
      <c r="C55" s="242"/>
      <c r="H55" s="242"/>
    </row>
    <row r="56" spans="1:22" x14ac:dyDescent="0.35">
      <c r="B56" s="241" t="s">
        <v>300</v>
      </c>
      <c r="C56" s="242"/>
      <c r="H56" s="242"/>
    </row>
    <row r="57" spans="1:22" x14ac:dyDescent="0.35">
      <c r="B57" s="241" t="s">
        <v>458</v>
      </c>
      <c r="C57" s="242"/>
      <c r="H57" s="242"/>
    </row>
    <row r="58" spans="1:22" x14ac:dyDescent="0.35">
      <c r="B58" s="241" t="s">
        <v>1221</v>
      </c>
      <c r="C58" s="242"/>
      <c r="H58" s="242"/>
    </row>
    <row r="59" spans="1:22" x14ac:dyDescent="0.35">
      <c r="A59" s="45">
        <v>2024</v>
      </c>
      <c r="B59" s="241" t="s">
        <v>299</v>
      </c>
      <c r="C59" s="242"/>
      <c r="H59" s="242"/>
    </row>
    <row r="60" spans="1:22" x14ac:dyDescent="0.35">
      <c r="B60" s="241" t="s">
        <v>300</v>
      </c>
      <c r="C60" s="242"/>
      <c r="H60" s="242"/>
    </row>
    <row r="61" spans="1:22" x14ac:dyDescent="0.35">
      <c r="B61" s="241" t="s">
        <v>458</v>
      </c>
      <c r="C61" s="242"/>
      <c r="H61" s="242"/>
    </row>
    <row r="62" spans="1:22" x14ac:dyDescent="0.35">
      <c r="B62" s="241" t="s">
        <v>1221</v>
      </c>
      <c r="C62" s="242"/>
      <c r="H62" s="242"/>
    </row>
    <row r="63" spans="1:22" x14ac:dyDescent="0.35">
      <c r="B63" s="241"/>
      <c r="C63" s="242"/>
      <c r="H63" s="242"/>
    </row>
    <row r="64" spans="1:22" x14ac:dyDescent="0.35">
      <c r="B64" s="241"/>
      <c r="C64" s="242"/>
      <c r="H64" s="242"/>
    </row>
    <row r="65" spans="2:24" x14ac:dyDescent="0.35">
      <c r="B65" s="241"/>
      <c r="C65" s="242"/>
      <c r="H65" s="242"/>
    </row>
    <row r="66" spans="2:24" x14ac:dyDescent="0.35">
      <c r="B66" s="241"/>
      <c r="C66" s="242"/>
      <c r="H66" s="242"/>
    </row>
    <row r="67" spans="2:24" x14ac:dyDescent="0.35">
      <c r="B67" s="241"/>
      <c r="C67" s="242"/>
      <c r="H67" s="242"/>
    </row>
    <row r="68" spans="2:24" x14ac:dyDescent="0.35">
      <c r="B68" s="241"/>
      <c r="C68" s="242"/>
      <c r="H68" s="242"/>
    </row>
    <row r="69" spans="2:24" x14ac:dyDescent="0.35">
      <c r="B69" s="241"/>
      <c r="C69" s="242"/>
      <c r="H69" s="242"/>
    </row>
    <row r="70" spans="2:24" x14ac:dyDescent="0.35">
      <c r="B70" s="241"/>
      <c r="C70" s="242"/>
      <c r="H70" s="242"/>
    </row>
    <row r="71" spans="2:24" x14ac:dyDescent="0.35">
      <c r="B71" s="241"/>
      <c r="C71" s="242"/>
      <c r="H71" s="242"/>
    </row>
    <row r="72" spans="2:24" x14ac:dyDescent="0.35">
      <c r="B72" s="241"/>
      <c r="C72" s="242"/>
      <c r="H72" s="242"/>
    </row>
    <row r="73" spans="2:24" x14ac:dyDescent="0.35">
      <c r="B73" s="241" t="s">
        <v>1223</v>
      </c>
      <c r="C73" s="239">
        <v>2021</v>
      </c>
      <c r="D73" s="239">
        <v>2022</v>
      </c>
      <c r="E73" s="239">
        <v>2023</v>
      </c>
      <c r="F73" s="239">
        <v>2024</v>
      </c>
      <c r="G73" s="239">
        <v>2025</v>
      </c>
      <c r="H73" s="242"/>
    </row>
    <row r="74" spans="2:24" x14ac:dyDescent="0.35">
      <c r="B74" s="241" t="s">
        <v>1120</v>
      </c>
      <c r="C74" s="248">
        <f t="shared" ref="C74:C85" si="43">SUM(C4:E4)/4</f>
        <v>0.77600000000001046</v>
      </c>
      <c r="D74" s="248">
        <f t="shared" ref="D74:D85" si="44">SUM(F4:I4)/4</f>
        <v>19.719000000000005</v>
      </c>
      <c r="E74" s="248">
        <f t="shared" ref="E74:E85" si="45">SUM(J4:M4)/4</f>
        <v>1.4159999999999999</v>
      </c>
      <c r="F74" s="248">
        <f t="shared" ref="F74:F85" si="46">SUM(N4:Q4)/4</f>
        <v>1.4790000000000001</v>
      </c>
      <c r="G74" s="248">
        <f t="shared" ref="G74:G85" si="47">SUM(R4:U4)/4</f>
        <v>1.63</v>
      </c>
    </row>
    <row r="75" spans="2:24" x14ac:dyDescent="0.35">
      <c r="B75" s="241" t="s">
        <v>1121</v>
      </c>
      <c r="C75" s="248">
        <f t="shared" si="43"/>
        <v>47.722000000000023</v>
      </c>
      <c r="D75" s="248">
        <f t="shared" si="44"/>
        <v>52.756999999999998</v>
      </c>
      <c r="E75" s="248">
        <f t="shared" si="45"/>
        <v>12</v>
      </c>
      <c r="F75" s="248">
        <f t="shared" si="46"/>
        <v>4.2219999999999995</v>
      </c>
      <c r="G75" s="248">
        <f t="shared" si="47"/>
        <v>2.3719999999999999</v>
      </c>
      <c r="H75" s="242"/>
    </row>
    <row r="76" spans="2:24" x14ac:dyDescent="0.35">
      <c r="B76" s="241" t="s">
        <v>73</v>
      </c>
      <c r="C76" s="248">
        <f t="shared" si="43"/>
        <v>81.643000000000001</v>
      </c>
      <c r="D76" s="248">
        <f t="shared" si="44"/>
        <v>110.24799999999999</v>
      </c>
      <c r="E76" s="248">
        <f t="shared" si="45"/>
        <v>12.726000000000001</v>
      </c>
      <c r="F76" s="248">
        <f t="shared" si="46"/>
        <v>1.365</v>
      </c>
      <c r="G76" s="248">
        <f t="shared" si="47"/>
        <v>-0.90100000000000025</v>
      </c>
      <c r="H76" s="242"/>
      <c r="O76" s="241"/>
      <c r="P76" s="241"/>
      <c r="Q76" s="241"/>
      <c r="R76" s="241"/>
      <c r="S76" s="249"/>
      <c r="T76" s="249"/>
      <c r="U76" s="249"/>
      <c r="V76" s="1"/>
      <c r="W76" s="241"/>
      <c r="X76" s="241"/>
    </row>
    <row r="77" spans="2:24" x14ac:dyDescent="0.35">
      <c r="B77" s="241" t="s">
        <v>174</v>
      </c>
      <c r="C77" s="248">
        <f t="shared" si="43"/>
        <v>7.798</v>
      </c>
      <c r="D77" s="248">
        <f t="shared" si="44"/>
        <v>7.9489999999999998</v>
      </c>
      <c r="E77" s="248">
        <f t="shared" si="45"/>
        <v>4.7519999999999998</v>
      </c>
      <c r="F77" s="248">
        <f t="shared" si="46"/>
        <v>4.637999999999999</v>
      </c>
      <c r="G77" s="248">
        <f t="shared" si="47"/>
        <v>1.8800000000000001</v>
      </c>
      <c r="H77" s="242"/>
    </row>
    <row r="78" spans="2:24" x14ac:dyDescent="0.35">
      <c r="B78" s="244" t="s">
        <v>480</v>
      </c>
      <c r="C78" s="248">
        <f t="shared" si="43"/>
        <v>247.29179999999997</v>
      </c>
      <c r="D78" s="248">
        <f t="shared" si="44"/>
        <v>164.8612</v>
      </c>
      <c r="E78" s="248">
        <f t="shared" si="45"/>
        <v>0</v>
      </c>
      <c r="F78" s="248">
        <f t="shared" si="46"/>
        <v>0</v>
      </c>
      <c r="G78" s="248">
        <f t="shared" si="47"/>
        <v>0</v>
      </c>
      <c r="H78" s="242"/>
      <c r="R78" s="3"/>
      <c r="S78" s="3"/>
    </row>
    <row r="79" spans="2:24" x14ac:dyDescent="0.35">
      <c r="B79" s="244" t="s">
        <v>193</v>
      </c>
      <c r="C79" s="248">
        <f t="shared" si="43"/>
        <v>12.347</v>
      </c>
      <c r="D79" s="248">
        <f t="shared" si="44"/>
        <v>46.79</v>
      </c>
      <c r="E79" s="248">
        <f t="shared" si="45"/>
        <v>38.595999999999997</v>
      </c>
      <c r="F79" s="248">
        <f t="shared" si="46"/>
        <v>31.911000000000001</v>
      </c>
      <c r="G79" s="248">
        <f t="shared" si="47"/>
        <v>23.099</v>
      </c>
      <c r="H79" s="242"/>
      <c r="R79" s="3"/>
      <c r="S79" s="3"/>
    </row>
    <row r="80" spans="2:24" x14ac:dyDescent="0.35">
      <c r="B80" s="244" t="s">
        <v>496</v>
      </c>
      <c r="C80" s="248">
        <f t="shared" si="43"/>
        <v>29.628</v>
      </c>
      <c r="D80" s="248">
        <f t="shared" si="44"/>
        <v>35.671000000000006</v>
      </c>
      <c r="E80" s="248">
        <f t="shared" si="45"/>
        <v>24.216000000000001</v>
      </c>
      <c r="F80" s="248">
        <f t="shared" si="46"/>
        <v>9.6430000000000007</v>
      </c>
      <c r="G80" s="248">
        <f t="shared" si="47"/>
        <v>4.5789999999999997</v>
      </c>
      <c r="H80" s="242"/>
      <c r="R80" s="3"/>
      <c r="S80" s="3"/>
    </row>
    <row r="81" spans="2:19" x14ac:dyDescent="0.35">
      <c r="B81" s="1" t="s">
        <v>202</v>
      </c>
      <c r="C81" s="248">
        <f t="shared" si="43"/>
        <v>25.75</v>
      </c>
      <c r="D81" s="248">
        <f t="shared" si="44"/>
        <v>0</v>
      </c>
      <c r="E81" s="248">
        <f t="shared" si="45"/>
        <v>0</v>
      </c>
      <c r="F81" s="248">
        <f t="shared" si="46"/>
        <v>0</v>
      </c>
      <c r="G81" s="248">
        <f t="shared" si="47"/>
        <v>0</v>
      </c>
      <c r="H81" s="242"/>
      <c r="R81" s="3"/>
      <c r="S81" s="3"/>
    </row>
    <row r="82" spans="2:19" x14ac:dyDescent="0.35">
      <c r="B82" s="241" t="s">
        <v>152</v>
      </c>
      <c r="C82" s="248">
        <f t="shared" si="43"/>
        <v>31.939</v>
      </c>
      <c r="D82" s="248">
        <f t="shared" si="44"/>
        <v>56.413000000000004</v>
      </c>
      <c r="E82" s="248">
        <f t="shared" si="45"/>
        <v>15.652999999999999</v>
      </c>
      <c r="F82" s="248">
        <f t="shared" si="46"/>
        <v>3.9320000000000004</v>
      </c>
      <c r="G82" s="248">
        <f t="shared" si="47"/>
        <v>-0.74299999999999988</v>
      </c>
      <c r="R82" s="3"/>
      <c r="S82" s="3"/>
    </row>
    <row r="83" spans="2:19" x14ac:dyDescent="0.35">
      <c r="B83" s="45" t="s">
        <v>1214</v>
      </c>
      <c r="C83" s="248">
        <f t="shared" si="43"/>
        <v>1.02</v>
      </c>
      <c r="D83" s="248">
        <f t="shared" si="44"/>
        <v>1.5299999999999998</v>
      </c>
      <c r="E83" s="248">
        <f t="shared" si="45"/>
        <v>0</v>
      </c>
      <c r="F83" s="248">
        <f t="shared" si="46"/>
        <v>0</v>
      </c>
      <c r="G83" s="248">
        <f t="shared" si="47"/>
        <v>0</v>
      </c>
      <c r="R83" s="3"/>
      <c r="S83" s="3"/>
    </row>
    <row r="84" spans="2:19" x14ac:dyDescent="0.35">
      <c r="B84" s="45" t="s">
        <v>1215</v>
      </c>
      <c r="C84" s="248">
        <f t="shared" si="43"/>
        <v>0.68</v>
      </c>
      <c r="D84" s="248">
        <f t="shared" si="44"/>
        <v>1.02</v>
      </c>
      <c r="E84" s="248">
        <f t="shared" si="45"/>
        <v>0</v>
      </c>
      <c r="F84" s="248">
        <f t="shared" si="46"/>
        <v>0</v>
      </c>
      <c r="G84" s="248">
        <f t="shared" si="47"/>
        <v>0</v>
      </c>
      <c r="R84" s="3"/>
      <c r="S84" s="3"/>
    </row>
    <row r="85" spans="2:19" x14ac:dyDescent="0.35">
      <c r="B85" s="45" t="s">
        <v>645</v>
      </c>
      <c r="C85" s="248">
        <f t="shared" si="43"/>
        <v>1.7</v>
      </c>
      <c r="D85" s="248">
        <f t="shared" si="44"/>
        <v>2.5499999999999998</v>
      </c>
      <c r="E85" s="248">
        <f t="shared" si="45"/>
        <v>0</v>
      </c>
      <c r="F85" s="248">
        <f t="shared" si="46"/>
        <v>0</v>
      </c>
      <c r="G85" s="248">
        <f t="shared" si="47"/>
        <v>0</v>
      </c>
      <c r="R85" s="3"/>
      <c r="S85" s="3"/>
    </row>
    <row r="86" spans="2:19" x14ac:dyDescent="0.35">
      <c r="C86" s="239">
        <v>2021</v>
      </c>
      <c r="D86" s="239">
        <v>2022</v>
      </c>
      <c r="E86" s="239">
        <v>2023</v>
      </c>
      <c r="F86" s="239">
        <v>2024</v>
      </c>
      <c r="G86" s="239">
        <v>2025</v>
      </c>
      <c r="R86" s="3"/>
      <c r="S86" s="3"/>
    </row>
    <row r="87" spans="2:19" x14ac:dyDescent="0.35">
      <c r="B87" s="45" t="s">
        <v>1224</v>
      </c>
      <c r="C87" s="247">
        <f>SUM(C83:C85)</f>
        <v>3.4000000000000004</v>
      </c>
      <c r="D87" s="247">
        <f t="shared" ref="D87:G87" si="48">SUM(D83:D85)</f>
        <v>5.0999999999999996</v>
      </c>
      <c r="E87" s="247">
        <f t="shared" si="48"/>
        <v>0</v>
      </c>
      <c r="F87" s="247">
        <f t="shared" si="48"/>
        <v>0</v>
      </c>
      <c r="G87" s="247">
        <f t="shared" si="48"/>
        <v>0</v>
      </c>
      <c r="R87" s="3"/>
      <c r="S87" s="3"/>
    </row>
    <row r="90" spans="2:19" x14ac:dyDescent="0.35">
      <c r="B90" s="45" t="s">
        <v>1120</v>
      </c>
      <c r="C90" s="248">
        <v>26.636000000000024</v>
      </c>
      <c r="D90" s="248">
        <v>98.978999999999999</v>
      </c>
      <c r="E90" s="248">
        <v>2.1159999999999997</v>
      </c>
      <c r="F90" s="248">
        <v>2.1789999999999998</v>
      </c>
      <c r="G90" s="248">
        <v>2.33</v>
      </c>
      <c r="H90" s="248"/>
      <c r="I90" s="248"/>
      <c r="J90" s="248"/>
      <c r="K90" s="248"/>
      <c r="L90" s="248"/>
      <c r="M90" s="248"/>
    </row>
    <row r="91" spans="2:19" x14ac:dyDescent="0.35">
      <c r="B91" s="45" t="s">
        <v>1121</v>
      </c>
      <c r="C91" s="248">
        <v>47.722000000000016</v>
      </c>
      <c r="D91" s="248">
        <v>52.756999999999998</v>
      </c>
      <c r="E91" s="248">
        <v>12</v>
      </c>
      <c r="F91" s="248">
        <v>4.2219999999999995</v>
      </c>
      <c r="G91" s="248">
        <v>2.3719999999999999</v>
      </c>
      <c r="H91" s="248"/>
      <c r="I91" s="248"/>
      <c r="J91" s="248"/>
      <c r="K91" s="248"/>
      <c r="L91" s="248"/>
      <c r="M91" s="248"/>
    </row>
    <row r="92" spans="2:19" x14ac:dyDescent="0.35">
      <c r="B92" s="45" t="s">
        <v>73</v>
      </c>
      <c r="C92" s="248">
        <v>81.842999999999989</v>
      </c>
      <c r="D92" s="248">
        <v>110.24799999999999</v>
      </c>
      <c r="E92" s="248">
        <v>12.726000000000001</v>
      </c>
      <c r="F92" s="248">
        <v>1.365</v>
      </c>
      <c r="G92" s="248">
        <v>-0.90100000000000025</v>
      </c>
      <c r="H92" s="248"/>
      <c r="I92" s="248"/>
      <c r="J92" s="248"/>
      <c r="K92" s="248"/>
      <c r="L92" s="248"/>
      <c r="M92" s="248"/>
    </row>
    <row r="93" spans="2:19" x14ac:dyDescent="0.35">
      <c r="B93" s="45" t="s">
        <v>174</v>
      </c>
      <c r="C93" s="248">
        <v>7.798</v>
      </c>
      <c r="D93" s="248">
        <v>7.9489999999999998</v>
      </c>
      <c r="E93" s="248">
        <v>4.7519999999999998</v>
      </c>
      <c r="F93" s="248">
        <v>4.637999999999999</v>
      </c>
      <c r="G93" s="248">
        <v>1.8800000000000001</v>
      </c>
      <c r="H93" s="248"/>
      <c r="I93" s="248"/>
      <c r="J93" s="248"/>
      <c r="K93" s="248"/>
      <c r="L93" s="248"/>
      <c r="M93" s="248"/>
    </row>
    <row r="94" spans="2:19" x14ac:dyDescent="0.35">
      <c r="B94" s="45" t="s">
        <v>480</v>
      </c>
      <c r="C94" s="248">
        <v>283.95749999999998</v>
      </c>
      <c r="D94" s="248">
        <v>77.092500000000001</v>
      </c>
      <c r="E94" s="248">
        <v>1</v>
      </c>
      <c r="F94" s="248">
        <v>0</v>
      </c>
      <c r="G94" s="248">
        <v>0</v>
      </c>
      <c r="H94" s="248"/>
      <c r="I94" s="248"/>
      <c r="J94" s="248"/>
      <c r="K94" s="248"/>
      <c r="L94" s="248"/>
      <c r="M94" s="248"/>
    </row>
    <row r="95" spans="2:19" x14ac:dyDescent="0.35">
      <c r="B95" s="45" t="s">
        <v>193</v>
      </c>
      <c r="C95" s="248">
        <v>12.347</v>
      </c>
      <c r="D95" s="248">
        <v>46.79</v>
      </c>
      <c r="E95" s="248">
        <v>38.595999999999997</v>
      </c>
      <c r="F95" s="248">
        <v>31.911000000000001</v>
      </c>
      <c r="G95" s="248">
        <v>23.099</v>
      </c>
      <c r="H95" s="248"/>
      <c r="I95" s="248"/>
      <c r="J95" s="248"/>
      <c r="K95" s="248"/>
      <c r="L95" s="248"/>
      <c r="M95" s="248"/>
    </row>
    <row r="96" spans="2:19" x14ac:dyDescent="0.35">
      <c r="B96" s="45" t="s">
        <v>496</v>
      </c>
      <c r="C96" s="248">
        <v>2.286</v>
      </c>
      <c r="D96" s="248">
        <v>4.6049999999999995</v>
      </c>
      <c r="E96" s="248">
        <v>1.349</v>
      </c>
      <c r="F96" s="248">
        <v>0.441</v>
      </c>
      <c r="G96" s="248">
        <v>0.313</v>
      </c>
      <c r="H96" s="248"/>
      <c r="I96" s="248"/>
      <c r="J96" s="248"/>
      <c r="K96" s="248"/>
      <c r="L96" s="248"/>
      <c r="M96" s="248"/>
    </row>
    <row r="97" spans="2:13" x14ac:dyDescent="0.35">
      <c r="B97" s="45" t="s">
        <v>202</v>
      </c>
      <c r="C97" s="248">
        <v>25.75</v>
      </c>
      <c r="D97" s="248">
        <v>0</v>
      </c>
      <c r="E97" s="248">
        <v>0</v>
      </c>
      <c r="F97" s="248">
        <v>0</v>
      </c>
      <c r="G97" s="248">
        <v>0</v>
      </c>
      <c r="H97" s="248"/>
      <c r="I97" s="248"/>
      <c r="J97" s="248"/>
      <c r="K97" s="248"/>
      <c r="L97" s="248"/>
      <c r="M97" s="248"/>
    </row>
    <row r="98" spans="2:13" x14ac:dyDescent="0.35">
      <c r="B98" s="45" t="s">
        <v>152</v>
      </c>
      <c r="C98" s="248">
        <v>60.441000000000003</v>
      </c>
      <c r="D98" s="248">
        <v>91.678999999999988</v>
      </c>
      <c r="E98" s="248">
        <v>41.220000000000006</v>
      </c>
      <c r="F98" s="248">
        <v>14.004000000000003</v>
      </c>
      <c r="G98" s="248">
        <v>3.8530000000000006</v>
      </c>
      <c r="H98" s="248"/>
      <c r="I98" s="248"/>
      <c r="J98" s="248"/>
      <c r="K98" s="248"/>
      <c r="L98" s="248"/>
      <c r="M98" s="248"/>
    </row>
    <row r="99" spans="2:13" x14ac:dyDescent="0.35">
      <c r="C99" s="239">
        <v>3.4</v>
      </c>
      <c r="D99" s="239">
        <v>5.0999999999999996</v>
      </c>
      <c r="E99" s="239">
        <v>0</v>
      </c>
      <c r="F99" s="23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925</v>
      </c>
      <c r="C1" s="45" t="s">
        <v>926</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7">
        <v>112.989</v>
      </c>
      <c r="C2" s="187">
        <v>113.38</v>
      </c>
      <c r="D2" s="187">
        <v>112.86</v>
      </c>
      <c r="E2" s="187">
        <v>113.83799999999999</v>
      </c>
      <c r="F2" s="187">
        <v>114.41500000000001</v>
      </c>
      <c r="G2" s="187">
        <v>115.613</v>
      </c>
      <c r="H2" s="187">
        <v>116.079929684229</v>
      </c>
      <c r="I2" s="187">
        <v>116.665860886253</v>
      </c>
      <c r="J2" s="187">
        <v>117.173130068039</v>
      </c>
      <c r="K2" s="187">
        <v>117.776205556525</v>
      </c>
      <c r="L2" s="187">
        <v>118.328856673063</v>
      </c>
      <c r="M2" s="187">
        <v>118.891592663992</v>
      </c>
      <c r="N2" s="187">
        <v>119.478532353454</v>
      </c>
      <c r="O2" s="187">
        <v>120.061438093161</v>
      </c>
      <c r="P2" s="187">
        <v>120.658462657013</v>
      </c>
      <c r="Q2" s="187">
        <v>121.265572095255</v>
      </c>
      <c r="R2" s="187">
        <v>121.88982581995801</v>
      </c>
      <c r="S2" s="187">
        <v>122.528198368807</v>
      </c>
      <c r="T2" s="187">
        <v>123.170604867411</v>
      </c>
      <c r="U2" s="187">
        <v>123.820070778088</v>
      </c>
      <c r="V2" s="187">
        <v>124.47558761339801</v>
      </c>
      <c r="W2" s="187">
        <v>125.131104448709</v>
      </c>
    </row>
    <row r="3" spans="1:23" x14ac:dyDescent="0.35">
      <c r="A3" s="45" t="s">
        <v>212</v>
      </c>
      <c r="B3" s="190">
        <v>3.4368838919380802E-3</v>
      </c>
      <c r="C3" s="190">
        <v>3.4605138553309698E-3</v>
      </c>
      <c r="D3" s="190">
        <v>-4.5863467983771099E-3</v>
      </c>
      <c r="E3" s="190">
        <v>8.6656034024454893E-3</v>
      </c>
      <c r="F3" s="190">
        <v>5.0686062650433499E-3</v>
      </c>
      <c r="G3" s="190">
        <v>1.04706550714504E-2</v>
      </c>
      <c r="H3" s="190">
        <v>4.0387299371946704E-3</v>
      </c>
      <c r="I3" s="190">
        <v>5.0476529716862997E-3</v>
      </c>
      <c r="J3" s="190">
        <v>4.3480515888107999E-3</v>
      </c>
      <c r="K3" s="190">
        <v>5.1468752958592203E-3</v>
      </c>
      <c r="L3" s="190">
        <v>4.6923834396541703E-3</v>
      </c>
      <c r="M3" s="190">
        <v>4.7556953286800301E-3</v>
      </c>
      <c r="N3" s="190">
        <v>4.9367636206325604E-3</v>
      </c>
      <c r="O3" s="190">
        <v>4.8787487444397204E-3</v>
      </c>
      <c r="P3" s="190">
        <v>4.97265877649067E-3</v>
      </c>
      <c r="Q3" s="190">
        <v>5.03163578312149E-3</v>
      </c>
      <c r="R3" s="190">
        <v>5.1478231943116199E-3</v>
      </c>
      <c r="S3" s="190">
        <v>5.23729150119134E-3</v>
      </c>
      <c r="T3" s="190">
        <v>5.2429278089169999E-3</v>
      </c>
      <c r="U3" s="190">
        <v>5.2728969820035098E-3</v>
      </c>
      <c r="V3" s="190">
        <v>5.2941080649626703E-3</v>
      </c>
      <c r="W3" s="190">
        <v>5.26622808438937E-3</v>
      </c>
    </row>
    <row r="4" spans="1:23" x14ac:dyDescent="0.35">
      <c r="A4" s="45" t="s">
        <v>139</v>
      </c>
      <c r="B4" s="187">
        <v>110.529</v>
      </c>
      <c r="C4" s="187">
        <v>110.88200000000001</v>
      </c>
      <c r="D4" s="187">
        <v>110.435</v>
      </c>
      <c r="E4" s="187">
        <v>111.431</v>
      </c>
      <c r="F4" s="187">
        <v>111.83499999999999</v>
      </c>
      <c r="G4" s="187">
        <v>112.864</v>
      </c>
      <c r="H4" s="187">
        <v>113.331748734778</v>
      </c>
      <c r="I4" s="187">
        <v>113.915555194576</v>
      </c>
      <c r="J4" s="187">
        <v>114.364746923467</v>
      </c>
      <c r="K4" s="187">
        <v>114.924235646865</v>
      </c>
      <c r="L4" s="187">
        <v>115.440791354819</v>
      </c>
      <c r="M4" s="187">
        <v>115.96851279450701</v>
      </c>
      <c r="N4" s="187">
        <v>116.52210368492899</v>
      </c>
      <c r="O4" s="187">
        <v>117.071115307263</v>
      </c>
      <c r="P4" s="187">
        <v>117.63129076657199</v>
      </c>
      <c r="Q4" s="187">
        <v>118.20059915499699</v>
      </c>
      <c r="R4" s="187">
        <v>118.776332952822</v>
      </c>
      <c r="S4" s="187">
        <v>119.374397493133</v>
      </c>
      <c r="T4" s="187">
        <v>119.981640842685</v>
      </c>
      <c r="U4" s="187">
        <v>120.594864779056</v>
      </c>
      <c r="V4" s="187">
        <v>121.219127553946</v>
      </c>
      <c r="W4" s="187">
        <v>121.837226137653</v>
      </c>
    </row>
    <row r="5" spans="1:23" x14ac:dyDescent="0.35">
      <c r="A5" s="45" t="s">
        <v>213</v>
      </c>
      <c r="B5" s="190">
        <v>3.82351872706788E-3</v>
      </c>
      <c r="C5" s="190">
        <v>3.1937319617476598E-3</v>
      </c>
      <c r="D5" s="190">
        <v>-4.0313125665121198E-3</v>
      </c>
      <c r="E5" s="190">
        <v>9.0188798840946695E-3</v>
      </c>
      <c r="F5" s="190">
        <v>3.6255620069818302E-3</v>
      </c>
      <c r="G5" s="190">
        <v>9.2010551258552304E-3</v>
      </c>
      <c r="H5" s="190">
        <v>4.1443572332882104E-3</v>
      </c>
      <c r="I5" s="190">
        <v>5.1513054930816303E-3</v>
      </c>
      <c r="J5" s="190">
        <v>3.9431992244038901E-3</v>
      </c>
      <c r="K5" s="190">
        <v>4.8921432386195302E-3</v>
      </c>
      <c r="L5" s="190">
        <v>4.49474999808697E-3</v>
      </c>
      <c r="M5" s="190">
        <v>4.5713602054786601E-3</v>
      </c>
      <c r="N5" s="190">
        <v>4.7736310234707301E-3</v>
      </c>
      <c r="O5" s="190">
        <v>4.7116521670327299E-3</v>
      </c>
      <c r="P5" s="190">
        <v>4.7849160558435201E-3</v>
      </c>
      <c r="Q5" s="190">
        <v>4.8397699686470999E-3</v>
      </c>
      <c r="R5" s="190">
        <v>4.87081962308911E-3</v>
      </c>
      <c r="S5" s="190">
        <v>5.0352164058453698E-3</v>
      </c>
      <c r="T5" s="190">
        <v>5.0868809585997701E-3</v>
      </c>
      <c r="U5" s="190">
        <v>5.11098141402422E-3</v>
      </c>
      <c r="V5" s="190">
        <v>5.1765286692269097E-3</v>
      </c>
      <c r="W5" s="190">
        <v>5.0990185804744596E-3</v>
      </c>
    </row>
    <row r="6" spans="1:23" x14ac:dyDescent="0.35">
      <c r="A6" s="45" t="s">
        <v>140</v>
      </c>
      <c r="B6" s="187">
        <v>111.28100000000001</v>
      </c>
      <c r="C6" s="187">
        <v>111.205</v>
      </c>
      <c r="D6" s="187">
        <v>110.901</v>
      </c>
      <c r="E6" s="187">
        <v>111.373</v>
      </c>
      <c r="F6" s="187">
        <v>112.102</v>
      </c>
      <c r="G6" s="187">
        <v>113.15</v>
      </c>
      <c r="H6" s="187">
        <v>113.740871678471</v>
      </c>
      <c r="I6" s="187">
        <v>114.281152336175</v>
      </c>
      <c r="J6" s="187">
        <v>114.807363360671</v>
      </c>
      <c r="K6" s="187">
        <v>115.391332330529</v>
      </c>
      <c r="L6" s="187">
        <v>115.906636484177</v>
      </c>
      <c r="M6" s="187">
        <v>116.47813120061301</v>
      </c>
      <c r="N6" s="187">
        <v>117.06948406540501</v>
      </c>
      <c r="O6" s="187">
        <v>117.660979705042</v>
      </c>
      <c r="P6" s="187">
        <v>118.263437866774</v>
      </c>
      <c r="Q6" s="187">
        <v>118.87469011020799</v>
      </c>
      <c r="R6" s="187">
        <v>119.499263080446</v>
      </c>
      <c r="S6" s="187">
        <v>120.12606865428199</v>
      </c>
      <c r="T6" s="187">
        <v>120.750798876066</v>
      </c>
      <c r="U6" s="187">
        <v>121.383984751452</v>
      </c>
      <c r="V6" s="187">
        <v>122.03331038248599</v>
      </c>
      <c r="W6" s="187">
        <v>122.676475823877</v>
      </c>
    </row>
    <row r="7" spans="1:23" x14ac:dyDescent="0.35">
      <c r="A7" s="45" t="s">
        <v>214</v>
      </c>
      <c r="B7" s="190">
        <v>3.24555314142505E-3</v>
      </c>
      <c r="C7" s="190">
        <v>-6.8295576064203401E-4</v>
      </c>
      <c r="D7" s="190">
        <v>-2.7336900319230302E-3</v>
      </c>
      <c r="E7" s="190">
        <v>4.2560481871218902E-3</v>
      </c>
      <c r="F7" s="190">
        <v>6.5455720865918998E-3</v>
      </c>
      <c r="G7" s="190">
        <v>9.3486289272271001E-3</v>
      </c>
      <c r="H7" s="190">
        <v>5.2220210205149399E-3</v>
      </c>
      <c r="I7" s="190">
        <v>4.7501012585042801E-3</v>
      </c>
      <c r="J7" s="190">
        <v>4.6045302636466001E-3</v>
      </c>
      <c r="K7" s="190">
        <v>5.08651146376282E-3</v>
      </c>
      <c r="L7" s="190">
        <v>4.4657093669009402E-3</v>
      </c>
      <c r="M7" s="190">
        <v>4.93064706017576E-3</v>
      </c>
      <c r="N7" s="190">
        <v>5.07694327421948E-3</v>
      </c>
      <c r="O7" s="190">
        <v>5.0525176937379302E-3</v>
      </c>
      <c r="P7" s="190">
        <v>5.1202885038195102E-3</v>
      </c>
      <c r="Q7" s="190">
        <v>5.1685648114068198E-3</v>
      </c>
      <c r="R7" s="190">
        <v>5.2540449919040704E-3</v>
      </c>
      <c r="S7" s="190">
        <v>5.2452672734406604E-3</v>
      </c>
      <c r="T7" s="190">
        <v>5.2006215535225202E-3</v>
      </c>
      <c r="U7" s="190">
        <v>5.2437406731884496E-3</v>
      </c>
      <c r="V7" s="190">
        <v>5.3493517482039498E-3</v>
      </c>
      <c r="W7" s="190">
        <v>5.2704088693051902E-3</v>
      </c>
    </row>
    <row r="8" spans="1:23" x14ac:dyDescent="0.35">
      <c r="A8" s="45" t="s">
        <v>141</v>
      </c>
      <c r="B8" s="187">
        <v>115.81100000000001</v>
      </c>
      <c r="C8" s="187">
        <v>116.688</v>
      </c>
      <c r="D8" s="187">
        <v>115.96899999999999</v>
      </c>
      <c r="E8" s="187">
        <v>116.889</v>
      </c>
      <c r="F8" s="187">
        <v>117.727</v>
      </c>
      <c r="G8" s="187">
        <v>119.875</v>
      </c>
      <c r="H8" s="187">
        <v>120.76873975873001</v>
      </c>
      <c r="I8" s="187">
        <v>121.552279732736</v>
      </c>
      <c r="J8" s="187">
        <v>122.340256590244</v>
      </c>
      <c r="K8" s="187">
        <v>123.25721026709</v>
      </c>
      <c r="L8" s="187">
        <v>124.206114070071</v>
      </c>
      <c r="M8" s="187">
        <v>125.17969366017699</v>
      </c>
      <c r="N8" s="187">
        <v>126.18181722618</v>
      </c>
      <c r="O8" s="187">
        <v>127.184679442917</v>
      </c>
      <c r="P8" s="187">
        <v>128.20678945908199</v>
      </c>
      <c r="Q8" s="187">
        <v>129.23804458913099</v>
      </c>
      <c r="R8" s="187">
        <v>130.283856199566</v>
      </c>
      <c r="S8" s="187">
        <v>131.336805862246</v>
      </c>
      <c r="T8" s="187">
        <v>132.40388083176001</v>
      </c>
      <c r="U8" s="187">
        <v>133.47650409411</v>
      </c>
      <c r="V8" s="187">
        <v>134.564804617167</v>
      </c>
      <c r="W8" s="187">
        <v>135.654176919939</v>
      </c>
    </row>
    <row r="9" spans="1:23" x14ac:dyDescent="0.35">
      <c r="A9" s="45" t="s">
        <v>215</v>
      </c>
      <c r="B9" s="190">
        <v>4.7630615467371103E-3</v>
      </c>
      <c r="C9" s="190">
        <v>7.57268307846393E-3</v>
      </c>
      <c r="D9" s="190">
        <v>-6.1617304264364198E-3</v>
      </c>
      <c r="E9" s="190">
        <v>7.9331545499228308E-3</v>
      </c>
      <c r="F9" s="190">
        <v>7.1691947060887901E-3</v>
      </c>
      <c r="G9" s="190">
        <v>1.8245602113363901E-2</v>
      </c>
      <c r="H9" s="190">
        <v>7.4555975702150796E-3</v>
      </c>
      <c r="I9" s="190">
        <v>6.4879369907486798E-3</v>
      </c>
      <c r="J9" s="190">
        <v>6.4826168562215304E-3</v>
      </c>
      <c r="K9" s="190">
        <v>7.4951099695452798E-3</v>
      </c>
      <c r="L9" s="190">
        <v>7.6985662820430196E-3</v>
      </c>
      <c r="M9" s="190">
        <v>7.8384192066154306E-3</v>
      </c>
      <c r="N9" s="190">
        <v>8.0054802556355203E-3</v>
      </c>
      <c r="O9" s="190">
        <v>7.9477553801552397E-3</v>
      </c>
      <c r="P9" s="190">
        <v>8.0364240460568705E-3</v>
      </c>
      <c r="Q9" s="190">
        <v>8.0436857860606299E-3</v>
      </c>
      <c r="R9" s="190">
        <v>8.0921342764015396E-3</v>
      </c>
      <c r="S9" s="190">
        <v>8.0819657430741803E-3</v>
      </c>
      <c r="T9" s="190">
        <v>8.1247214937825198E-3</v>
      </c>
      <c r="U9" s="190">
        <v>8.1011467006266696E-3</v>
      </c>
      <c r="V9" s="190">
        <v>8.1534988531763997E-3</v>
      </c>
      <c r="W9" s="190">
        <v>8.0955217515532602E-3</v>
      </c>
    </row>
    <row r="10" spans="1:23" x14ac:dyDescent="0.35">
      <c r="A10" s="45" t="s">
        <v>142</v>
      </c>
      <c r="B10" s="187">
        <v>115.65</v>
      </c>
      <c r="C10" s="187">
        <v>116.628</v>
      </c>
      <c r="D10" s="187">
        <v>115.81100000000001</v>
      </c>
      <c r="E10" s="187">
        <v>116.685</v>
      </c>
      <c r="F10" s="187">
        <v>117.64700000000001</v>
      </c>
      <c r="G10" s="187">
        <v>119.90600000000001</v>
      </c>
      <c r="H10" s="187">
        <v>120.799970882254</v>
      </c>
      <c r="I10" s="187">
        <v>121.583713481823</v>
      </c>
      <c r="J10" s="187">
        <v>122.37189411228201</v>
      </c>
      <c r="K10" s="187">
        <v>123.28908491583501</v>
      </c>
      <c r="L10" s="187">
        <v>124.23823410791201</v>
      </c>
      <c r="M10" s="187">
        <v>125.21206546833901</v>
      </c>
      <c r="N10" s="187">
        <v>126.214448186213</v>
      </c>
      <c r="O10" s="187">
        <v>127.217569745839</v>
      </c>
      <c r="P10" s="187">
        <v>128.23994408242501</v>
      </c>
      <c r="Q10" s="187">
        <v>129.27146589784601</v>
      </c>
      <c r="R10" s="187">
        <v>130.31754795799901</v>
      </c>
      <c r="S10" s="187">
        <v>131.37076991631699</v>
      </c>
      <c r="T10" s="187">
        <v>132.43812083431101</v>
      </c>
      <c r="U10" s="187">
        <v>133.51102147994499</v>
      </c>
      <c r="V10" s="187">
        <v>134.599603440468</v>
      </c>
      <c r="W10" s="187">
        <v>135.68925745787101</v>
      </c>
    </row>
    <row r="11" spans="1:23" x14ac:dyDescent="0.35">
      <c r="A11" s="45" t="s">
        <v>216</v>
      </c>
      <c r="B11" s="190">
        <v>5.5909640282765204E-3</v>
      </c>
      <c r="C11" s="190">
        <v>8.4565499351492192E-3</v>
      </c>
      <c r="D11" s="190">
        <v>-7.0051788592789804E-3</v>
      </c>
      <c r="E11" s="190">
        <v>7.5467788033951599E-3</v>
      </c>
      <c r="F11" s="190">
        <v>8.2444187341990105E-3</v>
      </c>
      <c r="G11" s="190">
        <v>1.9201509600754701E-2</v>
      </c>
      <c r="H11" s="190">
        <v>7.4555975702150796E-3</v>
      </c>
      <c r="I11" s="190">
        <v>6.4879369907486798E-3</v>
      </c>
      <c r="J11" s="190">
        <v>6.4826168562215304E-3</v>
      </c>
      <c r="K11" s="190">
        <v>7.4951099695452798E-3</v>
      </c>
      <c r="L11" s="190">
        <v>7.6985662820430196E-3</v>
      </c>
      <c r="M11" s="190">
        <v>7.8384192066154306E-3</v>
      </c>
      <c r="N11" s="190">
        <v>8.0054802556355203E-3</v>
      </c>
      <c r="O11" s="190">
        <v>7.9477553801552397E-3</v>
      </c>
      <c r="P11" s="190">
        <v>8.0364240460568705E-3</v>
      </c>
      <c r="Q11" s="190">
        <v>8.0436857860606299E-3</v>
      </c>
      <c r="R11" s="190">
        <v>8.0921342764015396E-3</v>
      </c>
      <c r="S11" s="190">
        <v>8.0819657430741803E-3</v>
      </c>
      <c r="T11" s="190">
        <v>8.1247214937825198E-3</v>
      </c>
      <c r="U11" s="190">
        <v>8.1011467006266696E-3</v>
      </c>
      <c r="V11" s="190">
        <v>8.1534988531763997E-3</v>
      </c>
      <c r="W11" s="190">
        <v>8.0955217515532602E-3</v>
      </c>
    </row>
    <row r="12" spans="1:23" x14ac:dyDescent="0.35">
      <c r="A12" s="45" t="s">
        <v>143</v>
      </c>
      <c r="B12" s="187">
        <v>116.521</v>
      </c>
      <c r="C12" s="187">
        <v>116.961</v>
      </c>
      <c r="D12" s="187">
        <v>116.655</v>
      </c>
      <c r="E12" s="187">
        <v>117.77500000000001</v>
      </c>
      <c r="F12" s="187">
        <v>118.093</v>
      </c>
      <c r="G12" s="187">
        <v>119.773</v>
      </c>
      <c r="H12" s="187">
        <v>120.66597928777701</v>
      </c>
      <c r="I12" s="187">
        <v>121.448852558323</v>
      </c>
      <c r="J12" s="187">
        <v>122.236158937087</v>
      </c>
      <c r="K12" s="187">
        <v>123.152332390575</v>
      </c>
      <c r="L12" s="187">
        <v>124.100428784272</v>
      </c>
      <c r="M12" s="187">
        <v>125.073179968804</v>
      </c>
      <c r="N12" s="187">
        <v>126.074450841554</v>
      </c>
      <c r="O12" s="187">
        <v>127.07645973653</v>
      </c>
      <c r="P12" s="187">
        <v>128.09770005324401</v>
      </c>
      <c r="Q12" s="187">
        <v>129.12807770238999</v>
      </c>
      <c r="R12" s="187">
        <v>130.172999446011</v>
      </c>
      <c r="S12" s="187">
        <v>131.22505316820701</v>
      </c>
      <c r="T12" s="187">
        <v>132.29122017820501</v>
      </c>
      <c r="U12" s="187">
        <v>133.36293076007399</v>
      </c>
      <c r="V12" s="187">
        <v>134.45030526308199</v>
      </c>
      <c r="W12" s="187">
        <v>135.53875063384299</v>
      </c>
    </row>
    <row r="13" spans="1:23" x14ac:dyDescent="0.35">
      <c r="A13" s="45" t="s">
        <v>217</v>
      </c>
      <c r="B13" s="190">
        <v>1.11692484814108E-3</v>
      </c>
      <c r="C13" s="190">
        <v>3.7761433561331898E-3</v>
      </c>
      <c r="D13" s="190">
        <v>-2.6162567009515602E-3</v>
      </c>
      <c r="E13" s="190">
        <v>9.6009600960096399E-3</v>
      </c>
      <c r="F13" s="190">
        <v>2.7000636807472701E-3</v>
      </c>
      <c r="G13" s="190">
        <v>1.42260760586994E-2</v>
      </c>
      <c r="H13" s="190">
        <v>7.4555975702150796E-3</v>
      </c>
      <c r="I13" s="190">
        <v>6.4879369907486798E-3</v>
      </c>
      <c r="J13" s="190">
        <v>6.4826168562215304E-3</v>
      </c>
      <c r="K13" s="190">
        <v>7.4951099695452798E-3</v>
      </c>
      <c r="L13" s="190">
        <v>7.6985662820430196E-3</v>
      </c>
      <c r="M13" s="190">
        <v>7.8384192066154306E-3</v>
      </c>
      <c r="N13" s="190">
        <v>8.0054802556355203E-3</v>
      </c>
      <c r="O13" s="190">
        <v>7.9477553801552397E-3</v>
      </c>
      <c r="P13" s="190">
        <v>8.0364240460568705E-3</v>
      </c>
      <c r="Q13" s="190">
        <v>8.0436857860606299E-3</v>
      </c>
      <c r="R13" s="190">
        <v>8.0921342764015396E-3</v>
      </c>
      <c r="S13" s="190">
        <v>8.0819657430741803E-3</v>
      </c>
      <c r="T13" s="190">
        <v>8.1247214937825198E-3</v>
      </c>
      <c r="U13" s="190">
        <v>8.1011467006266696E-3</v>
      </c>
      <c r="V13" s="190">
        <v>8.1534988531763997E-3</v>
      </c>
      <c r="W13" s="190">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31" t="s">
        <v>57</v>
      </c>
      <c r="C4" s="531"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1239</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16"/>
      <c r="C9" s="26"/>
      <c r="D9" s="26"/>
      <c r="E9" s="31" t="s">
        <v>68</v>
      </c>
      <c r="F9" s="26"/>
    </row>
    <row r="10" spans="1:6" ht="77.5" customHeight="1" x14ac:dyDescent="0.35">
      <c r="A10" s="41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1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1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1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13"/>
      <c r="B14" s="25" t="str">
        <f>'Federal and State Purchases'!B21</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1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1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1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1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1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13"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13" t="s">
        <v>79</v>
      </c>
      <c r="B21" s="25" t="e">
        <f>#REF!</f>
        <v>#REF!</v>
      </c>
    </row>
    <row r="22" spans="1:6" ht="37.5" customHeight="1" x14ac:dyDescent="0.35">
      <c r="A22" s="498" t="s">
        <v>80</v>
      </c>
      <c r="B22" s="25" t="s">
        <v>81</v>
      </c>
    </row>
    <row r="23" spans="1:6" ht="36" customHeight="1" x14ac:dyDescent="0.35">
      <c r="A23" s="498"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31" t="s">
        <v>57</v>
      </c>
      <c r="C4" s="531" t="s">
        <v>58</v>
      </c>
    </row>
    <row r="5" spans="1:5" ht="137.15" customHeight="1" x14ac:dyDescent="0.35">
      <c r="A5" t="s">
        <v>120</v>
      </c>
      <c r="B5" s="25" t="s">
        <v>121</v>
      </c>
    </row>
    <row r="6" spans="1:5" ht="29.15" customHeight="1" x14ac:dyDescent="0.35">
      <c r="A6" t="s">
        <v>122</v>
      </c>
      <c r="B6" s="611" t="s">
        <v>123</v>
      </c>
      <c r="C6" t="s">
        <v>124</v>
      </c>
    </row>
    <row r="7" spans="1:5" ht="43.5" x14ac:dyDescent="0.35">
      <c r="A7" s="1" t="s">
        <v>125</v>
      </c>
      <c r="B7" s="611" t="s">
        <v>126</v>
      </c>
      <c r="C7" t="s">
        <v>127</v>
      </c>
    </row>
    <row r="9" spans="1:5" x14ac:dyDescent="0.35">
      <c r="B9" s="610"/>
    </row>
    <row r="10" spans="1:5" x14ac:dyDescent="0.35">
      <c r="B10" s="6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68" zoomScale="109" workbookViewId="0">
      <selection activeCell="C77" sqref="C77"/>
    </sheetView>
  </sheetViews>
  <sheetFormatPr defaultColWidth="8.54296875" defaultRowHeight="14.5" x14ac:dyDescent="0.35"/>
  <cols>
    <col min="1" max="1" width="15.1796875" style="500" customWidth="1"/>
    <col min="2" max="2" width="28.453125" style="500" customWidth="1"/>
    <col min="3" max="3" width="25.1796875" style="500" customWidth="1"/>
    <col min="4" max="4" width="11.1796875" style="500" customWidth="1"/>
    <col min="5" max="5" width="15.1796875" style="500" customWidth="1"/>
    <col min="6" max="6" width="12.453125" style="500" customWidth="1"/>
    <col min="7" max="7" width="11.81640625" style="500" bestFit="1" customWidth="1"/>
    <col min="8" max="16384" width="8.54296875" style="500"/>
  </cols>
  <sheetData>
    <row r="1" spans="1:11" s="505" customFormat="1" x14ac:dyDescent="0.35">
      <c r="A1" s="505" t="s">
        <v>128</v>
      </c>
      <c r="B1" s="505" t="s">
        <v>129</v>
      </c>
      <c r="C1" s="505" t="s">
        <v>130</v>
      </c>
      <c r="D1" s="505" t="s">
        <v>131</v>
      </c>
      <c r="E1" s="505" t="s">
        <v>132</v>
      </c>
      <c r="F1" s="505" t="s">
        <v>133</v>
      </c>
    </row>
    <row r="2" spans="1:11" x14ac:dyDescent="0.35">
      <c r="C2" s="500" t="str">
        <f>'Haver Pivoted'!A1</f>
        <v>name</v>
      </c>
      <c r="D2" s="506" t="s">
        <v>1226</v>
      </c>
      <c r="E2" s="506" t="s">
        <v>1227</v>
      </c>
      <c r="F2" s="506"/>
      <c r="H2" s="507"/>
    </row>
    <row r="3" spans="1:11" x14ac:dyDescent="0.35">
      <c r="B3" s="500" t="s">
        <v>134</v>
      </c>
      <c r="C3" s="500" t="str">
        <f>'Haver Pivoted'!A2</f>
        <v>gdp</v>
      </c>
      <c r="D3" s="500">
        <v>22741</v>
      </c>
      <c r="E3" s="500">
        <f>'Haver Pivoted'!GZ2</f>
        <v>23173.5</v>
      </c>
      <c r="F3" s="500">
        <f>E3-D3</f>
        <v>432.5</v>
      </c>
      <c r="G3" s="508">
        <f>F3/D3</f>
        <v>1.9018512818257772E-2</v>
      </c>
      <c r="H3" s="509"/>
    </row>
    <row r="4" spans="1:11" x14ac:dyDescent="0.35">
      <c r="B4" s="500" t="s">
        <v>135</v>
      </c>
      <c r="C4" s="500" t="str">
        <f>'Haver Pivoted'!A3</f>
        <v>gdph</v>
      </c>
      <c r="D4" s="500">
        <v>19368.3</v>
      </c>
      <c r="E4" s="500">
        <f>'Haver Pivoted'!GZ3</f>
        <v>19465.2</v>
      </c>
      <c r="F4" s="500">
        <f t="shared" ref="F4:F67" si="0">E4-D4</f>
        <v>96.900000000001455</v>
      </c>
      <c r="G4" s="508">
        <f t="shared" ref="G4:G67" si="1">F4/D4</f>
        <v>5.0030203993123535E-3</v>
      </c>
      <c r="H4" s="509"/>
    </row>
    <row r="5" spans="1:11" x14ac:dyDescent="0.35">
      <c r="B5" s="500" t="s">
        <v>136</v>
      </c>
      <c r="C5" s="500" t="str">
        <f>'Haver Pivoted'!A4</f>
        <v>jgdp</v>
      </c>
      <c r="D5" s="500">
        <v>117.54600000000001</v>
      </c>
      <c r="E5" s="500">
        <f>'Haver Pivoted'!GZ4</f>
        <v>119.19</v>
      </c>
      <c r="F5" s="500">
        <f t="shared" si="0"/>
        <v>1.6439999999999912</v>
      </c>
      <c r="G5" s="508">
        <f t="shared" si="1"/>
        <v>1.3986013986013911E-2</v>
      </c>
      <c r="H5" s="510"/>
    </row>
    <row r="6" spans="1:11" x14ac:dyDescent="0.35">
      <c r="B6" s="500" t="s">
        <v>137</v>
      </c>
      <c r="C6" s="500" t="str">
        <f>'Haver Pivoted'!A5</f>
        <v>c</v>
      </c>
      <c r="D6" s="500">
        <v>15681.7</v>
      </c>
      <c r="E6" s="500">
        <f>'Haver Pivoted'!GZ5</f>
        <v>15946.2</v>
      </c>
      <c r="F6" s="500">
        <f t="shared" si="0"/>
        <v>264.5</v>
      </c>
      <c r="G6" s="508">
        <f t="shared" si="1"/>
        <v>1.6866793778735723E-2</v>
      </c>
    </row>
    <row r="7" spans="1:11" x14ac:dyDescent="0.35">
      <c r="B7" s="500" t="s">
        <v>138</v>
      </c>
      <c r="C7" s="500" t="str">
        <f>'Haver Pivoted'!A6</f>
        <v>ch</v>
      </c>
      <c r="D7" s="500">
        <v>13665.6</v>
      </c>
      <c r="E7" s="500">
        <f>'Haver Pivoted'!GZ6</f>
        <v>13719.3</v>
      </c>
      <c r="F7" s="500">
        <f t="shared" si="0"/>
        <v>53.699999999998909</v>
      </c>
      <c r="G7" s="508">
        <f t="shared" si="1"/>
        <v>3.9295749912187468E-3</v>
      </c>
      <c r="K7" s="510"/>
    </row>
    <row r="8" spans="1:11" x14ac:dyDescent="0.35">
      <c r="B8" s="500" t="s">
        <v>139</v>
      </c>
      <c r="C8" s="500" t="str">
        <f>'Haver Pivoted'!A7</f>
        <v>jc</v>
      </c>
      <c r="D8" s="500">
        <v>114.77200000000001</v>
      </c>
      <c r="E8" s="500">
        <f>'Haver Pivoted'!GZ7</f>
        <v>116.252</v>
      </c>
      <c r="F8" s="500">
        <f t="shared" si="0"/>
        <v>1.4799999999999898</v>
      </c>
      <c r="G8" s="508">
        <f t="shared" si="1"/>
        <v>1.2895131216672967E-2</v>
      </c>
    </row>
    <row r="9" spans="1:11" x14ac:dyDescent="0.35">
      <c r="B9" s="500" t="s">
        <v>140</v>
      </c>
      <c r="C9" s="500" t="str">
        <f>'Haver Pivoted'!A8</f>
        <v>jgf</v>
      </c>
      <c r="D9" s="500">
        <v>115.22799999999999</v>
      </c>
      <c r="E9" s="500">
        <f>'Haver Pivoted'!GZ8</f>
        <v>116.539</v>
      </c>
      <c r="F9" s="500">
        <f t="shared" si="0"/>
        <v>1.311000000000007</v>
      </c>
      <c r="G9" s="508">
        <f t="shared" si="1"/>
        <v>1.1377442982608456E-2</v>
      </c>
    </row>
    <row r="10" spans="1:11" x14ac:dyDescent="0.35">
      <c r="B10" s="500" t="s">
        <v>141</v>
      </c>
      <c r="C10" s="500" t="str">
        <f>'Haver Pivoted'!A9</f>
        <v>jgs</v>
      </c>
      <c r="D10" s="500">
        <v>121.544</v>
      </c>
      <c r="E10" s="500">
        <f>'Haver Pivoted'!GZ9</f>
        <v>123.30500000000001</v>
      </c>
      <c r="F10" s="500">
        <f t="shared" si="0"/>
        <v>1.7610000000000099</v>
      </c>
      <c r="G10" s="508">
        <f t="shared" si="1"/>
        <v>1.448858026722841E-2</v>
      </c>
    </row>
    <row r="11" spans="1:11" x14ac:dyDescent="0.35">
      <c r="B11" s="500" t="s">
        <v>142</v>
      </c>
      <c r="C11" s="500" t="str">
        <f>'Haver Pivoted'!A10</f>
        <v>jgse</v>
      </c>
      <c r="D11" s="500">
        <v>121.425</v>
      </c>
      <c r="E11" s="500">
        <f>'Haver Pivoted'!GZ10</f>
        <v>122.996</v>
      </c>
      <c r="F11" s="500">
        <f t="shared" si="0"/>
        <v>1.570999999999998</v>
      </c>
      <c r="G11" s="508">
        <f t="shared" si="1"/>
        <v>1.2938027589046721E-2</v>
      </c>
    </row>
    <row r="12" spans="1:11" x14ac:dyDescent="0.35">
      <c r="B12" s="500" t="s">
        <v>143</v>
      </c>
      <c r="C12" s="500" t="str">
        <f>'Haver Pivoted'!A11</f>
        <v>jgsi</v>
      </c>
      <c r="D12" s="500">
        <v>122.101</v>
      </c>
      <c r="E12" s="500">
        <f>'Haver Pivoted'!GZ11</f>
        <v>124.76</v>
      </c>
      <c r="F12" s="500">
        <f t="shared" si="0"/>
        <v>2.659000000000006</v>
      </c>
      <c r="G12" s="508">
        <f t="shared" si="1"/>
        <v>2.1777053422985939E-2</v>
      </c>
    </row>
    <row r="13" spans="1:11" x14ac:dyDescent="0.35">
      <c r="A13" s="500" t="s">
        <v>76</v>
      </c>
      <c r="B13" s="500" t="s">
        <v>76</v>
      </c>
      <c r="C13" s="500" t="str">
        <f>'Haver Pivoted'!A12</f>
        <v>yptmr</v>
      </c>
      <c r="D13" s="500">
        <v>815.3</v>
      </c>
      <c r="E13" s="500">
        <f>'Haver Pivoted'!GZ12</f>
        <v>826.5</v>
      </c>
      <c r="F13" s="500">
        <f t="shared" si="0"/>
        <v>11.200000000000045</v>
      </c>
      <c r="G13" s="508">
        <f t="shared" si="1"/>
        <v>1.3737274622838276E-2</v>
      </c>
      <c r="I13" s="511"/>
    </row>
    <row r="14" spans="1:11" x14ac:dyDescent="0.35">
      <c r="A14" s="500" t="s">
        <v>75</v>
      </c>
      <c r="B14" s="500" t="s">
        <v>144</v>
      </c>
      <c r="C14" s="500" t="str">
        <f>'Haver Pivoted'!A13</f>
        <v>yptmd</v>
      </c>
      <c r="D14" s="500">
        <v>730.5</v>
      </c>
      <c r="E14" s="500">
        <f>'Haver Pivoted'!GZ13</f>
        <v>740</v>
      </c>
      <c r="F14" s="500">
        <f t="shared" si="0"/>
        <v>9.5</v>
      </c>
      <c r="G14" s="508">
        <f t="shared" si="1"/>
        <v>1.3004791238877482E-2</v>
      </c>
    </row>
    <row r="15" spans="1:11" x14ac:dyDescent="0.35">
      <c r="A15" s="500" t="s">
        <v>74</v>
      </c>
      <c r="B15" s="500" t="s">
        <v>145</v>
      </c>
      <c r="C15" s="500" t="str">
        <f>'Haver Pivoted'!A14</f>
        <v>yptu</v>
      </c>
      <c r="D15" s="500">
        <v>480.4</v>
      </c>
      <c r="E15" s="500">
        <f>'Haver Pivoted'!GZ14</f>
        <v>272.60000000000002</v>
      </c>
      <c r="F15" s="500">
        <f t="shared" si="0"/>
        <v>-207.79999999999995</v>
      </c>
      <c r="G15" s="508">
        <f t="shared" si="1"/>
        <v>-0.43255620316402987</v>
      </c>
    </row>
    <row r="16" spans="1:11" x14ac:dyDescent="0.35">
      <c r="B16" s="500" t="s">
        <v>78</v>
      </c>
      <c r="C16" s="500" t="str">
        <f>'Haver Pivoted'!A15</f>
        <v>gtfp</v>
      </c>
      <c r="D16" s="500">
        <v>4257.8</v>
      </c>
      <c r="E16" s="500">
        <f>'Haver Pivoted'!GZ15</f>
        <v>4038.8</v>
      </c>
      <c r="F16" s="500">
        <f t="shared" si="0"/>
        <v>-219</v>
      </c>
      <c r="G16" s="508">
        <f t="shared" si="1"/>
        <v>-5.1435013387195264E-2</v>
      </c>
    </row>
    <row r="17" spans="1:7" x14ac:dyDescent="0.35">
      <c r="B17" s="500" t="s">
        <v>146</v>
      </c>
      <c r="C17" s="500" t="str">
        <f>'Haver Pivoted'!A16</f>
        <v>ypog</v>
      </c>
      <c r="D17" s="500">
        <v>116</v>
      </c>
      <c r="E17" s="500">
        <f>'Haver Pivoted'!GZ16</f>
        <v>116.8</v>
      </c>
      <c r="F17" s="500">
        <f t="shared" si="0"/>
        <v>0.79999999999999716</v>
      </c>
      <c r="G17" s="508">
        <f t="shared" si="1"/>
        <v>6.8965517241379067E-3</v>
      </c>
    </row>
    <row r="18" spans="1:7" x14ac:dyDescent="0.35">
      <c r="B18" s="500" t="s">
        <v>147</v>
      </c>
      <c r="C18" s="500" t="str">
        <f>'Haver Pivoted'!A17</f>
        <v>yptx</v>
      </c>
      <c r="D18" s="500">
        <v>2514.8000000000002</v>
      </c>
      <c r="E18" s="500">
        <f>'Haver Pivoted'!GZ17</f>
        <v>2592.1</v>
      </c>
      <c r="F18" s="500">
        <f t="shared" si="0"/>
        <v>77.299999999999727</v>
      </c>
      <c r="G18" s="508">
        <f t="shared" si="1"/>
        <v>3.0738030857324527E-2</v>
      </c>
    </row>
    <row r="19" spans="1:7" x14ac:dyDescent="0.35">
      <c r="B19" s="500" t="s">
        <v>148</v>
      </c>
      <c r="C19" s="500" t="str">
        <f>'Haver Pivoted'!A18</f>
        <v>ytpi</v>
      </c>
      <c r="D19" s="500">
        <v>1636.3</v>
      </c>
      <c r="E19" s="500">
        <f>'Haver Pivoted'!GZ18</f>
        <v>1658.9</v>
      </c>
      <c r="F19" s="500">
        <f t="shared" si="0"/>
        <v>22.600000000000136</v>
      </c>
      <c r="G19" s="508">
        <f t="shared" si="1"/>
        <v>1.3811648230764613E-2</v>
      </c>
    </row>
    <row r="20" spans="1:7" x14ac:dyDescent="0.35">
      <c r="B20" s="500" t="s">
        <v>149</v>
      </c>
      <c r="C20" s="500" t="str">
        <f>'Haver Pivoted'!A19</f>
        <v>yctlg</v>
      </c>
      <c r="D20" s="500">
        <v>366.9</v>
      </c>
      <c r="E20" s="500">
        <f>'Haver Pivoted'!GZ19</f>
        <v>334.26666666666699</v>
      </c>
      <c r="F20" s="500">
        <f t="shared" si="0"/>
        <v>-32.633333333332985</v>
      </c>
      <c r="G20" s="508">
        <f t="shared" si="1"/>
        <v>-8.8943399654764208E-2</v>
      </c>
    </row>
    <row r="21" spans="1:7" x14ac:dyDescent="0.35">
      <c r="B21" s="500" t="s">
        <v>150</v>
      </c>
      <c r="C21" s="500" t="str">
        <f>'Haver Pivoted'!A20</f>
        <v>g</v>
      </c>
      <c r="D21" s="500">
        <v>4015.9</v>
      </c>
      <c r="E21" s="500">
        <f>'Haver Pivoted'!GZ20</f>
        <v>4077</v>
      </c>
      <c r="F21" s="500">
        <f t="shared" si="0"/>
        <v>61.099999999999909</v>
      </c>
      <c r="G21" s="508">
        <f t="shared" si="1"/>
        <v>1.5214522273960982E-2</v>
      </c>
    </row>
    <row r="22" spans="1:7" x14ac:dyDescent="0.35">
      <c r="B22" s="500" t="s">
        <v>151</v>
      </c>
      <c r="C22" s="500" t="str">
        <f>'Haver Pivoted'!A21</f>
        <v>grcsi</v>
      </c>
      <c r="D22" s="500">
        <v>1564.2</v>
      </c>
      <c r="E22" s="500">
        <f>'Haver Pivoted'!GZ21</f>
        <v>1594.5</v>
      </c>
      <c r="F22" s="500">
        <f t="shared" si="0"/>
        <v>30.299999999999955</v>
      </c>
      <c r="G22" s="508">
        <f t="shared" si="1"/>
        <v>1.9370924434215543E-2</v>
      </c>
    </row>
    <row r="23" spans="1:7" x14ac:dyDescent="0.35">
      <c r="B23" s="500" t="s">
        <v>139</v>
      </c>
      <c r="C23" s="500" t="str">
        <f>'Haver Pivoted'!A22</f>
        <v>dc</v>
      </c>
      <c r="D23" s="500">
        <v>114.753</v>
      </c>
      <c r="E23" s="500">
        <f>'Haver Pivoted'!GZ22</f>
        <v>116.232</v>
      </c>
      <c r="F23" s="500">
        <f t="shared" si="0"/>
        <v>1.4789999999999992</v>
      </c>
      <c r="G23" s="508">
        <f t="shared" si="1"/>
        <v>1.2888551933282782E-2</v>
      </c>
    </row>
    <row r="24" spans="1:7" x14ac:dyDescent="0.35">
      <c r="A24" s="500" t="s">
        <v>152</v>
      </c>
      <c r="B24" s="500" t="s">
        <v>153</v>
      </c>
      <c r="C24" s="500" t="str">
        <f>'Haver Pivoted'!A23</f>
        <v>gf</v>
      </c>
      <c r="D24" s="500">
        <v>1563.3</v>
      </c>
      <c r="E24" s="500">
        <f>'Haver Pivoted'!GZ23</f>
        <v>1562.1</v>
      </c>
      <c r="F24" s="500">
        <f t="shared" si="0"/>
        <v>-1.2000000000000455</v>
      </c>
      <c r="G24" s="508">
        <f t="shared" si="1"/>
        <v>-7.6760698522359465E-4</v>
      </c>
    </row>
    <row r="25" spans="1:7" x14ac:dyDescent="0.35">
      <c r="A25" s="500" t="s">
        <v>152</v>
      </c>
      <c r="B25" s="500" t="s">
        <v>154</v>
      </c>
      <c r="C25" s="500" t="str">
        <f>'Haver Pivoted'!A24</f>
        <v>gs</v>
      </c>
      <c r="D25" s="500">
        <v>2452.6</v>
      </c>
      <c r="E25" s="500">
        <f>'Haver Pivoted'!GZ24</f>
        <v>2514.9</v>
      </c>
      <c r="F25" s="500">
        <f t="shared" si="0"/>
        <v>62.300000000000182</v>
      </c>
      <c r="G25" s="508">
        <f t="shared" si="1"/>
        <v>2.5401614613063762E-2</v>
      </c>
    </row>
    <row r="26" spans="1:7" x14ac:dyDescent="0.35">
      <c r="B26" s="500" t="s">
        <v>155</v>
      </c>
      <c r="C26" s="500" t="str">
        <f>'Haver Pivoted'!A25</f>
        <v>gfh</v>
      </c>
      <c r="D26" s="500">
        <v>1356.7</v>
      </c>
      <c r="E26" s="500">
        <f>'Haver Pivoted'!GZ25</f>
        <v>1340.4</v>
      </c>
      <c r="F26" s="500">
        <f t="shared" si="0"/>
        <v>-16.299999999999955</v>
      </c>
      <c r="G26" s="508">
        <f t="shared" si="1"/>
        <v>-1.201444681948843E-2</v>
      </c>
    </row>
    <row r="27" spans="1:7" x14ac:dyDescent="0.35">
      <c r="B27" s="500" t="s">
        <v>156</v>
      </c>
      <c r="C27" s="500" t="str">
        <f>'Haver Pivoted'!A26</f>
        <v>gsh</v>
      </c>
      <c r="D27" s="500">
        <v>2017.9</v>
      </c>
      <c r="E27" s="500">
        <f>'Haver Pivoted'!GZ26</f>
        <v>2039.6</v>
      </c>
      <c r="F27" s="500">
        <f t="shared" si="0"/>
        <v>21.699999999999818</v>
      </c>
      <c r="G27" s="508">
        <f t="shared" si="1"/>
        <v>1.075375390257189E-2</v>
      </c>
    </row>
    <row r="28" spans="1:7" x14ac:dyDescent="0.35">
      <c r="A28" s="500" t="s">
        <v>79</v>
      </c>
      <c r="B28" s="500" t="s">
        <v>157</v>
      </c>
      <c r="C28" s="500" t="s">
        <v>158</v>
      </c>
      <c r="D28" s="500">
        <v>1928.3</v>
      </c>
      <c r="E28" s="500">
        <f>'Haver Pivoted'!GZ27</f>
        <v>1994.3</v>
      </c>
      <c r="F28" s="500">
        <f t="shared" si="0"/>
        <v>66</v>
      </c>
      <c r="G28" s="508">
        <f t="shared" si="1"/>
        <v>3.4227039361095266E-2</v>
      </c>
    </row>
    <row r="29" spans="1:7" x14ac:dyDescent="0.35">
      <c r="A29" s="500" t="s">
        <v>79</v>
      </c>
      <c r="B29" s="500" t="s">
        <v>159</v>
      </c>
      <c r="C29" s="500" t="s">
        <v>160</v>
      </c>
      <c r="D29" s="500">
        <v>177.8</v>
      </c>
      <c r="E29" s="500">
        <f>'Haver Pivoted'!GZ28</f>
        <v>173.1</v>
      </c>
      <c r="F29" s="500">
        <f t="shared" si="0"/>
        <v>-4.7000000000000171</v>
      </c>
      <c r="G29" s="508">
        <f t="shared" si="1"/>
        <v>-2.6434195725534404E-2</v>
      </c>
    </row>
    <row r="30" spans="1:7" x14ac:dyDescent="0.35">
      <c r="A30" s="500" t="s">
        <v>79</v>
      </c>
      <c r="B30" s="500" t="s">
        <v>161</v>
      </c>
      <c r="C30" s="500" t="s">
        <v>162</v>
      </c>
      <c r="D30" s="500">
        <v>275.10000000000002</v>
      </c>
      <c r="E30" s="500">
        <f>'Haver Pivoted'!GZ29</f>
        <v>248.86666666666699</v>
      </c>
      <c r="F30" s="500">
        <f t="shared" si="0"/>
        <v>-26.233333333333036</v>
      </c>
      <c r="G30" s="508">
        <f t="shared" si="1"/>
        <v>-9.5359263298193511E-2</v>
      </c>
    </row>
    <row r="31" spans="1:7" x14ac:dyDescent="0.35">
      <c r="A31" s="500" t="s">
        <v>79</v>
      </c>
      <c r="B31" s="500" t="s">
        <v>163</v>
      </c>
      <c r="C31" s="500" t="s">
        <v>164</v>
      </c>
      <c r="D31" s="500">
        <v>1542.2</v>
      </c>
      <c r="E31" s="500">
        <f>'Haver Pivoted'!GZ30</f>
        <v>1572.1</v>
      </c>
      <c r="F31" s="500">
        <f t="shared" si="0"/>
        <v>29.899999999999864</v>
      </c>
      <c r="G31" s="508">
        <f t="shared" si="1"/>
        <v>1.9387887433536418E-2</v>
      </c>
    </row>
    <row r="32" spans="1:7" x14ac:dyDescent="0.35">
      <c r="A32" s="500" t="s">
        <v>165</v>
      </c>
      <c r="B32" s="500" t="s">
        <v>166</v>
      </c>
      <c r="C32" s="500" t="str">
        <f>'Haver Pivoted'!A31</f>
        <v>gftfp</v>
      </c>
      <c r="D32" s="500">
        <v>3372.3</v>
      </c>
      <c r="E32" s="500">
        <f>'Haver Pivoted'!GZ31</f>
        <v>3141.4</v>
      </c>
      <c r="F32" s="500">
        <f t="shared" si="0"/>
        <v>-230.90000000000009</v>
      </c>
      <c r="G32" s="508">
        <f t="shared" si="1"/>
        <v>-6.8469590487204607E-2</v>
      </c>
    </row>
    <row r="33" spans="1:10" x14ac:dyDescent="0.35">
      <c r="A33" s="500" t="s">
        <v>71</v>
      </c>
      <c r="B33" s="499" t="s">
        <v>167</v>
      </c>
      <c r="C33" s="500" t="str">
        <f>'Haver Pivoted'!A32</f>
        <v>gfeg</v>
      </c>
      <c r="D33" s="500">
        <v>1632.2</v>
      </c>
      <c r="E33" s="500">
        <f>'Haver Pivoted'!GZ32</f>
        <v>1057.0999999999999</v>
      </c>
      <c r="F33" s="500">
        <f t="shared" si="0"/>
        <v>-575.10000000000014</v>
      </c>
      <c r="G33" s="508">
        <f t="shared" si="1"/>
        <v>-0.35234652616100975</v>
      </c>
    </row>
    <row r="34" spans="1:10" x14ac:dyDescent="0.35">
      <c r="A34" s="500" t="s">
        <v>79</v>
      </c>
      <c r="B34" s="500" t="s">
        <v>168</v>
      </c>
      <c r="C34" s="500" t="str">
        <f>'Haver Pivoted'!A33</f>
        <v>gsrpt</v>
      </c>
      <c r="D34" s="500">
        <v>586.4</v>
      </c>
      <c r="E34" s="500">
        <f>'Haver Pivoted'!GZ33</f>
        <v>597.70000000000005</v>
      </c>
      <c r="F34" s="500">
        <f t="shared" si="0"/>
        <v>11.300000000000068</v>
      </c>
      <c r="G34" s="508">
        <f t="shared" si="1"/>
        <v>1.9270122783083338E-2</v>
      </c>
    </row>
    <row r="35" spans="1:10" x14ac:dyDescent="0.35">
      <c r="A35" s="500" t="s">
        <v>79</v>
      </c>
      <c r="B35" s="500" t="s">
        <v>169</v>
      </c>
      <c r="C35" s="500" t="str">
        <f>'Haver Pivoted'!A34</f>
        <v>gsrpri</v>
      </c>
      <c r="D35" s="500">
        <v>1458.5</v>
      </c>
      <c r="E35" s="500">
        <f>'Haver Pivoted'!GZ34</f>
        <v>1485.8</v>
      </c>
      <c r="F35" s="500">
        <f t="shared" si="0"/>
        <v>27.299999999999955</v>
      </c>
      <c r="G35" s="508">
        <f t="shared" si="1"/>
        <v>1.8717860815906723E-2</v>
      </c>
    </row>
    <row r="36" spans="1:10" x14ac:dyDescent="0.35">
      <c r="A36" s="500" t="s">
        <v>79</v>
      </c>
      <c r="B36" s="500" t="s">
        <v>170</v>
      </c>
      <c r="C36" s="500" t="str">
        <f>'Haver Pivoted'!A35</f>
        <v>gsrcp</v>
      </c>
      <c r="D36" s="500">
        <v>91.9</v>
      </c>
      <c r="E36" s="500">
        <f>'Haver Pivoted'!GZ35</f>
        <v>85.4</v>
      </c>
      <c r="F36" s="500">
        <f t="shared" si="0"/>
        <v>-6.5</v>
      </c>
      <c r="G36" s="508">
        <f t="shared" si="1"/>
        <v>-7.07290533188248E-2</v>
      </c>
    </row>
    <row r="37" spans="1:10" x14ac:dyDescent="0.35">
      <c r="A37" s="500" t="s">
        <v>79</v>
      </c>
      <c r="B37" s="500" t="s">
        <v>171</v>
      </c>
      <c r="C37" s="500" t="str">
        <f>'Haver Pivoted'!A36</f>
        <v>gsrs</v>
      </c>
      <c r="D37" s="500">
        <v>21.9</v>
      </c>
      <c r="E37" s="500">
        <f>'Haver Pivoted'!GZ36</f>
        <v>22.4</v>
      </c>
      <c r="F37" s="500">
        <f t="shared" si="0"/>
        <v>0.5</v>
      </c>
      <c r="G37" s="508">
        <f t="shared" si="1"/>
        <v>2.2831050228310504E-2</v>
      </c>
    </row>
    <row r="38" spans="1:10" x14ac:dyDescent="0.35">
      <c r="A38" s="500" t="s">
        <v>78</v>
      </c>
      <c r="B38" s="500" t="s">
        <v>172</v>
      </c>
      <c r="C38" s="500" t="str">
        <f>'Haver Pivoted'!A37</f>
        <v>gstfp</v>
      </c>
      <c r="D38" s="500">
        <v>885.5</v>
      </c>
      <c r="E38" s="500">
        <f>'Haver Pivoted'!GZ37</f>
        <v>897.4</v>
      </c>
      <c r="F38" s="500">
        <f t="shared" si="0"/>
        <v>11.899999999999977</v>
      </c>
      <c r="G38" s="508">
        <f t="shared" si="1"/>
        <v>1.3438735177865587E-2</v>
      </c>
    </row>
    <row r="39" spans="1:10" x14ac:dyDescent="0.35">
      <c r="B39" s="500" t="s">
        <v>173</v>
      </c>
      <c r="C39" s="500" t="str">
        <f>'Haver Pivoted'!A38</f>
        <v>gset</v>
      </c>
      <c r="D39" s="500">
        <v>3337.6</v>
      </c>
      <c r="E39" s="500">
        <f>'Haver Pivoted'!GZ38</f>
        <v>3394.2</v>
      </c>
      <c r="F39" s="500">
        <f t="shared" si="0"/>
        <v>56.599999999999909</v>
      </c>
      <c r="G39" s="508">
        <f t="shared" si="1"/>
        <v>1.6958293384467853E-2</v>
      </c>
    </row>
    <row r="40" spans="1:10" x14ac:dyDescent="0.35">
      <c r="B40" s="500" t="s">
        <v>174</v>
      </c>
      <c r="C40" s="500" t="str">
        <f>'Haver Pivoted'!A39</f>
        <v>gfeghhx</v>
      </c>
      <c r="D40" s="500">
        <v>553.56399999999996</v>
      </c>
      <c r="E40" s="500">
        <f>'Haver Pivoted'!GZ39</f>
        <v>569.60599999999999</v>
      </c>
      <c r="F40" s="500">
        <f t="shared" si="0"/>
        <v>16.04200000000003</v>
      </c>
      <c r="G40" s="508">
        <f t="shared" si="1"/>
        <v>2.8979485660194721E-2</v>
      </c>
    </row>
    <row r="41" spans="1:10" x14ac:dyDescent="0.35">
      <c r="A41" s="500" t="s">
        <v>175</v>
      </c>
      <c r="B41" s="500" t="s">
        <v>176</v>
      </c>
      <c r="C41" s="500" t="str">
        <f>'Haver Pivoted'!A40</f>
        <v>gfeghdx</v>
      </c>
      <c r="D41" s="500">
        <v>520.72900000000004</v>
      </c>
      <c r="E41" s="500">
        <f>'Haver Pivoted'!GZ40</f>
        <v>530.82100000000003</v>
      </c>
      <c r="F41" s="500">
        <f t="shared" si="0"/>
        <v>10.091999999999985</v>
      </c>
      <c r="G41" s="508">
        <f t="shared" si="1"/>
        <v>1.9380522306228352E-2</v>
      </c>
    </row>
    <row r="42" spans="1:10" x14ac:dyDescent="0.35">
      <c r="A42" s="500" t="s">
        <v>71</v>
      </c>
      <c r="B42" s="500" t="s">
        <v>177</v>
      </c>
      <c r="C42" s="500" t="str">
        <f>'Haver Pivoted'!A41</f>
        <v>gfeigx</v>
      </c>
      <c r="D42" s="500">
        <v>77.703999999999994</v>
      </c>
      <c r="E42" s="500">
        <f>'Haver Pivoted'!GZ41</f>
        <v>72.766999999999996</v>
      </c>
      <c r="F42" s="500">
        <f t="shared" si="0"/>
        <v>-4.9369999999999976</v>
      </c>
      <c r="G42" s="508">
        <f t="shared" si="1"/>
        <v>-6.3535982703593091E-2</v>
      </c>
    </row>
    <row r="43" spans="1:10" x14ac:dyDescent="0.35">
      <c r="B43" s="500" t="s">
        <v>178</v>
      </c>
      <c r="C43" s="500" t="str">
        <f>'Haver Pivoted'!A42</f>
        <v>gfsub</v>
      </c>
      <c r="D43" s="500">
        <v>697</v>
      </c>
      <c r="E43" s="500">
        <f>'Haver Pivoted'!GZ42</f>
        <v>554.5</v>
      </c>
      <c r="F43" s="500">
        <f t="shared" si="0"/>
        <v>-142.5</v>
      </c>
      <c r="G43" s="508">
        <f t="shared" si="1"/>
        <v>-0.20444763271162122</v>
      </c>
      <c r="I43" s="512"/>
      <c r="J43" s="509"/>
    </row>
    <row r="44" spans="1:10" x14ac:dyDescent="0.35">
      <c r="B44" s="500" t="s">
        <v>179</v>
      </c>
      <c r="C44" s="500" t="str">
        <f>'Haver Pivoted'!A43</f>
        <v>gssub</v>
      </c>
      <c r="D44" s="500">
        <v>8.6</v>
      </c>
      <c r="E44" s="500">
        <f>'Haver Pivoted'!GZ43</f>
        <v>0.6</v>
      </c>
      <c r="F44" s="500">
        <f t="shared" si="0"/>
        <v>-8</v>
      </c>
      <c r="G44" s="508">
        <f t="shared" si="1"/>
        <v>-0.93023255813953487</v>
      </c>
      <c r="I44" s="501"/>
      <c r="J44" s="509"/>
    </row>
    <row r="45" spans="1:10" x14ac:dyDescent="0.35">
      <c r="B45" s="500" t="s">
        <v>73</v>
      </c>
      <c r="C45" s="500" t="str">
        <f>'Haver Pivoted'!A44</f>
        <v>gsub</v>
      </c>
      <c r="D45" s="500">
        <v>705.6</v>
      </c>
      <c r="E45" s="500">
        <f>'Haver Pivoted'!GZ44</f>
        <v>555.1</v>
      </c>
      <c r="F45" s="500">
        <f t="shared" si="0"/>
        <v>-150.5</v>
      </c>
      <c r="G45" s="508">
        <f t="shared" si="1"/>
        <v>-0.21329365079365079</v>
      </c>
      <c r="I45" s="501"/>
      <c r="J45" s="510"/>
    </row>
    <row r="46" spans="1:10" x14ac:dyDescent="0.35">
      <c r="A46" s="500" t="s">
        <v>77</v>
      </c>
      <c r="B46" s="500" t="s">
        <v>77</v>
      </c>
      <c r="C46" s="500" t="str">
        <f>'Haver Pivoted'!A45</f>
        <v>gftfpe</v>
      </c>
      <c r="D46" s="500">
        <v>290.10000000000002</v>
      </c>
      <c r="E46" s="500">
        <f>'Haver Pivoted'!GZ45</f>
        <v>38.9</v>
      </c>
      <c r="F46" s="500">
        <f t="shared" si="0"/>
        <v>-251.20000000000002</v>
      </c>
      <c r="G46" s="508">
        <f t="shared" si="1"/>
        <v>-0.86590830748017922</v>
      </c>
      <c r="I46" s="501"/>
      <c r="J46" s="510"/>
    </row>
    <row r="47" spans="1:10" x14ac:dyDescent="0.35">
      <c r="B47" s="500" t="s">
        <v>180</v>
      </c>
      <c r="C47" s="500" t="str">
        <f>'Haver Pivoted'!A46</f>
        <v>gftfpr</v>
      </c>
      <c r="D47" s="500">
        <v>14.1</v>
      </c>
      <c r="E47" s="500">
        <f>'Haver Pivoted'!GZ46</f>
        <v>15</v>
      </c>
      <c r="F47" s="500">
        <f t="shared" si="0"/>
        <v>0.90000000000000036</v>
      </c>
      <c r="G47" s="508">
        <f t="shared" si="1"/>
        <v>6.3829787234042576E-2</v>
      </c>
      <c r="I47" s="501"/>
      <c r="J47" s="510"/>
    </row>
    <row r="48" spans="1:10" x14ac:dyDescent="0.35">
      <c r="A48" s="500" t="s">
        <v>70</v>
      </c>
      <c r="B48" s="500" t="s">
        <v>181</v>
      </c>
      <c r="C48" s="500" t="str">
        <f>'Haver Pivoted'!A47</f>
        <v>gftfpp</v>
      </c>
      <c r="D48" s="500">
        <v>24.7</v>
      </c>
      <c r="E48" s="500">
        <f>'Haver Pivoted'!GZ47</f>
        <v>14</v>
      </c>
      <c r="F48" s="500">
        <f t="shared" si="0"/>
        <v>-10.7</v>
      </c>
      <c r="G48" s="508">
        <f t="shared" si="1"/>
        <v>-0.4331983805668016</v>
      </c>
      <c r="J48" s="510"/>
    </row>
    <row r="49" spans="1:9" x14ac:dyDescent="0.35">
      <c r="A49" s="500" t="s">
        <v>69</v>
      </c>
      <c r="B49" s="500" t="s">
        <v>182</v>
      </c>
      <c r="C49" s="500" t="str">
        <f>'Haver Pivoted'!A48</f>
        <v>gftfpv</v>
      </c>
      <c r="D49" s="500">
        <v>26.6</v>
      </c>
      <c r="E49" s="500">
        <f>'Haver Pivoted'!GZ48</f>
        <v>37.4</v>
      </c>
      <c r="F49" s="500">
        <f t="shared" si="0"/>
        <v>10.799999999999997</v>
      </c>
      <c r="G49" s="508">
        <f t="shared" si="1"/>
        <v>0.40601503759398483</v>
      </c>
      <c r="H49" s="502"/>
      <c r="I49" s="502"/>
    </row>
    <row r="50" spans="1:9" x14ac:dyDescent="0.35">
      <c r="A50" s="500" t="s">
        <v>183</v>
      </c>
      <c r="B50" s="279" t="s">
        <v>184</v>
      </c>
      <c r="C50" s="500" t="str">
        <f>'Haver Pivoted'!A49</f>
        <v>gfsubp</v>
      </c>
      <c r="D50" s="500">
        <v>427.2</v>
      </c>
      <c r="E50" s="500">
        <f>'Haver Pivoted'!GZ49</f>
        <v>265</v>
      </c>
      <c r="F50" s="500">
        <f t="shared" si="0"/>
        <v>-162.19999999999999</v>
      </c>
      <c r="G50" s="508">
        <f t="shared" si="1"/>
        <v>-0.37968164794007486</v>
      </c>
      <c r="H50" s="96"/>
      <c r="I50" s="107"/>
    </row>
    <row r="51" spans="1:9" x14ac:dyDescent="0.35">
      <c r="A51" s="500" t="s">
        <v>73</v>
      </c>
      <c r="B51" s="279" t="s">
        <v>185</v>
      </c>
      <c r="C51" s="500" t="str">
        <f>'Haver Pivoted'!A50</f>
        <v>gfsubg</v>
      </c>
      <c r="D51" s="500">
        <v>47.3</v>
      </c>
      <c r="E51" s="500">
        <f>'Haver Pivoted'!GZ50</f>
        <v>0.7</v>
      </c>
      <c r="F51" s="500">
        <f t="shared" si="0"/>
        <v>-46.599999999999994</v>
      </c>
      <c r="G51" s="508">
        <f t="shared" si="1"/>
        <v>-0.98520084566596189</v>
      </c>
      <c r="H51" s="95"/>
      <c r="I51" s="550"/>
    </row>
    <row r="52" spans="1:9" x14ac:dyDescent="0.35">
      <c r="A52" s="500" t="s">
        <v>73</v>
      </c>
      <c r="B52" s="279" t="s">
        <v>186</v>
      </c>
      <c r="C52" s="500" t="str">
        <f>'Haver Pivoted'!A51</f>
        <v>gfsube</v>
      </c>
      <c r="D52" s="500">
        <v>62.9</v>
      </c>
      <c r="E52" s="500">
        <f>'Haver Pivoted'!GZ51</f>
        <v>62.9</v>
      </c>
      <c r="F52" s="500">
        <f t="shared" si="0"/>
        <v>0</v>
      </c>
      <c r="G52" s="508">
        <f t="shared" si="1"/>
        <v>0</v>
      </c>
      <c r="H52" s="259"/>
      <c r="I52" s="107"/>
    </row>
    <row r="53" spans="1:9" x14ac:dyDescent="0.35">
      <c r="A53" s="500" t="s">
        <v>73</v>
      </c>
      <c r="B53" s="279" t="s">
        <v>187</v>
      </c>
      <c r="C53" s="500" t="str">
        <f>'Haver Pivoted'!A52</f>
        <v>gfsubs</v>
      </c>
      <c r="D53" s="500">
        <v>12.3</v>
      </c>
      <c r="E53" s="500">
        <f>'Haver Pivoted'!GZ52</f>
        <v>18.5</v>
      </c>
      <c r="F53" s="500">
        <f t="shared" si="0"/>
        <v>6.1999999999999993</v>
      </c>
      <c r="G53" s="508">
        <f t="shared" si="1"/>
        <v>0.50406504065040647</v>
      </c>
      <c r="H53" s="259"/>
      <c r="I53" s="107"/>
    </row>
    <row r="54" spans="1:9" x14ac:dyDescent="0.35">
      <c r="A54" s="500" t="s">
        <v>73</v>
      </c>
      <c r="B54" s="279" t="s">
        <v>188</v>
      </c>
      <c r="C54" s="500" t="str">
        <f>'Haver Pivoted'!A53</f>
        <v>gfsubf</v>
      </c>
      <c r="D54" s="500">
        <v>14.3</v>
      </c>
      <c r="E54" s="500">
        <f>'Haver Pivoted'!GZ53</f>
        <v>8.6999999999999993</v>
      </c>
      <c r="F54" s="500">
        <f t="shared" si="0"/>
        <v>-5.6000000000000014</v>
      </c>
      <c r="G54" s="508">
        <f t="shared" si="1"/>
        <v>-0.39160839160839167</v>
      </c>
      <c r="H54" s="96"/>
      <c r="I54" s="107"/>
    </row>
    <row r="55" spans="1:9" x14ac:dyDescent="0.35">
      <c r="A55" s="500" t="s">
        <v>189</v>
      </c>
      <c r="B55" s="279" t="s">
        <v>190</v>
      </c>
      <c r="C55" s="500" t="str">
        <f>'Haver Pivoted'!A54</f>
        <v>gfsubv</v>
      </c>
      <c r="D55" s="500">
        <v>16</v>
      </c>
      <c r="E55" s="500">
        <f>'Haver Pivoted'!GZ54</f>
        <v>22.4</v>
      </c>
      <c r="F55" s="500">
        <f t="shared" si="0"/>
        <v>6.3999999999999986</v>
      </c>
      <c r="G55" s="508">
        <f t="shared" si="1"/>
        <v>0.39999999999999991</v>
      </c>
      <c r="H55"/>
      <c r="I55"/>
    </row>
    <row r="56" spans="1:9" x14ac:dyDescent="0.35">
      <c r="A56" s="500" t="s">
        <v>73</v>
      </c>
      <c r="B56" s="279" t="s">
        <v>191</v>
      </c>
      <c r="C56" s="500" t="str">
        <f>'Haver Pivoted'!A55</f>
        <v>gfsubk</v>
      </c>
      <c r="D56" s="500">
        <v>8</v>
      </c>
      <c r="E56" s="500">
        <f>'Haver Pivoted'!GZ55</f>
        <v>8</v>
      </c>
      <c r="F56" s="500">
        <f t="shared" si="0"/>
        <v>0</v>
      </c>
      <c r="G56" s="508">
        <f t="shared" si="1"/>
        <v>0</v>
      </c>
      <c r="H56" s="96"/>
      <c r="I56" s="107"/>
    </row>
    <row r="57" spans="1:9" x14ac:dyDescent="0.35">
      <c r="A57" s="500" t="s">
        <v>71</v>
      </c>
      <c r="B57" s="499" t="s">
        <v>192</v>
      </c>
      <c r="C57" s="500" t="str">
        <f>'Haver Pivoted'!A56</f>
        <v>gfegc</v>
      </c>
      <c r="D57" s="500">
        <v>785.9</v>
      </c>
      <c r="E57" s="500">
        <f>'Haver Pivoted'!GZ56</f>
        <v>187.9</v>
      </c>
      <c r="F57" s="500">
        <f t="shared" si="0"/>
        <v>-598</v>
      </c>
      <c r="G57" s="508"/>
      <c r="H57" s="96"/>
      <c r="I57" s="107"/>
    </row>
    <row r="58" spans="1:9" x14ac:dyDescent="0.35">
      <c r="A58" s="500" t="s">
        <v>71</v>
      </c>
      <c r="B58" s="499" t="s">
        <v>193</v>
      </c>
      <c r="C58" s="500" t="str">
        <f>'Haver Pivoted'!A57</f>
        <v>gfege</v>
      </c>
      <c r="D58" s="500">
        <v>67.599999999999994</v>
      </c>
      <c r="E58" s="500">
        <f>'Haver Pivoted'!GZ57</f>
        <v>80.7</v>
      </c>
      <c r="F58" s="500">
        <f t="shared" si="0"/>
        <v>13.100000000000009</v>
      </c>
      <c r="G58" s="508">
        <f t="shared" si="1"/>
        <v>0.19378698224852084</v>
      </c>
      <c r="H58" s="96"/>
      <c r="I58" s="107"/>
    </row>
    <row r="59" spans="1:9" x14ac:dyDescent="0.35">
      <c r="A59" s="500" t="s">
        <v>194</v>
      </c>
      <c r="B59" s="499" t="s">
        <v>195</v>
      </c>
      <c r="C59" s="500" t="str">
        <f>'Haver Pivoted'!A58</f>
        <v>gfegv</v>
      </c>
      <c r="D59" s="500">
        <v>10.6</v>
      </c>
      <c r="E59" s="500">
        <f>'Haver Pivoted'!GZ58</f>
        <v>15</v>
      </c>
      <c r="F59" s="500">
        <f t="shared" si="0"/>
        <v>4.4000000000000004</v>
      </c>
      <c r="G59" s="508">
        <f t="shared" si="1"/>
        <v>0.41509433962264158</v>
      </c>
    </row>
    <row r="60" spans="1:9" x14ac:dyDescent="0.35">
      <c r="A60" s="500" t="s">
        <v>74</v>
      </c>
      <c r="B60" s="500" t="s">
        <v>196</v>
      </c>
      <c r="C60" s="500" t="str">
        <f>'Haver Pivoted'!A59</f>
        <v>yptue</v>
      </c>
      <c r="D60" s="500">
        <v>104.5</v>
      </c>
      <c r="E60" s="500">
        <f>'Haver Pivoted'!GZ59</f>
        <v>61.6</v>
      </c>
      <c r="F60" s="500">
        <f t="shared" si="0"/>
        <v>-42.9</v>
      </c>
      <c r="G60" s="508">
        <f t="shared" si="1"/>
        <v>-0.41052631578947368</v>
      </c>
    </row>
    <row r="61" spans="1:9" x14ac:dyDescent="0.35">
      <c r="A61" s="500" t="s">
        <v>74</v>
      </c>
      <c r="B61" s="500" t="s">
        <v>197</v>
      </c>
      <c r="C61" s="500" t="str">
        <f>'Haver Pivoted'!A60</f>
        <v>yptup</v>
      </c>
      <c r="D61" s="500">
        <v>82.1</v>
      </c>
      <c r="E61" s="500">
        <f>'Haver Pivoted'!GZ60</f>
        <v>50.1</v>
      </c>
      <c r="F61" s="500">
        <f t="shared" si="0"/>
        <v>-31.999999999999993</v>
      </c>
      <c r="G61" s="508">
        <f t="shared" si="1"/>
        <v>-0.38976857490864791</v>
      </c>
    </row>
    <row r="62" spans="1:9" x14ac:dyDescent="0.35">
      <c r="A62" s="500" t="s">
        <v>74</v>
      </c>
      <c r="B62" s="500" t="s">
        <v>198</v>
      </c>
      <c r="C62" s="500" t="str">
        <f>'Haver Pivoted'!A61</f>
        <v>yptuc</v>
      </c>
      <c r="D62" s="500">
        <v>237.2</v>
      </c>
      <c r="E62" s="500">
        <f>'Haver Pivoted'!GZ61</f>
        <v>113.2</v>
      </c>
      <c r="F62" s="500">
        <f t="shared" si="0"/>
        <v>-123.99999999999999</v>
      </c>
      <c r="G62" s="508">
        <f t="shared" si="1"/>
        <v>-0.52276559865092742</v>
      </c>
    </row>
    <row r="63" spans="1:9" x14ac:dyDescent="0.35">
      <c r="B63" s="500" t="s">
        <v>199</v>
      </c>
      <c r="C63" s="500" t="str">
        <f>'Haver Pivoted'!A62</f>
        <v>gftfpu</v>
      </c>
      <c r="D63" s="500">
        <v>429.7</v>
      </c>
      <c r="E63" s="500">
        <f>'Haver Pivoted'!GZ62</f>
        <v>230.6</v>
      </c>
      <c r="F63" s="500">
        <f t="shared" si="0"/>
        <v>-199.1</v>
      </c>
      <c r="G63" s="508">
        <f t="shared" si="1"/>
        <v>-0.46334652082848499</v>
      </c>
      <c r="H63" s="499"/>
      <c r="I63" s="499"/>
    </row>
    <row r="64" spans="1:9" x14ac:dyDescent="0.35">
      <c r="A64" s="500" t="s">
        <v>74</v>
      </c>
      <c r="B64" s="503" t="s">
        <v>200</v>
      </c>
      <c r="C64" s="500" t="str">
        <f>'Haver Pivoted'!A63</f>
        <v>yptub</v>
      </c>
      <c r="D64" s="500">
        <v>5.8</v>
      </c>
      <c r="E64" s="500">
        <f>'Haver Pivoted'!GZ63</f>
        <v>5.8</v>
      </c>
      <c r="F64" s="500">
        <f t="shared" si="0"/>
        <v>0</v>
      </c>
      <c r="G64" s="508">
        <f t="shared" si="1"/>
        <v>0</v>
      </c>
      <c r="H64" s="499"/>
      <c r="I64" s="499"/>
    </row>
    <row r="65" spans="1:9" x14ac:dyDescent="0.35">
      <c r="A65" s="500" t="s">
        <v>74</v>
      </c>
      <c r="B65" s="500" t="s">
        <v>201</v>
      </c>
      <c r="C65" s="500" t="str">
        <f>'Haver Pivoted'!A64</f>
        <v>yptol</v>
      </c>
      <c r="D65" s="500">
        <v>0.6</v>
      </c>
      <c r="E65" s="500">
        <f>'Haver Pivoted'!GZ64</f>
        <v>0.1</v>
      </c>
      <c r="F65" s="500">
        <f t="shared" si="0"/>
        <v>-0.5</v>
      </c>
      <c r="G65" s="508">
        <f t="shared" si="1"/>
        <v>-0.83333333333333337</v>
      </c>
      <c r="H65" s="499"/>
      <c r="I65" s="499"/>
    </row>
    <row r="66" spans="1:9" x14ac:dyDescent="0.35">
      <c r="B66" s="500" t="s">
        <v>202</v>
      </c>
      <c r="C66" s="500" t="str">
        <f>'Haver Pivoted'!A65</f>
        <v>gfctp</v>
      </c>
      <c r="D66" s="500">
        <v>89.9</v>
      </c>
      <c r="E66" s="500">
        <f>'Haver Pivoted'!GZ65</f>
        <v>100.9</v>
      </c>
      <c r="F66" s="500">
        <f t="shared" si="0"/>
        <v>11</v>
      </c>
      <c r="G66" s="508">
        <f t="shared" si="1"/>
        <v>0.12235817575083426</v>
      </c>
      <c r="H66" s="504"/>
      <c r="I66" s="504"/>
    </row>
    <row r="67" spans="1:9" x14ac:dyDescent="0.35">
      <c r="A67" s="500" t="s">
        <v>78</v>
      </c>
      <c r="B67" s="451" t="s">
        <v>203</v>
      </c>
      <c r="C67" s="500" t="str">
        <f>'Haver Pivoted'!A66</f>
        <v>gftffx</v>
      </c>
      <c r="D67" s="500">
        <v>128.93899999999999</v>
      </c>
      <c r="E67" s="500">
        <f>'Haver Pivoted'!GZ66</f>
        <v>140.09399999999999</v>
      </c>
      <c r="F67" s="500">
        <f t="shared" si="0"/>
        <v>11.155000000000001</v>
      </c>
      <c r="G67" s="508">
        <f t="shared" si="1"/>
        <v>8.6513777832928768E-2</v>
      </c>
      <c r="H67" s="504"/>
      <c r="I67" s="504"/>
    </row>
    <row r="68" spans="1:9" x14ac:dyDescent="0.35">
      <c r="B68" s="500" t="s">
        <v>204</v>
      </c>
      <c r="C68" s="500" t="str">
        <f>'Haver Pivoted'!A67</f>
        <v>cpiu</v>
      </c>
      <c r="D68" s="500">
        <v>268.78800000000001</v>
      </c>
      <c r="E68" s="500">
        <f>'Haver Pivoted'!GZ67</f>
        <v>273.13833333333298</v>
      </c>
      <c r="F68" s="500">
        <f t="shared" ref="F68:F81" si="2">E68-D68</f>
        <v>4.3503333333329692</v>
      </c>
      <c r="G68" s="508">
        <f t="shared" ref="G68:G81" si="3">F68/D68</f>
        <v>1.6184998338218109E-2</v>
      </c>
      <c r="H68" s="504"/>
      <c r="I68" s="504"/>
    </row>
    <row r="69" spans="1:9" x14ac:dyDescent="0.35">
      <c r="C69" s="500" t="str">
        <f>'Haver Pivoted'!A68</f>
        <v>pcw</v>
      </c>
      <c r="D69" s="500">
        <v>263.125333333333</v>
      </c>
      <c r="E69" s="500">
        <f>'Haver Pivoted'!GZ68</f>
        <v>267.85533333333302</v>
      </c>
      <c r="F69" s="500">
        <f t="shared" si="2"/>
        <v>4.7300000000000182</v>
      </c>
      <c r="G69" s="508">
        <f t="shared" si="3"/>
        <v>1.79762242581483E-2</v>
      </c>
    </row>
    <row r="70" spans="1:9" x14ac:dyDescent="0.35">
      <c r="B70" s="500" t="s">
        <v>205</v>
      </c>
      <c r="C70" s="500" t="str">
        <f>'Haver Pivoted'!A69</f>
        <v>gdppothq</v>
      </c>
      <c r="D70" s="500">
        <v>19697.400000000001</v>
      </c>
      <c r="E70" s="500">
        <f>'Haver Pivoted'!GZ69</f>
        <v>19795.8</v>
      </c>
      <c r="F70" s="500">
        <f t="shared" si="2"/>
        <v>98.399999999997817</v>
      </c>
      <c r="G70" s="508">
        <f t="shared" si="3"/>
        <v>4.995583173413639E-3</v>
      </c>
    </row>
    <row r="71" spans="1:9" x14ac:dyDescent="0.35">
      <c r="B71" s="500" t="s">
        <v>206</v>
      </c>
      <c r="C71" s="500" t="str">
        <f>'Haver Pivoted'!A70</f>
        <v>gdppotq</v>
      </c>
      <c r="D71" s="500">
        <v>22983.3</v>
      </c>
      <c r="E71" s="500">
        <f>'Haver Pivoted'!GZ70</f>
        <v>23233.1</v>
      </c>
      <c r="F71" s="500">
        <f t="shared" si="2"/>
        <v>249.79999999999927</v>
      </c>
      <c r="G71" s="508">
        <f t="shared" si="3"/>
        <v>1.0868761230980723E-2</v>
      </c>
    </row>
    <row r="72" spans="1:9" x14ac:dyDescent="0.35">
      <c r="B72" s="500" t="s">
        <v>207</v>
      </c>
      <c r="C72" s="500" t="str">
        <f>'Haver Pivoted'!A71</f>
        <v>recessq</v>
      </c>
      <c r="D72" s="500">
        <v>-1</v>
      </c>
      <c r="E72" s="500">
        <f>'Haver Pivoted'!GZ71</f>
        <v>-1</v>
      </c>
      <c r="F72" s="500">
        <f t="shared" si="2"/>
        <v>0</v>
      </c>
      <c r="G72" s="508">
        <f t="shared" si="3"/>
        <v>0</v>
      </c>
    </row>
    <row r="73" spans="1:9" x14ac:dyDescent="0.35">
      <c r="A73" s="500" t="s">
        <v>208</v>
      </c>
      <c r="B73" s="500" t="s">
        <v>209</v>
      </c>
      <c r="C73" s="500" t="str">
        <f>'Haver Pivoted'!A72</f>
        <v>lasgova</v>
      </c>
      <c r="D73" s="500">
        <v>5023</v>
      </c>
      <c r="E73" s="500">
        <f>'Haver Pivoted'!GZ72</f>
        <v>5062.6666666666697</v>
      </c>
      <c r="F73" s="500">
        <f t="shared" si="2"/>
        <v>39.666666666669698</v>
      </c>
      <c r="G73" s="508">
        <f t="shared" si="3"/>
        <v>7.8970071006708529E-3</v>
      </c>
    </row>
    <row r="74" spans="1:9" x14ac:dyDescent="0.35">
      <c r="A74" s="500" t="s">
        <v>208</v>
      </c>
      <c r="B74" s="500" t="s">
        <v>210</v>
      </c>
      <c r="C74" s="500" t="str">
        <f>'Haver Pivoted'!A73</f>
        <v>lalgova</v>
      </c>
      <c r="D74" s="500">
        <v>13769.333333333299</v>
      </c>
      <c r="E74" s="500">
        <f>'Haver Pivoted'!GZ73</f>
        <v>14107</v>
      </c>
      <c r="F74" s="500">
        <f t="shared" si="2"/>
        <v>337.66666666670062</v>
      </c>
      <c r="G74" s="508">
        <f t="shared" si="3"/>
        <v>2.4523094800041261E-2</v>
      </c>
    </row>
    <row r="75" spans="1:9" x14ac:dyDescent="0.35">
      <c r="A75" s="500" t="s">
        <v>208</v>
      </c>
      <c r="B75" s="500" t="s">
        <v>211</v>
      </c>
      <c r="C75" s="500" t="str">
        <f>'Haver Pivoted'!A74</f>
        <v>cpgs</v>
      </c>
      <c r="D75" s="500">
        <v>317506.66666666698</v>
      </c>
      <c r="E75" s="500">
        <f>'Haver Pivoted'!GZ74</f>
        <v>323230.55555555603</v>
      </c>
      <c r="F75" s="500">
        <f t="shared" si="2"/>
        <v>5723.8888888890506</v>
      </c>
      <c r="G75" s="508">
        <f t="shared" si="3"/>
        <v>1.8027617967777198E-2</v>
      </c>
    </row>
    <row r="76" spans="1:9" x14ac:dyDescent="0.35">
      <c r="B76" s="500" t="s">
        <v>212</v>
      </c>
      <c r="C76" s="500" t="str">
        <f>'Haver Pivoted'!A75</f>
        <v>jgdp_growth</v>
      </c>
      <c r="D76" s="500">
        <v>1.48498609983942E-2</v>
      </c>
      <c r="E76" s="500">
        <f>'Haver Pivoted'!GZ75</f>
        <v>1.3986013986014E-2</v>
      </c>
      <c r="F76" s="500">
        <f t="shared" si="2"/>
        <v>-8.6384701238020022E-4</v>
      </c>
      <c r="G76" s="508">
        <f t="shared" si="3"/>
        <v>-5.8172060497644583E-2</v>
      </c>
    </row>
    <row r="77" spans="1:9" x14ac:dyDescent="0.35">
      <c r="B77" s="500" t="s">
        <v>213</v>
      </c>
      <c r="C77" s="500" t="str">
        <f>'Haver Pivoted'!A76</f>
        <v>jc_growth</v>
      </c>
      <c r="D77" s="500">
        <v>1.5780297197072201E-2</v>
      </c>
      <c r="E77" s="500">
        <f>'Haver Pivoted'!GZ76</f>
        <v>1.2895131216673E-2</v>
      </c>
      <c r="F77" s="500">
        <f t="shared" si="2"/>
        <v>-2.8851659803992014E-3</v>
      </c>
      <c r="G77" s="508">
        <f t="shared" si="3"/>
        <v>-0.18283343744213518</v>
      </c>
    </row>
    <row r="78" spans="1:9" x14ac:dyDescent="0.35">
      <c r="B78" s="500" t="s">
        <v>214</v>
      </c>
      <c r="C78" s="500" t="str">
        <f>'Haver Pivoted'!A77</f>
        <v>jgf_growth</v>
      </c>
      <c r="D78" s="500">
        <v>1.0195940910884001E-2</v>
      </c>
      <c r="E78" s="500">
        <f>'Haver Pivoted'!GZ77</f>
        <v>1.13774429826086E-2</v>
      </c>
      <c r="F78" s="500">
        <f t="shared" si="2"/>
        <v>1.1815020717245994E-3</v>
      </c>
      <c r="G78" s="508">
        <f t="shared" si="3"/>
        <v>0.11587965074055748</v>
      </c>
    </row>
    <row r="79" spans="1:9" x14ac:dyDescent="0.35">
      <c r="B79" s="500" t="s">
        <v>215</v>
      </c>
      <c r="C79" s="500" t="str">
        <f>'Haver Pivoted'!A78</f>
        <v>jgs_growth</v>
      </c>
      <c r="D79" s="500">
        <v>1.78200576137202E-2</v>
      </c>
      <c r="E79" s="500">
        <f>'Haver Pivoted'!GZ78</f>
        <v>1.4488580267228299E-2</v>
      </c>
      <c r="F79" s="500">
        <f t="shared" si="2"/>
        <v>-3.3314773464919005E-3</v>
      </c>
      <c r="G79" s="508">
        <f t="shared" si="3"/>
        <v>-0.18695098628227191</v>
      </c>
    </row>
    <row r="80" spans="1:9" x14ac:dyDescent="0.35">
      <c r="B80" s="500" t="s">
        <v>216</v>
      </c>
      <c r="C80" s="500" t="str">
        <f>'Haver Pivoted'!A79</f>
        <v>jgse_growth</v>
      </c>
      <c r="D80" s="500">
        <v>1.6797996968656699E-2</v>
      </c>
      <c r="E80" s="500">
        <f>'Haver Pivoted'!GZ79</f>
        <v>1.29380275890467E-2</v>
      </c>
      <c r="F80" s="500">
        <f t="shared" si="2"/>
        <v>-3.8599693796099992E-3</v>
      </c>
      <c r="G80" s="508">
        <f t="shared" si="3"/>
        <v>-0.22978747923411924</v>
      </c>
    </row>
    <row r="81" spans="2:7" x14ac:dyDescent="0.35">
      <c r="B81" s="500" t="s">
        <v>217</v>
      </c>
      <c r="C81" s="500" t="str">
        <f>'Haver Pivoted'!A80</f>
        <v>jgsi_growth</v>
      </c>
      <c r="D81" s="500">
        <v>2.24844241977624E-2</v>
      </c>
      <c r="E81" s="500">
        <f>'Haver Pivoted'!GZ80</f>
        <v>2.1777053422986001E-2</v>
      </c>
      <c r="F81" s="500">
        <f t="shared" si="2"/>
        <v>-7.0737077477639812E-4</v>
      </c>
      <c r="G81" s="508">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89" zoomScale="102" workbookViewId="0">
      <selection activeCell="E83" sqref="E83"/>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17" t="s">
        <v>218</v>
      </c>
      <c r="C2" s="1117"/>
      <c r="D2" s="1117"/>
      <c r="E2" s="1117"/>
      <c r="F2" s="1117"/>
      <c r="G2" s="1117"/>
      <c r="H2" s="1117"/>
      <c r="I2" s="1117"/>
      <c r="J2" s="1117"/>
      <c r="K2" s="1117"/>
      <c r="L2" s="1117"/>
      <c r="M2" s="1117"/>
      <c r="N2" s="1117"/>
      <c r="O2" s="1117"/>
      <c r="P2" s="1117"/>
      <c r="Q2" s="1117"/>
      <c r="R2" s="1117"/>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5">
        <f>forecast!C2</f>
        <v>384.12299999999988</v>
      </c>
      <c r="E4" s="215">
        <f>forecast!D2</f>
        <v>373.02054063783805</v>
      </c>
      <c r="F4" s="215">
        <f>forecast!E2</f>
        <v>370.5198109315192</v>
      </c>
      <c r="G4" s="215">
        <f>forecast!F2</f>
        <v>384.94151421232431</v>
      </c>
      <c r="H4" s="215">
        <f>forecast!G2</f>
        <v>395.97527266666646</v>
      </c>
      <c r="I4" s="215">
        <f>forecast!H2</f>
        <v>408.95099832987557</v>
      </c>
      <c r="J4" s="215">
        <f>forecast!I2</f>
        <v>421.28765117678</v>
      </c>
      <c r="K4" s="215">
        <f>forecast!J2</f>
        <v>405.26806734081725</v>
      </c>
      <c r="L4" s="215">
        <f>forecast!K2</f>
        <v>403.77230613333313</v>
      </c>
      <c r="M4" s="215">
        <f>forecast!L2</f>
        <v>407.51224106307063</v>
      </c>
      <c r="N4" s="215">
        <f>forecast!M2</f>
        <v>386.27336285585125</v>
      </c>
      <c r="O4" s="215">
        <f>forecast!N2</f>
        <v>368.07914927444995</v>
      </c>
      <c r="P4" s="215">
        <f>forecast!O2</f>
        <v>372.20376613866648</v>
      </c>
      <c r="Q4" s="215">
        <f>forecast!P2</f>
        <v>375.54597704559342</v>
      </c>
      <c r="R4" s="215">
        <f>forecast!Q2</f>
        <v>370.87289789008526</v>
      </c>
    </row>
    <row r="5" spans="2:18" x14ac:dyDescent="0.35">
      <c r="B5" t="str">
        <f>forecast!A3</f>
        <v>Investment Grants</v>
      </c>
      <c r="C5" t="str">
        <f>forecast!B3</f>
        <v>investment_grants</v>
      </c>
      <c r="D5" s="215">
        <f>forecast!C3</f>
        <v>72.766999999999996</v>
      </c>
      <c r="E5" s="215">
        <f>forecast!D3</f>
        <v>75.34842857142857</v>
      </c>
      <c r="F5" s="215">
        <f>forecast!E3</f>
        <v>75.34842857142857</v>
      </c>
      <c r="G5" s="215">
        <f>forecast!F3</f>
        <v>75.34842857142857</v>
      </c>
      <c r="H5" s="215">
        <f>forecast!G3</f>
        <v>75.34842857142857</v>
      </c>
      <c r="I5" s="215">
        <f>forecast!H3</f>
        <v>75.34842857142857</v>
      </c>
      <c r="J5" s="215">
        <f>forecast!I3</f>
        <v>75.34842857142857</v>
      </c>
      <c r="K5" s="215">
        <f>forecast!J3</f>
        <v>75.34842857142857</v>
      </c>
      <c r="L5" s="215">
        <f>forecast!K3</f>
        <v>75.34842857142857</v>
      </c>
      <c r="M5" s="215">
        <f>forecast!L3</f>
        <v>75.34842857142857</v>
      </c>
      <c r="N5" s="215">
        <f>forecast!M3</f>
        <v>75.34842857142857</v>
      </c>
      <c r="O5" s="215">
        <f>forecast!N3</f>
        <v>75.34842857142857</v>
      </c>
      <c r="P5" s="215">
        <f>forecast!O3</f>
        <v>75.34842857142857</v>
      </c>
      <c r="Q5" s="215">
        <f>forecast!P3</f>
        <v>75.34842857142857</v>
      </c>
      <c r="R5" s="215">
        <f>forecast!Q3</f>
        <v>75.34842857142857</v>
      </c>
    </row>
    <row r="6" spans="2:18" x14ac:dyDescent="0.35">
      <c r="B6" t="str">
        <f>forecast!A4</f>
        <v>Federal Purchases (NIPA Consistent)</v>
      </c>
      <c r="C6" t="str">
        <f>forecast!B4</f>
        <v>federal_purchases</v>
      </c>
      <c r="D6" s="215">
        <f>forecast!C4</f>
        <v>1562.1</v>
      </c>
      <c r="E6" s="215">
        <f>forecast!D4</f>
        <v>1573.9267891323836</v>
      </c>
      <c r="F6" s="215">
        <f>forecast!E4</f>
        <v>1585.9354345503814</v>
      </c>
      <c r="G6" s="215">
        <f>forecast!F4</f>
        <v>1587.9101975616902</v>
      </c>
      <c r="H6" s="215">
        <f>forecast!G4</f>
        <v>1587.2547789253952</v>
      </c>
      <c r="I6" s="215">
        <f>forecast!H4</f>
        <v>1587.4214144343857</v>
      </c>
      <c r="J6" s="215">
        <f>forecast!I4</f>
        <v>1591.6665815728984</v>
      </c>
      <c r="K6" s="215">
        <f>forecast!J4</f>
        <v>1597.5981128204228</v>
      </c>
      <c r="L6" s="215">
        <f>forecast!K4</f>
        <v>1605.1922935912212</v>
      </c>
      <c r="M6" s="215">
        <f>forecast!L4</f>
        <v>1614.118674329608</v>
      </c>
      <c r="N6" s="215">
        <f>forecast!M4</f>
        <v>1622.9240123392974</v>
      </c>
      <c r="O6" s="215">
        <f>forecast!N4</f>
        <v>1631.7773852169912</v>
      </c>
      <c r="P6" s="215">
        <f>forecast!O4</f>
        <v>1641.0802481012545</v>
      </c>
      <c r="Q6" s="215">
        <f>forecast!P4</f>
        <v>1650.0326668517271</v>
      </c>
      <c r="R6" s="215">
        <f>forecast!Q4</f>
        <v>1660.2500755702192</v>
      </c>
    </row>
    <row r="7" spans="2:18" x14ac:dyDescent="0.35">
      <c r="B7" t="str">
        <f>forecast!A5</f>
        <v>State Purchases (NIPA Consistent)</v>
      </c>
      <c r="C7" t="str">
        <f>forecast!B5</f>
        <v>state_purchases</v>
      </c>
      <c r="D7" s="215">
        <f>forecast!C5</f>
        <v>2514.9</v>
      </c>
      <c r="E7" s="215">
        <f>forecast!D5</f>
        <v>2575.543516678471</v>
      </c>
      <c r="F7" s="215">
        <f>forecast!E5</f>
        <v>2631.6341692094484</v>
      </c>
      <c r="G7" s="215">
        <f>forecast!F5</f>
        <v>2682.757733843011</v>
      </c>
      <c r="H7" s="215">
        <f>forecast!G5</f>
        <v>2728.521623719575</v>
      </c>
      <c r="I7" s="215">
        <f>forecast!H5</f>
        <v>2765.2889285658985</v>
      </c>
      <c r="J7" s="215">
        <f>forecast!I5</f>
        <v>2799.2252025612861</v>
      </c>
      <c r="K7" s="215">
        <f>forecast!J5</f>
        <v>2833.5779504667935</v>
      </c>
      <c r="L7" s="215">
        <f>forecast!K5</f>
        <v>2868.3522833478787</v>
      </c>
      <c r="M7" s="215">
        <f>forecast!L5</f>
        <v>2903.5533749941942</v>
      </c>
      <c r="N7" s="215">
        <f>forecast!M5</f>
        <v>2939.1864626893512</v>
      </c>
      <c r="O7" s="215">
        <f>forecast!N5</f>
        <v>2939.1864626893512</v>
      </c>
      <c r="P7" s="215">
        <f>forecast!O5</f>
        <v>2939.1864626893512</v>
      </c>
      <c r="Q7" s="215">
        <f>forecast!P5</f>
        <v>2939.1864626893512</v>
      </c>
      <c r="R7" s="215">
        <f>forecast!Q5</f>
        <v>2939.1864626893512</v>
      </c>
    </row>
    <row r="8" spans="2:18" x14ac:dyDescent="0.35">
      <c r="B8" t="str">
        <f>forecast!A6</f>
        <v>Non-ARP Subsidies + ARP Provider Relief and PPP</v>
      </c>
      <c r="C8" t="str">
        <f>forecast!B6</f>
        <v>federal_subsidies</v>
      </c>
      <c r="D8" s="215">
        <f>forecast!C6</f>
        <v>286.71096</v>
      </c>
      <c r="E8" s="215">
        <f>forecast!D6</f>
        <v>98.095732406535092</v>
      </c>
      <c r="F8" s="215">
        <f>forecast!E6</f>
        <v>58.64100000000002</v>
      </c>
      <c r="G8" s="215">
        <f>forecast!F6</f>
        <v>58.64100000000002</v>
      </c>
      <c r="H8" s="215">
        <f>forecast!G6</f>
        <v>58.64100000000002</v>
      </c>
      <c r="I8" s="215">
        <f>forecast!H6</f>
        <v>83.572500000000019</v>
      </c>
      <c r="J8" s="215">
        <f>forecast!I6</f>
        <v>83.572500000000019</v>
      </c>
      <c r="K8" s="215">
        <f>forecast!J6</f>
        <v>83.572500000000019</v>
      </c>
      <c r="L8" s="215">
        <f>forecast!K6</f>
        <v>83.572500000000019</v>
      </c>
      <c r="M8" s="215">
        <f>forecast!L6</f>
        <v>84.935000000000016</v>
      </c>
      <c r="N8" s="215">
        <f>forecast!M6</f>
        <v>84.935000000000016</v>
      </c>
      <c r="O8" s="215">
        <f>forecast!N6</f>
        <v>84.935000000000016</v>
      </c>
      <c r="P8" s="215">
        <f>forecast!O6</f>
        <v>84.935000000000016</v>
      </c>
      <c r="Q8" s="215">
        <f>forecast!P6</f>
        <v>77.001000000000005</v>
      </c>
      <c r="R8" s="215">
        <f>forecast!Q6</f>
        <v>77.001000000000005</v>
      </c>
    </row>
    <row r="9" spans="2:18" x14ac:dyDescent="0.35">
      <c r="B9" t="str">
        <f>forecast!A7</f>
        <v>ARP Subsidies less Provider Relief and PPP</v>
      </c>
      <c r="C9" t="str">
        <f>forecast!B7</f>
        <v>federal_aid_to_small_businesses_arp</v>
      </c>
      <c r="D9" s="215">
        <f>forecast!C7</f>
        <v>267.78904</v>
      </c>
      <c r="E9" s="215">
        <f>forecast!D7</f>
        <v>110.24799999999999</v>
      </c>
      <c r="F9" s="215">
        <f>forecast!E7</f>
        <v>110.24799999999999</v>
      </c>
      <c r="G9" s="215">
        <f>forecast!F7</f>
        <v>110.24799999999999</v>
      </c>
      <c r="H9" s="215">
        <f>forecast!G7</f>
        <v>110.24799999999999</v>
      </c>
      <c r="I9" s="215">
        <f>forecast!H7</f>
        <v>12.726000000000001</v>
      </c>
      <c r="J9" s="215">
        <f>forecast!I7</f>
        <v>12.726000000000001</v>
      </c>
      <c r="K9" s="215">
        <f>forecast!J7</f>
        <v>12.726000000000001</v>
      </c>
      <c r="L9" s="215">
        <f>forecast!K7</f>
        <v>12.726000000000001</v>
      </c>
      <c r="M9" s="215">
        <f>forecast!L7</f>
        <v>1.365</v>
      </c>
      <c r="N9" s="215">
        <f>forecast!M7</f>
        <v>1.365</v>
      </c>
      <c r="O9" s="215">
        <f>forecast!N7</f>
        <v>1.365</v>
      </c>
      <c r="P9" s="215">
        <f>forecast!O7</f>
        <v>1.365</v>
      </c>
      <c r="Q9" s="215">
        <f>forecast!P7</f>
        <v>-0.90100000000000025</v>
      </c>
      <c r="R9" s="215">
        <f>forecast!Q7</f>
        <v>-0.90100000000000025</v>
      </c>
    </row>
    <row r="10" spans="2:18" x14ac:dyDescent="0.35">
      <c r="B10" t="str">
        <f>forecast!A8</f>
        <v>Federal UI</v>
      </c>
      <c r="C10" t="str">
        <f>forecast!B8</f>
        <v>federal_ui</v>
      </c>
      <c r="D10" s="215">
        <f>forecast!C8</f>
        <v>236.5</v>
      </c>
      <c r="E10" s="215">
        <f>forecast!D8</f>
        <v>0</v>
      </c>
      <c r="F10" s="215">
        <f>forecast!E8</f>
        <v>0</v>
      </c>
      <c r="G10" s="215">
        <f>forecast!F8</f>
        <v>0</v>
      </c>
      <c r="H10" s="215">
        <f>forecast!G8</f>
        <v>0</v>
      </c>
      <c r="I10" s="215">
        <f>forecast!H8</f>
        <v>0</v>
      </c>
      <c r="J10" s="215">
        <f>forecast!I8</f>
        <v>0</v>
      </c>
      <c r="K10" s="215">
        <f>forecast!J8</f>
        <v>0</v>
      </c>
      <c r="L10" s="215">
        <f>forecast!K8</f>
        <v>0</v>
      </c>
      <c r="M10" s="215">
        <f>forecast!L8</f>
        <v>0</v>
      </c>
      <c r="N10" s="215">
        <f>forecast!M8</f>
        <v>0</v>
      </c>
      <c r="O10" s="215">
        <f>forecast!N8</f>
        <v>0</v>
      </c>
      <c r="P10" s="215">
        <f>forecast!O8</f>
        <v>0</v>
      </c>
      <c r="Q10" s="215">
        <f>forecast!P8</f>
        <v>0</v>
      </c>
      <c r="R10" s="215">
        <f>forecast!Q8</f>
        <v>0</v>
      </c>
    </row>
    <row r="11" spans="2:18" x14ac:dyDescent="0.35">
      <c r="B11" t="str">
        <f>forecast!A9</f>
        <v>State UI</v>
      </c>
      <c r="C11" t="str">
        <f>forecast!B9</f>
        <v>state_ui</v>
      </c>
      <c r="D11" s="215">
        <f>forecast!C9</f>
        <v>36.100000000000023</v>
      </c>
      <c r="E11" s="215">
        <f>forecast!D9</f>
        <v>32.412642857142878</v>
      </c>
      <c r="F11" s="215">
        <f>forecast!E9</f>
        <v>28.861246753246771</v>
      </c>
      <c r="G11" s="215">
        <f>forecast!F9</f>
        <v>26.856993506493524</v>
      </c>
      <c r="H11" s="215">
        <f>forecast!G9</f>
        <v>25.893545454545471</v>
      </c>
      <c r="I11" s="215">
        <f>forecast!H9</f>
        <v>25.57708441558443</v>
      </c>
      <c r="J11" s="215">
        <f>forecast!I9</f>
        <v>25.752896103896116</v>
      </c>
      <c r="K11" s="215">
        <f>forecast!J9</f>
        <v>26.1467142857143</v>
      </c>
      <c r="L11" s="215">
        <f>forecast!K9</f>
        <v>26.547564935064948</v>
      </c>
      <c r="M11" s="215">
        <f>forecast!L9</f>
        <v>26.969512987013001</v>
      </c>
      <c r="N11" s="215">
        <f>forecast!M9</f>
        <v>27.496948051948067</v>
      </c>
      <c r="O11" s="215">
        <f>forecast!N9</f>
        <v>27.932961038961054</v>
      </c>
      <c r="P11" s="215">
        <f>forecast!O9</f>
        <v>28.277551948051961</v>
      </c>
      <c r="Q11" s="215">
        <f>forecast!P9</f>
        <v>28.706532467532483</v>
      </c>
      <c r="R11" s="215">
        <f>forecast!Q9</f>
        <v>29.121448051948068</v>
      </c>
    </row>
    <row r="12" spans="2:18" x14ac:dyDescent="0.35">
      <c r="B12" t="str">
        <f>forecast!A10</f>
        <v>Federal Medicaid</v>
      </c>
      <c r="C12" t="str">
        <f>forecast!B10</f>
        <v>medicaid_grants</v>
      </c>
      <c r="D12" s="215">
        <f>forecast!C10</f>
        <v>530.82100000000003</v>
      </c>
      <c r="E12" s="215">
        <f>forecast!D10</f>
        <v>538.19018291204748</v>
      </c>
      <c r="F12" s="215">
        <f>forecast!E10</f>
        <v>551.80044706412866</v>
      </c>
      <c r="G12" s="215">
        <f>forecast!F10</f>
        <v>559.46087953640301</v>
      </c>
      <c r="H12" s="215">
        <f>forecast!G10</f>
        <v>532.32580649257125</v>
      </c>
      <c r="I12" s="215">
        <f>forecast!H10</f>
        <v>523.02182961904396</v>
      </c>
      <c r="J12" s="215">
        <f>forecast!I10</f>
        <v>516.10149912857014</v>
      </c>
      <c r="K12" s="215">
        <f>forecast!J10</f>
        <v>509.27273455635293</v>
      </c>
      <c r="L12" s="215">
        <f>forecast!K10</f>
        <v>502.53432435369587</v>
      </c>
      <c r="M12" s="215">
        <f>forecast!L10</f>
        <v>509.45176934458243</v>
      </c>
      <c r="N12" s="215">
        <f>forecast!M10</f>
        <v>516.46443379189816</v>
      </c>
      <c r="O12" s="215">
        <f>forecast!N10</f>
        <v>523.57362840283258</v>
      </c>
      <c r="P12" s="215">
        <f>forecast!O10</f>
        <v>530.78068192661613</v>
      </c>
      <c r="Q12" s="215">
        <f>forecast!P10</f>
        <v>538.08694140287128</v>
      </c>
      <c r="R12" s="215">
        <f>forecast!Q10</f>
        <v>545.49377241338152</v>
      </c>
    </row>
    <row r="13" spans="2:18" x14ac:dyDescent="0.35">
      <c r="B13" t="str">
        <f>forecast!A11</f>
        <v>Total Medicaid</v>
      </c>
      <c r="C13" t="str">
        <f>forecast!B11</f>
        <v>medicaid</v>
      </c>
      <c r="D13" s="215">
        <f>forecast!C11</f>
        <v>740</v>
      </c>
      <c r="E13" s="215">
        <f>forecast!D11</f>
        <v>750.27313417313019</v>
      </c>
      <c r="F13" s="215">
        <f>forecast!E11</f>
        <v>760.68888629996195</v>
      </c>
      <c r="G13" s="215">
        <f>forecast!F11</f>
        <v>771.24923629045986</v>
      </c>
      <c r="H13" s="215">
        <f>forecast!G11</f>
        <v>781.95619154091401</v>
      </c>
      <c r="I13" s="215">
        <f>forecast!H11</f>
        <v>771.60978730291697</v>
      </c>
      <c r="J13" s="215">
        <f>forecast!I11</f>
        <v>761.40028086279415</v>
      </c>
      <c r="K13" s="215">
        <f>forecast!J11</f>
        <v>751.32586086593074</v>
      </c>
      <c r="L13" s="215">
        <f>forecast!K11</f>
        <v>741.3847399245368</v>
      </c>
      <c r="M13" s="215">
        <f>forecast!L11</f>
        <v>751.58998941094046</v>
      </c>
      <c r="N13" s="215">
        <f>forecast!M11</f>
        <v>761.93571537530659</v>
      </c>
      <c r="O13" s="215">
        <f>forecast!N11</f>
        <v>772.42385149313111</v>
      </c>
      <c r="P13" s="215">
        <f>forecast!O11</f>
        <v>783.05635805718384</v>
      </c>
      <c r="Q13" s="215">
        <f>forecast!P11</f>
        <v>793.83522234389898</v>
      </c>
      <c r="R13" s="215">
        <f>forecast!Q11</f>
        <v>804.76245898480795</v>
      </c>
    </row>
    <row r="14" spans="2:18" x14ac:dyDescent="0.35">
      <c r="B14" t="str">
        <f>forecast!A12</f>
        <v>Medicare</v>
      </c>
      <c r="C14" t="str">
        <f>forecast!B12</f>
        <v>medicare</v>
      </c>
      <c r="D14" s="215">
        <f>forecast!C12</f>
        <v>826.5</v>
      </c>
      <c r="E14" s="215">
        <f>forecast!D12</f>
        <v>840.90322653846329</v>
      </c>
      <c r="F14" s="215">
        <f>forecast!E12</f>
        <v>840.36452608091781</v>
      </c>
      <c r="G14" s="215">
        <f>forecast!F12</f>
        <v>856.11491844085015</v>
      </c>
      <c r="H14" s="215">
        <f>forecast!G12</f>
        <v>858.15980902786953</v>
      </c>
      <c r="I14" s="215">
        <f>forecast!H12</f>
        <v>874.5047043210385</v>
      </c>
      <c r="J14" s="215">
        <f>forecast!I12</f>
        <v>891.12996993440447</v>
      </c>
      <c r="K14" s="215">
        <f>forecast!J12</f>
        <v>908.06562072077816</v>
      </c>
      <c r="L14" s="215">
        <f>forecast!K12</f>
        <v>925.31745141197712</v>
      </c>
      <c r="M14" s="215">
        <f>forecast!L12</f>
        <v>942.89136492448665</v>
      </c>
      <c r="N14" s="215">
        <f>forecast!M12</f>
        <v>960.53728015007744</v>
      </c>
      <c r="O14" s="215">
        <f>forecast!N12</f>
        <v>978.50792280104577</v>
      </c>
      <c r="P14" s="215">
        <f>forecast!O12</f>
        <v>996.8092686456896</v>
      </c>
      <c r="Q14" s="215">
        <f>forecast!P12</f>
        <v>1015.4474034208649</v>
      </c>
      <c r="R14" s="215">
        <f>forecast!Q12</f>
        <v>1034.4285248556728</v>
      </c>
    </row>
    <row r="15" spans="2:18" x14ac:dyDescent="0.35">
      <c r="B15" t="str">
        <f>forecast!A13</f>
        <v>Non-ARP Rebate Checks</v>
      </c>
      <c r="C15" t="str">
        <f>forecast!B13</f>
        <v>rebate_checks</v>
      </c>
      <c r="D15" s="215">
        <f>forecast!C13</f>
        <v>0</v>
      </c>
      <c r="E15" s="215">
        <f>forecast!D13</f>
        <v>0</v>
      </c>
      <c r="F15" s="215">
        <f>forecast!E13</f>
        <v>0</v>
      </c>
      <c r="G15" s="215">
        <f>forecast!F13</f>
        <v>0</v>
      </c>
      <c r="H15" s="215">
        <f>forecast!G13</f>
        <v>0</v>
      </c>
      <c r="I15" s="215">
        <f>forecast!H13</f>
        <v>0</v>
      </c>
      <c r="J15" s="215">
        <f>forecast!I13</f>
        <v>0</v>
      </c>
      <c r="K15" s="215">
        <f>forecast!J13</f>
        <v>0</v>
      </c>
      <c r="L15" s="215">
        <f>forecast!K13</f>
        <v>0</v>
      </c>
      <c r="M15" s="215">
        <f>forecast!L13</f>
        <v>0</v>
      </c>
      <c r="N15" s="215">
        <f>forecast!M13</f>
        <v>0</v>
      </c>
      <c r="O15" s="215">
        <f>forecast!N13</f>
        <v>0</v>
      </c>
      <c r="P15" s="215">
        <f>forecast!O13</f>
        <v>0</v>
      </c>
      <c r="Q15" s="215">
        <f>forecast!P13</f>
        <v>0</v>
      </c>
      <c r="R15" s="215">
        <f>forecast!Q13</f>
        <v>0</v>
      </c>
    </row>
    <row r="16" spans="2:18" x14ac:dyDescent="0.35">
      <c r="B16" t="str">
        <f>forecast!A14</f>
        <v>ARP Rebate Checks</v>
      </c>
      <c r="C16" t="str">
        <f>forecast!B14</f>
        <v>rebate_checks_arp</v>
      </c>
      <c r="D16" s="215">
        <f>forecast!C14</f>
        <v>38.9</v>
      </c>
      <c r="E16" s="215">
        <f>forecast!D14</f>
        <v>0</v>
      </c>
      <c r="F16" s="215">
        <f>forecast!E14</f>
        <v>14.93</v>
      </c>
      <c r="G16" s="215">
        <f>forecast!F14</f>
        <v>14.93</v>
      </c>
      <c r="H16" s="215">
        <f>forecast!G14</f>
        <v>0</v>
      </c>
      <c r="I16" s="215">
        <f>forecast!H14</f>
        <v>0</v>
      </c>
      <c r="J16" s="215">
        <f>forecast!I14</f>
        <v>0</v>
      </c>
      <c r="K16" s="215">
        <f>forecast!J14</f>
        <v>0</v>
      </c>
      <c r="L16" s="215">
        <f>forecast!K14</f>
        <v>0</v>
      </c>
      <c r="M16" s="215">
        <f>forecast!L14</f>
        <v>0</v>
      </c>
      <c r="N16" s="215">
        <f>forecast!M14</f>
        <v>0</v>
      </c>
      <c r="O16" s="215">
        <f>forecast!N14</f>
        <v>0</v>
      </c>
      <c r="P16" s="215">
        <f>forecast!O14</f>
        <v>0</v>
      </c>
      <c r="Q16" s="215">
        <f>forecast!P14</f>
        <v>0</v>
      </c>
      <c r="R16" s="215">
        <f>forecast!Q14</f>
        <v>0</v>
      </c>
    </row>
    <row r="17" spans="2:18" x14ac:dyDescent="0.35">
      <c r="B17" t="str">
        <f>forecast!A15</f>
        <v>ARP Other Vulnerable</v>
      </c>
      <c r="C17" t="str">
        <f>forecast!B15</f>
        <v>federal_other_vulnerable_arp</v>
      </c>
      <c r="D17" s="215">
        <f>forecast!C15</f>
        <v>137.43936000000005</v>
      </c>
      <c r="E17" s="215">
        <f>forecast!D15</f>
        <v>52.756999999999998</v>
      </c>
      <c r="F17" s="215">
        <f>forecast!E15</f>
        <v>52.756999999999998</v>
      </c>
      <c r="G17" s="215">
        <f>forecast!F15</f>
        <v>52.756999999999998</v>
      </c>
      <c r="H17" s="215">
        <f>forecast!G15</f>
        <v>52.756999999999998</v>
      </c>
      <c r="I17" s="215">
        <f>forecast!H15</f>
        <v>12</v>
      </c>
      <c r="J17" s="215">
        <f>forecast!I15</f>
        <v>12</v>
      </c>
      <c r="K17" s="215">
        <f>forecast!J15</f>
        <v>12</v>
      </c>
      <c r="L17" s="215">
        <f>forecast!K15</f>
        <v>12</v>
      </c>
      <c r="M17" s="215">
        <f>forecast!L15</f>
        <v>4.2219999999999995</v>
      </c>
      <c r="N17" s="215">
        <f>forecast!M15</f>
        <v>4.2219999999999995</v>
      </c>
      <c r="O17" s="215">
        <f>forecast!N15</f>
        <v>4.2219999999999995</v>
      </c>
      <c r="P17" s="215">
        <f>forecast!O15</f>
        <v>4.2219999999999995</v>
      </c>
      <c r="Q17" s="215">
        <f>forecast!P15</f>
        <v>2.3719999999999999</v>
      </c>
      <c r="R17" s="215">
        <f>forecast!Q15</f>
        <v>2.3719999999999999</v>
      </c>
    </row>
    <row r="18" spans="2:18" x14ac:dyDescent="0.35">
      <c r="B18" t="str">
        <f>forecast!A16</f>
        <v xml:space="preserve">ARP Other Direct Aid plus Provider Relief </v>
      </c>
      <c r="C18" t="str">
        <f>forecast!B16</f>
        <v>federal_other_direct_aid_arp</v>
      </c>
      <c r="D18" s="215">
        <f>forecast!C16</f>
        <v>40.50400000000004</v>
      </c>
      <c r="E18" s="215">
        <f>forecast!D16</f>
        <v>31.919000000000004</v>
      </c>
      <c r="F18" s="215">
        <f>forecast!E16</f>
        <v>19.719000000000005</v>
      </c>
      <c r="G18" s="215">
        <f>forecast!F16</f>
        <v>19.719000000000005</v>
      </c>
      <c r="H18" s="215">
        <f>forecast!G16</f>
        <v>19.719000000000005</v>
      </c>
      <c r="I18" s="215">
        <f>forecast!H16</f>
        <v>1.4159999999999999</v>
      </c>
      <c r="J18" s="215">
        <f>forecast!I16</f>
        <v>1.4159999999999999</v>
      </c>
      <c r="K18" s="215">
        <f>forecast!J16</f>
        <v>1.4159999999999999</v>
      </c>
      <c r="L18" s="215">
        <f>forecast!K16</f>
        <v>1.4159999999999999</v>
      </c>
      <c r="M18" s="215">
        <f>forecast!L16</f>
        <v>1.4790000000000001</v>
      </c>
      <c r="N18" s="215">
        <f>forecast!M16</f>
        <v>1.4790000000000001</v>
      </c>
      <c r="O18" s="215">
        <f>forecast!N16</f>
        <v>1.4790000000000001</v>
      </c>
      <c r="P18" s="215">
        <f>forecast!O16</f>
        <v>1.4790000000000001</v>
      </c>
      <c r="Q18" s="215">
        <f>forecast!P16</f>
        <v>1.63</v>
      </c>
      <c r="R18" s="215">
        <f>forecast!Q16</f>
        <v>1.63</v>
      </c>
    </row>
    <row r="19" spans="2:18" x14ac:dyDescent="0.35">
      <c r="B19" t="str">
        <f>forecast!A17</f>
        <v>Other Federal Social Benefits (including all SNAP)</v>
      </c>
      <c r="C19" t="str">
        <f>forecast!B17</f>
        <v>federal_social_benefits</v>
      </c>
      <c r="D19" s="215">
        <f>forecast!C17</f>
        <v>1740.3653900000011</v>
      </c>
      <c r="E19" s="215">
        <f>forecast!D17</f>
        <v>1734.8560133112776</v>
      </c>
      <c r="F19" s="215">
        <f>forecast!E17</f>
        <v>1925.7717570000004</v>
      </c>
      <c r="G19" s="215">
        <f>forecast!F17</f>
        <v>1927.8717570000006</v>
      </c>
      <c r="H19" s="215">
        <f>forecast!G17</f>
        <v>1887.9717570000007</v>
      </c>
      <c r="I19" s="215">
        <f>forecast!H17</f>
        <v>1890.0717570000008</v>
      </c>
      <c r="J19" s="215">
        <f>forecast!I17</f>
        <v>1888.9542463270002</v>
      </c>
      <c r="K19" s="215">
        <f>forecast!J17</f>
        <v>1896.0542463270003</v>
      </c>
      <c r="L19" s="215">
        <f>forecast!K17</f>
        <v>1903.1542463270005</v>
      </c>
      <c r="M19" s="215">
        <f>forecast!L17</f>
        <v>1910.2542463270006</v>
      </c>
      <c r="N19" s="215">
        <f>forecast!M17</f>
        <v>1987.266821382331</v>
      </c>
      <c r="O19" s="215">
        <f>forecast!N17</f>
        <v>1994.3668213823312</v>
      </c>
      <c r="P19" s="215">
        <f>forecast!O17</f>
        <v>2001.4668213823313</v>
      </c>
      <c r="Q19" s="215">
        <f>forecast!P17</f>
        <v>2008.5668213823315</v>
      </c>
      <c r="R19" s="215">
        <f>forecast!Q17</f>
        <v>2015.6668213823316</v>
      </c>
    </row>
    <row r="20" spans="2:18" x14ac:dyDescent="0.35">
      <c r="B20" t="str">
        <f>forecast!A18</f>
        <v>State Social Benefits ex Medicaid</v>
      </c>
      <c r="C20" t="str">
        <f>forecast!B18</f>
        <v>state_social_benefits</v>
      </c>
      <c r="D20" s="215">
        <f>forecast!C18</f>
        <v>157.39999999999998</v>
      </c>
      <c r="E20" s="215">
        <f>forecast!D18</f>
        <v>159.29290606014339</v>
      </c>
      <c r="F20" s="215">
        <f>forecast!E18</f>
        <v>161.20857637284416</v>
      </c>
      <c r="G20" s="215">
        <f>forecast!F18</f>
        <v>163.14728470297916</v>
      </c>
      <c r="H20" s="215">
        <f>forecast!G18</f>
        <v>165.10930810774545</v>
      </c>
      <c r="I20" s="215">
        <f>forecast!H18</f>
        <v>167.09492697625396</v>
      </c>
      <c r="J20" s="215">
        <f>forecast!I18</f>
        <v>169.10442506959942</v>
      </c>
      <c r="K20" s="215">
        <f>forecast!J18</f>
        <v>171.13808956141207</v>
      </c>
      <c r="L20" s="215">
        <f>forecast!K18</f>
        <v>173.19621107889725</v>
      </c>
      <c r="M20" s="215">
        <f>forecast!L18</f>
        <v>175.27908374436817</v>
      </c>
      <c r="N20" s="215">
        <f>forecast!M18</f>
        <v>177.38700521727858</v>
      </c>
      <c r="O20" s="215">
        <f>forecast!N18</f>
        <v>179.52027673676068</v>
      </c>
      <c r="P20" s="215">
        <f>forecast!O18</f>
        <v>181.6792031646745</v>
      </c>
      <c r="Q20" s="215">
        <f>forecast!P18</f>
        <v>183.86409302917539</v>
      </c>
      <c r="R20" s="215">
        <f>forecast!Q18</f>
        <v>186.075258568805</v>
      </c>
    </row>
    <row r="21" spans="2:18" x14ac:dyDescent="0.35">
      <c r="B21" t="str">
        <f>forecast!A19</f>
        <v>Federal Non-Corporate Taxes</v>
      </c>
      <c r="C21" t="str">
        <f>forecast!B19</f>
        <v>federal_non_corporate_taxes</v>
      </c>
      <c r="D21" s="215">
        <f>forecast!C19</f>
        <v>3739.4999999999995</v>
      </c>
      <c r="E21" s="215">
        <f>forecast!D19</f>
        <v>3823.82252855863</v>
      </c>
      <c r="F21" s="215">
        <f>forecast!E19</f>
        <v>3910.556758267564</v>
      </c>
      <c r="G21" s="215">
        <f>forecast!F19</f>
        <v>3999.7792623822525</v>
      </c>
      <c r="H21" s="215">
        <f>forecast!G19</f>
        <v>4091.5691349349081</v>
      </c>
      <c r="I21" s="215">
        <f>forecast!H19</f>
        <v>4097.0264369090428</v>
      </c>
      <c r="J21" s="215">
        <f>forecast!I19</f>
        <v>4102.7754026569237</v>
      </c>
      <c r="K21" s="215">
        <f>forecast!J19</f>
        <v>4108.8180240614884</v>
      </c>
      <c r="L21" s="215">
        <f>forecast!K19</f>
        <v>4115.1563236452866</v>
      </c>
      <c r="M21" s="215">
        <f>forecast!L19</f>
        <v>4167.1460361514019</v>
      </c>
      <c r="N21" s="215">
        <f>forecast!M19</f>
        <v>4219.9044796830367</v>
      </c>
      <c r="O21" s="215">
        <f>forecast!N19</f>
        <v>4273.4440710848967</v>
      </c>
      <c r="P21" s="215">
        <f>forecast!O19</f>
        <v>4327.777436302531</v>
      </c>
      <c r="Q21" s="215">
        <f>forecast!P19</f>
        <v>4349.9506772075001</v>
      </c>
      <c r="R21" s="215">
        <f>forecast!Q19</f>
        <v>4372.2767723476391</v>
      </c>
    </row>
    <row r="22" spans="2:18" x14ac:dyDescent="0.35">
      <c r="B22" t="str">
        <f>forecast!A20</f>
        <v>State Non-Corporate Taxes</v>
      </c>
      <c r="C22" t="str">
        <f>forecast!B20</f>
        <v>state_non_corporate_taxes</v>
      </c>
      <c r="D22" s="215">
        <f>forecast!C20</f>
        <v>2105.9</v>
      </c>
      <c r="E22" s="215">
        <f>forecast!D20</f>
        <v>2120.9227646076561</v>
      </c>
      <c r="F22" s="215">
        <f>forecast!E20</f>
        <v>2150.1214626082142</v>
      </c>
      <c r="G22" s="215">
        <f>forecast!F20</f>
        <v>2178.3025304043881</v>
      </c>
      <c r="H22" s="215">
        <f>forecast!G20</f>
        <v>2207.6291426343887</v>
      </c>
      <c r="I22" s="215">
        <f>forecast!H20</f>
        <v>2234.5192049980928</v>
      </c>
      <c r="J22" s="215">
        <f>forecast!I20</f>
        <v>2258.6479016494136</v>
      </c>
      <c r="K22" s="215">
        <f>forecast!J20</f>
        <v>2281.4446722707116</v>
      </c>
      <c r="L22" s="215">
        <f>forecast!K20</f>
        <v>2304.1429547281373</v>
      </c>
      <c r="M22" s="215">
        <f>forecast!L20</f>
        <v>2325.6941437487076</v>
      </c>
      <c r="N22" s="215">
        <f>forecast!M20</f>
        <v>2346.2482634367179</v>
      </c>
      <c r="O22" s="215">
        <f>forecast!N20</f>
        <v>2366.7752749938418</v>
      </c>
      <c r="P22" s="215">
        <f>forecast!O20</f>
        <v>2388.1951121347661</v>
      </c>
      <c r="Q22" s="215">
        <f>forecast!P20</f>
        <v>2408.6962876467583</v>
      </c>
      <c r="R22" s="215">
        <f>forecast!Q20</f>
        <v>2430.550117671296</v>
      </c>
    </row>
    <row r="23" spans="2:18" x14ac:dyDescent="0.35">
      <c r="B23" t="str">
        <f>forecast!A21</f>
        <v>Federal Corporate Taxes</v>
      </c>
      <c r="C23" t="str">
        <f>forecast!B21</f>
        <v>federal_corporate_taxes</v>
      </c>
      <c r="D23" s="215">
        <f>forecast!C21</f>
        <v>290.01506024096392</v>
      </c>
      <c r="E23" s="215">
        <f>forecast!D21</f>
        <v>293.86498655095386</v>
      </c>
      <c r="F23" s="215">
        <f>forecast!E21</f>
        <v>297.76602031922556</v>
      </c>
      <c r="G23" s="215">
        <f>forecast!F21</f>
        <v>301.71883999312627</v>
      </c>
      <c r="H23" s="215">
        <f>forecast!G21</f>
        <v>305.72413302633652</v>
      </c>
      <c r="I23" s="215">
        <f>forecast!H21</f>
        <v>318.58485068038271</v>
      </c>
      <c r="J23" s="215">
        <f>forecast!I21</f>
        <v>331.986572595165</v>
      </c>
      <c r="K23" s="215">
        <f>forecast!J21</f>
        <v>345.95205687936812</v>
      </c>
      <c r="L23" s="215">
        <f>forecast!K21</f>
        <v>360.50501899367657</v>
      </c>
      <c r="M23" s="215">
        <f>forecast!L21</f>
        <v>352.31033385925053</v>
      </c>
      <c r="N23" s="215">
        <f>forecast!M21</f>
        <v>344.30192314796523</v>
      </c>
      <c r="O23" s="215">
        <f>forecast!N21</f>
        <v>336.47555263237354</v>
      </c>
      <c r="P23" s="215">
        <f>forecast!O21</f>
        <v>328.82708433378747</v>
      </c>
      <c r="Q23" s="215">
        <f>forecast!P21</f>
        <v>329.67683813074603</v>
      </c>
      <c r="R23" s="215">
        <f>forecast!Q21</f>
        <v>330.52878785848361</v>
      </c>
    </row>
    <row r="24" spans="2:18" x14ac:dyDescent="0.35">
      <c r="B24" t="str">
        <f>forecast!A22</f>
        <v>State Corporate Taxes</v>
      </c>
      <c r="C24" t="str">
        <f>forecast!B22</f>
        <v>state_corporate_taxes</v>
      </c>
      <c r="D24" s="215">
        <f>forecast!C22</f>
        <v>119.87954743783622</v>
      </c>
      <c r="E24" s="215">
        <f>forecast!D22</f>
        <v>136.99869283723859</v>
      </c>
      <c r="F24" s="215">
        <f>forecast!E22</f>
        <v>134.49456252615579</v>
      </c>
      <c r="G24" s="215">
        <f>forecast!F22</f>
        <v>136.81657426915984</v>
      </c>
      <c r="H24" s="215">
        <f>forecast!G22</f>
        <v>137.45398925743547</v>
      </c>
      <c r="I24" s="215">
        <f>forecast!H22</f>
        <v>137.36292997339609</v>
      </c>
      <c r="J24" s="215">
        <f>forecast!I22</f>
        <v>136.67998534310078</v>
      </c>
      <c r="K24" s="215">
        <f>forecast!J22</f>
        <v>135.49621465058891</v>
      </c>
      <c r="L24" s="215">
        <f>forecast!K22</f>
        <v>134.76774037827391</v>
      </c>
      <c r="M24" s="215">
        <f>forecast!L22</f>
        <v>134.76774037827391</v>
      </c>
      <c r="N24" s="215">
        <f>forecast!M22</f>
        <v>134.56740995338728</v>
      </c>
      <c r="O24" s="215">
        <f>forecast!N22</f>
        <v>135.22758976267275</v>
      </c>
      <c r="P24" s="215">
        <f>forecast!O22</f>
        <v>135.78760435951492</v>
      </c>
      <c r="Q24" s="215">
        <f>forecast!P22</f>
        <v>136.55705530964764</v>
      </c>
      <c r="R24" s="215">
        <f>forecast!Q22</f>
        <v>136.9258454100071</v>
      </c>
    </row>
    <row r="27" spans="2:18" x14ac:dyDescent="0.35">
      <c r="B27" s="1117" t="s">
        <v>1228</v>
      </c>
      <c r="C27" s="1117"/>
      <c r="D27" s="1117"/>
      <c r="E27" s="1117"/>
      <c r="F27" s="1117"/>
      <c r="G27" s="1117"/>
      <c r="H27" s="1117"/>
      <c r="I27" s="1117"/>
      <c r="J27" s="1117"/>
      <c r="K27" s="1117"/>
      <c r="L27" s="1117"/>
      <c r="M27" s="1117"/>
      <c r="N27" s="1117"/>
      <c r="O27" s="1117"/>
      <c r="P27" s="1117"/>
      <c r="Q27" s="1117"/>
      <c r="R27" s="1117"/>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5">
        <v>367.47505614035089</v>
      </c>
      <c r="E29" s="215">
        <v>393.13708782957406</v>
      </c>
      <c r="F29" s="215">
        <v>401.59684440561404</v>
      </c>
      <c r="G29" s="215">
        <v>419.69377636126723</v>
      </c>
      <c r="H29" s="215">
        <v>438.34081535917659</v>
      </c>
      <c r="I29" s="215">
        <v>458.27990750346845</v>
      </c>
      <c r="J29" s="215">
        <v>478.97760180360723</v>
      </c>
      <c r="K29" s="215">
        <v>471.71644350775153</v>
      </c>
      <c r="L29" s="215">
        <v>479.39300748806158</v>
      </c>
      <c r="M29" s="215">
        <v>492.73634954758404</v>
      </c>
      <c r="N29" s="215">
        <v>481.54983616948743</v>
      </c>
      <c r="O29" s="714">
        <v>473.87554213626697</v>
      </c>
      <c r="P29" s="714">
        <v>489.00698046171772</v>
      </c>
      <c r="Q29" s="714">
        <v>503.86304218018643</v>
      </c>
      <c r="R29" s="714">
        <v>511.23178213939389</v>
      </c>
    </row>
    <row r="30" spans="2:18" x14ac:dyDescent="0.35">
      <c r="B30" t="s">
        <v>177</v>
      </c>
      <c r="C30" t="s">
        <v>238</v>
      </c>
      <c r="D30" s="215">
        <v>75.34842857142857</v>
      </c>
      <c r="E30" s="215">
        <v>75.34842857142857</v>
      </c>
      <c r="F30" s="215">
        <v>75.34842857142857</v>
      </c>
      <c r="G30" s="215">
        <v>75.34842857142857</v>
      </c>
      <c r="H30" s="215">
        <v>75.34842857142857</v>
      </c>
      <c r="I30" s="215">
        <v>75.34842857142857</v>
      </c>
      <c r="J30" s="215">
        <v>75.34842857142857</v>
      </c>
      <c r="K30" s="215">
        <v>75.34842857142857</v>
      </c>
      <c r="L30" s="215">
        <v>75.34842857142857</v>
      </c>
      <c r="M30" s="215">
        <v>75.34842857142857</v>
      </c>
      <c r="N30" s="215">
        <v>75.34842857142857</v>
      </c>
      <c r="O30" s="714">
        <v>75.34842857142857</v>
      </c>
      <c r="P30" s="714">
        <v>75.34842857142857</v>
      </c>
      <c r="Q30" s="714">
        <v>75.34842857142857</v>
      </c>
      <c r="R30" s="714">
        <v>75.34842857142857</v>
      </c>
    </row>
    <row r="31" spans="2:18" x14ac:dyDescent="0.35">
      <c r="B31" t="s">
        <v>239</v>
      </c>
      <c r="C31" t="s">
        <v>240</v>
      </c>
      <c r="D31" s="215">
        <v>1574.4706324651618</v>
      </c>
      <c r="E31" s="215">
        <v>1586.3910806856957</v>
      </c>
      <c r="F31" s="215">
        <v>1598.4948253539787</v>
      </c>
      <c r="G31" s="215">
        <v>1600.4852269719188</v>
      </c>
      <c r="H31" s="215">
        <v>1599.8246179233195</v>
      </c>
      <c r="I31" s="215">
        <v>1599.9925730575819</v>
      </c>
      <c r="J31" s="215">
        <v>1604.2713586599725</v>
      </c>
      <c r="K31" s="215">
        <v>1610.249863080161</v>
      </c>
      <c r="L31" s="215">
        <v>1617.9041839311014</v>
      </c>
      <c r="M31" s="215">
        <v>1626.9012547503785</v>
      </c>
      <c r="N31" s="215">
        <v>1635.7763242754954</v>
      </c>
      <c r="O31" s="714">
        <v>1644.6998090678856</v>
      </c>
      <c r="P31" s="714">
        <v>1654.0763434825342</v>
      </c>
      <c r="Q31" s="714">
        <v>1663.0996585149583</v>
      </c>
      <c r="R31" s="714">
        <v>1673.3979812645641</v>
      </c>
    </row>
    <row r="32" spans="2:18" x14ac:dyDescent="0.35">
      <c r="B32" t="s">
        <v>241</v>
      </c>
      <c r="C32" t="s">
        <v>242</v>
      </c>
      <c r="D32" s="215">
        <v>2511.7412338485101</v>
      </c>
      <c r="E32" s="215">
        <v>2572.3085810221137</v>
      </c>
      <c r="F32" s="215">
        <v>2628.3287825392817</v>
      </c>
      <c r="G32" s="215">
        <v>2679.3881349236467</v>
      </c>
      <c r="H32" s="215">
        <v>2725.0945444127983</v>
      </c>
      <c r="I32" s="215">
        <v>2761.8156687676387</v>
      </c>
      <c r="J32" s="215">
        <v>2795.7093181045493</v>
      </c>
      <c r="K32" s="215">
        <v>2830.0189182517779</v>
      </c>
      <c r="L32" s="215">
        <v>2864.7495738551802</v>
      </c>
      <c r="M32" s="215">
        <v>2899.9064522060216</v>
      </c>
      <c r="N32" s="215">
        <v>2935.494784009778</v>
      </c>
      <c r="O32" s="714">
        <v>2935.494784009778</v>
      </c>
      <c r="P32" s="714">
        <v>2935.494784009778</v>
      </c>
      <c r="Q32" s="714">
        <v>2935.494784009778</v>
      </c>
      <c r="R32" s="714">
        <v>2935.494784009778</v>
      </c>
    </row>
    <row r="33" spans="2:18" x14ac:dyDescent="0.35">
      <c r="B33" t="s">
        <v>243</v>
      </c>
      <c r="C33" t="s">
        <v>244</v>
      </c>
      <c r="D33" s="215">
        <v>595.75266818970692</v>
      </c>
      <c r="E33" s="215">
        <v>116.33678854309755</v>
      </c>
      <c r="F33" s="215">
        <v>83.047368421052624</v>
      </c>
      <c r="G33" s="215">
        <v>77.633834586466179</v>
      </c>
      <c r="H33" s="215">
        <v>77.633834586466179</v>
      </c>
      <c r="I33" s="215">
        <v>75.736000000000004</v>
      </c>
      <c r="J33" s="215">
        <v>75.736000000000004</v>
      </c>
      <c r="K33" s="215">
        <v>75.736000000000004</v>
      </c>
      <c r="L33" s="215">
        <v>75.736000000000004</v>
      </c>
      <c r="M33" s="215">
        <v>74.060000000000016</v>
      </c>
      <c r="N33" s="215">
        <v>74.060000000000016</v>
      </c>
      <c r="O33" s="714">
        <v>74.060000000000016</v>
      </c>
      <c r="P33" s="714">
        <v>74.060000000000016</v>
      </c>
      <c r="Q33" s="714">
        <v>77.001000000000005</v>
      </c>
      <c r="R33" s="714">
        <v>77.001000000000005</v>
      </c>
    </row>
    <row r="34" spans="2:18" x14ac:dyDescent="0.35">
      <c r="B34" t="s">
        <v>245</v>
      </c>
      <c r="C34" t="s">
        <v>246</v>
      </c>
      <c r="D34" s="215">
        <v>267.78904</v>
      </c>
      <c r="E34" s="215">
        <v>110.24799999999999</v>
      </c>
      <c r="F34" s="215">
        <v>110.24799999999999</v>
      </c>
      <c r="G34" s="215">
        <v>110.24799999999999</v>
      </c>
      <c r="H34" s="215">
        <v>110.24799999999999</v>
      </c>
      <c r="I34" s="215">
        <v>12.726000000000001</v>
      </c>
      <c r="J34" s="215">
        <v>12.726000000000001</v>
      </c>
      <c r="K34" s="215">
        <v>12.726000000000001</v>
      </c>
      <c r="L34" s="215">
        <v>12.726000000000001</v>
      </c>
      <c r="M34" s="215">
        <v>1.365</v>
      </c>
      <c r="N34" s="215">
        <v>1.365</v>
      </c>
      <c r="O34" s="714">
        <v>1.365</v>
      </c>
      <c r="P34" s="714">
        <v>1.365</v>
      </c>
      <c r="Q34" s="714">
        <v>-0.90100000000000025</v>
      </c>
      <c r="R34" s="714">
        <v>-0.90100000000000025</v>
      </c>
    </row>
    <row r="35" spans="2:18" x14ac:dyDescent="0.35">
      <c r="B35" t="s">
        <v>247</v>
      </c>
      <c r="C35" t="s">
        <v>248</v>
      </c>
      <c r="D35" s="215">
        <v>274.93781665755427</v>
      </c>
      <c r="E35" s="215">
        <v>0</v>
      </c>
      <c r="F35" s="215">
        <v>0</v>
      </c>
      <c r="G35" s="215">
        <v>0</v>
      </c>
      <c r="H35" s="215">
        <v>0</v>
      </c>
      <c r="I35" s="215">
        <v>0</v>
      </c>
      <c r="J35" s="215">
        <v>0</v>
      </c>
      <c r="K35" s="215">
        <v>0</v>
      </c>
      <c r="L35" s="215">
        <v>0</v>
      </c>
      <c r="M35" s="215">
        <v>0</v>
      </c>
      <c r="N35" s="215">
        <v>0</v>
      </c>
      <c r="O35" s="714">
        <v>0</v>
      </c>
      <c r="P35" s="714">
        <v>0</v>
      </c>
      <c r="Q35" s="714">
        <v>0</v>
      </c>
      <c r="R35" s="714">
        <v>0</v>
      </c>
    </row>
    <row r="36" spans="2:18" x14ac:dyDescent="0.35">
      <c r="B36" t="s">
        <v>249</v>
      </c>
      <c r="C36" t="s">
        <v>250</v>
      </c>
      <c r="D36" s="215">
        <v>31.028850009112375</v>
      </c>
      <c r="E36" s="215">
        <v>26.993576763306706</v>
      </c>
      <c r="F36" s="215">
        <v>24.035938172404151</v>
      </c>
      <c r="G36" s="215">
        <v>22.366775799320529</v>
      </c>
      <c r="H36" s="215">
        <v>21.564406518224189</v>
      </c>
      <c r="I36" s="215">
        <v>21.300854564579407</v>
      </c>
      <c r="J36" s="215">
        <v>21.447272316604284</v>
      </c>
      <c r="K36" s="215">
        <v>21.775248081140013</v>
      </c>
      <c r="L36" s="215">
        <v>22.109080555756737</v>
      </c>
      <c r="M36" s="215">
        <v>22.460483160616448</v>
      </c>
      <c r="N36" s="215">
        <v>22.899736416691088</v>
      </c>
      <c r="O36" s="714">
        <v>23.262852441712788</v>
      </c>
      <c r="P36" s="714">
        <v>23.549831235681548</v>
      </c>
      <c r="Q36" s="714">
        <v>23.90709055062225</v>
      </c>
      <c r="R36" s="714">
        <v>24.252636445400967</v>
      </c>
    </row>
    <row r="37" spans="2:18" x14ac:dyDescent="0.35">
      <c r="B37" t="s">
        <v>251</v>
      </c>
      <c r="C37" t="s">
        <v>252</v>
      </c>
      <c r="D37" s="215">
        <v>547.57595207590032</v>
      </c>
      <c r="E37" s="215">
        <v>556.28542243630216</v>
      </c>
      <c r="F37" s="215">
        <v>586.49810473345599</v>
      </c>
      <c r="G37" s="215">
        <v>595.82665146791862</v>
      </c>
      <c r="H37" s="215">
        <v>549.54190449377256</v>
      </c>
      <c r="I37" s="215">
        <v>548.64497088822941</v>
      </c>
      <c r="J37" s="215">
        <v>550.31101855727047</v>
      </c>
      <c r="K37" s="215">
        <v>551.98212544490059</v>
      </c>
      <c r="L37" s="215">
        <v>553.65830691424128</v>
      </c>
      <c r="M37" s="215">
        <v>576.34049222359647</v>
      </c>
      <c r="N37" s="215">
        <v>599.95191768700158</v>
      </c>
      <c r="O37" s="714">
        <v>624.53065226704177</v>
      </c>
      <c r="P37" s="714">
        <v>650.11632452949686</v>
      </c>
      <c r="Q37" s="714">
        <v>676.75018653691563</v>
      </c>
      <c r="R37" s="714">
        <v>704.47518035977316</v>
      </c>
    </row>
    <row r="38" spans="2:18" x14ac:dyDescent="0.35">
      <c r="B38" t="s">
        <v>253</v>
      </c>
      <c r="C38" t="s">
        <v>254</v>
      </c>
      <c r="D38" s="215">
        <v>758.13333333333333</v>
      </c>
      <c r="E38" s="215">
        <v>770.19182452686925</v>
      </c>
      <c r="F38" s="215">
        <v>782.4421120753093</v>
      </c>
      <c r="G38" s="215">
        <v>794.88724659594573</v>
      </c>
      <c r="H38" s="215">
        <v>807.53032722767</v>
      </c>
      <c r="I38" s="215">
        <v>809.98252143475349</v>
      </c>
      <c r="J38" s="215">
        <v>812.44216211935804</v>
      </c>
      <c r="K38" s="215">
        <v>814.90927189389629</v>
      </c>
      <c r="L38" s="215">
        <v>817.38387343944726</v>
      </c>
      <c r="M38" s="215">
        <v>850.87032574170428</v>
      </c>
      <c r="N38" s="215">
        <v>885.72864568685088</v>
      </c>
      <c r="O38" s="714">
        <v>922.01503572991635</v>
      </c>
      <c r="P38" s="714">
        <v>959.78800081915347</v>
      </c>
      <c r="Q38" s="714">
        <v>999.10844272421411</v>
      </c>
      <c r="R38" s="714">
        <v>1040.0397582287465</v>
      </c>
    </row>
    <row r="39" spans="2:18" x14ac:dyDescent="0.35">
      <c r="B39" t="s">
        <v>76</v>
      </c>
      <c r="C39" t="s">
        <v>255</v>
      </c>
      <c r="D39" s="215">
        <v>826.23333333333323</v>
      </c>
      <c r="E39" s="215">
        <v>840.63183265898397</v>
      </c>
      <c r="F39" s="215">
        <v>840.08805772363996</v>
      </c>
      <c r="G39" s="215">
        <v>855.83328072402855</v>
      </c>
      <c r="H39" s="215">
        <v>857.87290529567576</v>
      </c>
      <c r="I39" s="215">
        <v>874.21243611038949</v>
      </c>
      <c r="J39" s="215">
        <v>890.83224522632338</v>
      </c>
      <c r="K39" s="215">
        <v>907.76233764525955</v>
      </c>
      <c r="L39" s="215">
        <v>925.00850619715482</v>
      </c>
      <c r="M39" s="215">
        <v>942.57665186112683</v>
      </c>
      <c r="N39" s="215">
        <v>960.21677560684873</v>
      </c>
      <c r="O39" s="714">
        <v>978.18152020074194</v>
      </c>
      <c r="P39" s="714">
        <v>996.47685944982652</v>
      </c>
      <c r="Q39" s="714">
        <v>1015.1088770935885</v>
      </c>
      <c r="R39" s="714">
        <v>1034.0837688270024</v>
      </c>
    </row>
    <row r="40" spans="2:18" x14ac:dyDescent="0.35">
      <c r="B40" t="s">
        <v>256</v>
      </c>
      <c r="C40" t="s">
        <v>257</v>
      </c>
      <c r="D40" s="215">
        <v>0</v>
      </c>
      <c r="E40" s="215">
        <v>0</v>
      </c>
      <c r="F40" s="215">
        <v>0</v>
      </c>
      <c r="G40" s="215">
        <v>0</v>
      </c>
      <c r="H40" s="215">
        <v>0</v>
      </c>
      <c r="I40" s="215">
        <v>0</v>
      </c>
      <c r="J40" s="215">
        <v>0</v>
      </c>
      <c r="K40" s="215">
        <v>0</v>
      </c>
      <c r="L40" s="215">
        <v>0</v>
      </c>
      <c r="M40" s="215">
        <v>0</v>
      </c>
      <c r="N40" s="215">
        <v>0</v>
      </c>
      <c r="O40" s="714">
        <v>0</v>
      </c>
      <c r="P40" s="714">
        <v>0</v>
      </c>
      <c r="Q40" s="714">
        <v>0</v>
      </c>
      <c r="R40" s="714">
        <v>0</v>
      </c>
    </row>
    <row r="41" spans="2:18" x14ac:dyDescent="0.35">
      <c r="B41" t="s">
        <v>258</v>
      </c>
      <c r="C41" t="s">
        <v>259</v>
      </c>
      <c r="D41" s="215">
        <v>38.699999999999996</v>
      </c>
      <c r="E41" s="215">
        <v>0</v>
      </c>
      <c r="F41" s="215">
        <v>14.93</v>
      </c>
      <c r="G41" s="215">
        <v>14.93</v>
      </c>
      <c r="H41" s="215">
        <v>0</v>
      </c>
      <c r="I41" s="215">
        <v>0</v>
      </c>
      <c r="J41" s="215">
        <v>0</v>
      </c>
      <c r="K41" s="215">
        <v>0</v>
      </c>
      <c r="L41" s="215">
        <v>0</v>
      </c>
      <c r="M41" s="215">
        <v>0</v>
      </c>
      <c r="N41" s="215">
        <v>0</v>
      </c>
      <c r="O41" s="714">
        <v>0</v>
      </c>
      <c r="P41" s="714">
        <v>0</v>
      </c>
      <c r="Q41" s="714">
        <v>0</v>
      </c>
      <c r="R41" s="714">
        <v>0</v>
      </c>
    </row>
    <row r="42" spans="2:18" x14ac:dyDescent="0.35">
      <c r="B42" t="s">
        <v>260</v>
      </c>
      <c r="C42" t="s">
        <v>261</v>
      </c>
      <c r="D42" s="215">
        <v>137.43936000000005</v>
      </c>
      <c r="E42" s="215">
        <v>52.756999999999998</v>
      </c>
      <c r="F42" s="215">
        <v>52.756999999999998</v>
      </c>
      <c r="G42" s="215">
        <v>52.756999999999998</v>
      </c>
      <c r="H42" s="215">
        <v>52.756999999999998</v>
      </c>
      <c r="I42" s="215">
        <v>12</v>
      </c>
      <c r="J42" s="215">
        <v>12</v>
      </c>
      <c r="K42" s="215">
        <v>12</v>
      </c>
      <c r="L42" s="215">
        <v>12</v>
      </c>
      <c r="M42" s="215">
        <v>4.2219999999999995</v>
      </c>
      <c r="N42" s="215">
        <v>4.2219999999999995</v>
      </c>
      <c r="O42" s="714">
        <v>4.2219999999999995</v>
      </c>
      <c r="P42" s="714">
        <v>4.2219999999999995</v>
      </c>
      <c r="Q42" s="714">
        <v>2.3719999999999999</v>
      </c>
      <c r="R42" s="714">
        <v>2.3719999999999999</v>
      </c>
    </row>
    <row r="43" spans="2:18" x14ac:dyDescent="0.35">
      <c r="B43" t="s">
        <v>262</v>
      </c>
      <c r="C43" t="s">
        <v>263</v>
      </c>
      <c r="D43" s="215">
        <v>203.10400000000004</v>
      </c>
      <c r="E43" s="215">
        <v>74.718999999999994</v>
      </c>
      <c r="F43" s="215">
        <v>74.718999999999994</v>
      </c>
      <c r="G43" s="215">
        <v>74.718999999999994</v>
      </c>
      <c r="H43" s="215">
        <v>74.718999999999994</v>
      </c>
      <c r="I43" s="215">
        <v>2.1159999999999997</v>
      </c>
      <c r="J43" s="215">
        <v>2.1159999999999997</v>
      </c>
      <c r="K43" s="215">
        <v>2.1159999999999997</v>
      </c>
      <c r="L43" s="215">
        <v>2.1159999999999997</v>
      </c>
      <c r="M43" s="215">
        <v>2.1789999999999998</v>
      </c>
      <c r="N43" s="215">
        <v>2.1789999999999998</v>
      </c>
      <c r="O43" s="714">
        <v>2.1789999999999998</v>
      </c>
      <c r="P43" s="714">
        <v>2.1789999999999998</v>
      </c>
      <c r="Q43" s="714">
        <v>2.33</v>
      </c>
      <c r="R43" s="714">
        <v>2.33</v>
      </c>
    </row>
    <row r="44" spans="2:18" x14ac:dyDescent="0.35">
      <c r="B44" t="s">
        <v>264</v>
      </c>
      <c r="C44" t="s">
        <v>265</v>
      </c>
      <c r="D44" s="215">
        <v>1692.5000000000009</v>
      </c>
      <c r="E44" s="215">
        <v>1669.600000000001</v>
      </c>
      <c r="F44" s="215">
        <v>1710.3262120071224</v>
      </c>
      <c r="G44" s="215">
        <v>1712.4262120071226</v>
      </c>
      <c r="H44" s="215">
        <v>1704.5262120071227</v>
      </c>
      <c r="I44" s="215">
        <v>1706.6262120071228</v>
      </c>
      <c r="J44" s="215">
        <v>1783.9785508694649</v>
      </c>
      <c r="K44" s="215">
        <v>1791.0785508694651</v>
      </c>
      <c r="L44" s="215">
        <v>1798.1785508694652</v>
      </c>
      <c r="M44" s="215">
        <v>1805.2785508694653</v>
      </c>
      <c r="N44" s="215">
        <v>1878.701320206336</v>
      </c>
      <c r="O44" s="714">
        <v>1885.8013202063362</v>
      </c>
      <c r="P44" s="714">
        <v>1892.9013202063363</v>
      </c>
      <c r="Q44" s="714">
        <v>1900.0013202063365</v>
      </c>
      <c r="R44" s="714">
        <v>1907.1013202063366</v>
      </c>
    </row>
    <row r="45" spans="2:18" x14ac:dyDescent="0.35">
      <c r="B45" t="s">
        <v>266</v>
      </c>
      <c r="C45" t="s">
        <v>267</v>
      </c>
      <c r="D45" s="215">
        <v>156.86404345185662</v>
      </c>
      <c r="E45" s="215">
        <v>158.75050405203845</v>
      </c>
      <c r="F45" s="215">
        <v>160.65965139111677</v>
      </c>
      <c r="G45" s="215">
        <v>162.59175830178242</v>
      </c>
      <c r="H45" s="215">
        <v>164.54710089783592</v>
      </c>
      <c r="I45" s="215">
        <v>166.52595861364625</v>
      </c>
      <c r="J45" s="215">
        <v>168.52861424408439</v>
      </c>
      <c r="K45" s="215">
        <v>170.555353984937</v>
      </c>
      <c r="L45" s="215">
        <v>172.60646747380608</v>
      </c>
      <c r="M45" s="215">
        <v>174.68224783150058</v>
      </c>
      <c r="N45" s="215">
        <v>176.78299170392575</v>
      </c>
      <c r="O45" s="714">
        <v>178.90899930447623</v>
      </c>
      <c r="P45" s="714">
        <v>181.06057445693898</v>
      </c>
      <c r="Q45" s="714">
        <v>183.23802463891224</v>
      </c>
      <c r="R45" s="714">
        <v>185.44166102574647</v>
      </c>
    </row>
    <row r="46" spans="2:18" x14ac:dyDescent="0.35">
      <c r="B46" t="s">
        <v>268</v>
      </c>
      <c r="C46" t="s">
        <v>269</v>
      </c>
      <c r="D46" s="215">
        <v>3704.1438722113307</v>
      </c>
      <c r="E46" s="215">
        <v>3754.6321989772041</v>
      </c>
      <c r="F46" s="215">
        <v>3790.7238057954069</v>
      </c>
      <c r="G46" s="215">
        <v>3840.889887743801</v>
      </c>
      <c r="H46" s="215">
        <v>3887.0163916019224</v>
      </c>
      <c r="I46" s="215">
        <v>3930.0199767154968</v>
      </c>
      <c r="J46" s="215">
        <v>3964.5192614697726</v>
      </c>
      <c r="K46" s="215">
        <v>4003.335054718309</v>
      </c>
      <c r="L46" s="215">
        <v>4041.8237980896938</v>
      </c>
      <c r="M46" s="215">
        <v>4079.4959409347007</v>
      </c>
      <c r="N46" s="215">
        <v>4115.8988989802419</v>
      </c>
      <c r="O46" s="714">
        <v>4151.9534136676202</v>
      </c>
      <c r="P46" s="714">
        <v>4189.6512564334271</v>
      </c>
      <c r="Q46" s="714">
        <v>4227.3775725223713</v>
      </c>
      <c r="R46" s="714">
        <v>4266.1932043264842</v>
      </c>
    </row>
    <row r="47" spans="2:18" x14ac:dyDescent="0.35">
      <c r="B47" t="s">
        <v>270</v>
      </c>
      <c r="C47" t="s">
        <v>271</v>
      </c>
      <c r="D47" s="215">
        <v>2125.9726076311817</v>
      </c>
      <c r="E47" s="215">
        <v>2155.3942314510159</v>
      </c>
      <c r="F47" s="215">
        <v>2185.0603841266534</v>
      </c>
      <c r="G47" s="215">
        <v>2213.6875316758305</v>
      </c>
      <c r="H47" s="215">
        <v>2243.5053638699783</v>
      </c>
      <c r="I47" s="215">
        <v>2270.8433255262512</v>
      </c>
      <c r="J47" s="215">
        <v>2295.3654949409201</v>
      </c>
      <c r="K47" s="215">
        <v>2318.5295905437215</v>
      </c>
      <c r="L47" s="215">
        <v>2341.597501311111</v>
      </c>
      <c r="M47" s="215">
        <v>2363.4986926863667</v>
      </c>
      <c r="N47" s="215">
        <v>2384.3808408298901</v>
      </c>
      <c r="O47" s="714">
        <v>2405.2430563405842</v>
      </c>
      <c r="P47" s="714">
        <v>2427.0100235556151</v>
      </c>
      <c r="Q47" s="714">
        <v>2447.834048340645</v>
      </c>
      <c r="R47" s="714">
        <v>2470.0355853205438</v>
      </c>
    </row>
    <row r="48" spans="2:18" x14ac:dyDescent="0.35">
      <c r="B48" t="s">
        <v>272</v>
      </c>
      <c r="C48" t="s">
        <v>273</v>
      </c>
      <c r="D48" s="215">
        <v>290.01506024096392</v>
      </c>
      <c r="E48" s="215">
        <v>293.3295180722892</v>
      </c>
      <c r="F48" s="215">
        <v>331.9957125021694</v>
      </c>
      <c r="G48" s="215">
        <v>337.72752744381148</v>
      </c>
      <c r="H48" s="215">
        <v>339.30096683955634</v>
      </c>
      <c r="I48" s="215">
        <v>339.07618978302133</v>
      </c>
      <c r="J48" s="215">
        <v>337.39036185900898</v>
      </c>
      <c r="K48" s="215">
        <v>334.46826012405421</v>
      </c>
      <c r="L48" s="215">
        <v>332.67004367177435</v>
      </c>
      <c r="M48" s="215">
        <v>332.67004367177435</v>
      </c>
      <c r="N48" s="215">
        <v>332.1755341473974</v>
      </c>
      <c r="O48" s="714">
        <v>333.80516780727601</v>
      </c>
      <c r="P48" s="714">
        <v>335.18754670496617</v>
      </c>
      <c r="Q48" s="714">
        <v>337.08691283268678</v>
      </c>
      <c r="R48" s="714">
        <v>337.99725991165343</v>
      </c>
    </row>
    <row r="49" spans="2:18" x14ac:dyDescent="0.35">
      <c r="B49" t="s">
        <v>274</v>
      </c>
      <c r="C49" t="s">
        <v>275</v>
      </c>
      <c r="D49" s="215">
        <v>119.87954743783622</v>
      </c>
      <c r="E49" s="215">
        <v>121.24959940855436</v>
      </c>
      <c r="F49" s="215">
        <v>119.03333886768679</v>
      </c>
      <c r="G49" s="215">
        <v>121.08841682376399</v>
      </c>
      <c r="H49" s="215">
        <v>121.65255587053028</v>
      </c>
      <c r="I49" s="215">
        <v>121.57196457813509</v>
      </c>
      <c r="J49" s="215">
        <v>120.96752988517122</v>
      </c>
      <c r="K49" s="215">
        <v>119.91984308403381</v>
      </c>
      <c r="L49" s="215">
        <v>119.27511274487235</v>
      </c>
      <c r="M49" s="215">
        <v>119.27511274487235</v>
      </c>
      <c r="N49" s="215">
        <v>119.09781190160294</v>
      </c>
      <c r="O49" s="714">
        <v>119.68209877146802</v>
      </c>
      <c r="P49" s="714">
        <v>120.17773521969842</v>
      </c>
      <c r="Q49" s="714">
        <v>120.85873164043772</v>
      </c>
      <c r="R49" s="714">
        <v>121.18512637463822</v>
      </c>
    </row>
    <row r="52" spans="2:18" x14ac:dyDescent="0.35">
      <c r="B52" s="1117" t="s">
        <v>276</v>
      </c>
      <c r="C52" s="1117"/>
      <c r="D52" s="1117"/>
      <c r="E52" s="1117"/>
      <c r="F52" s="1117"/>
      <c r="G52" s="1117"/>
      <c r="H52" s="1117"/>
      <c r="I52" s="1117"/>
      <c r="J52" s="1117"/>
      <c r="K52" s="1117"/>
      <c r="L52" s="1117"/>
      <c r="M52" s="1117"/>
      <c r="N52" s="1117"/>
      <c r="O52" s="1117"/>
      <c r="P52" s="1117"/>
      <c r="Q52" s="1117"/>
      <c r="R52" s="1117"/>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5">
        <f t="shared" ref="D54:N54" si="0">D4-D29</f>
        <v>16.64794385964899</v>
      </c>
      <c r="E54" s="215">
        <f t="shared" si="0"/>
        <v>-20.116547191736004</v>
      </c>
      <c r="F54" s="215">
        <f t="shared" si="0"/>
        <v>-31.077033474094833</v>
      </c>
      <c r="G54" s="215">
        <f t="shared" si="0"/>
        <v>-34.752262148942918</v>
      </c>
      <c r="H54" s="215">
        <f t="shared" si="0"/>
        <v>-42.365542692510132</v>
      </c>
      <c r="I54" s="215">
        <f t="shared" si="0"/>
        <v>-49.328909173592876</v>
      </c>
      <c r="J54" s="215">
        <f t="shared" si="0"/>
        <v>-57.689950626827226</v>
      </c>
      <c r="K54" s="215">
        <f t="shared" si="0"/>
        <v>-66.448376166934281</v>
      </c>
      <c r="L54" s="215">
        <f t="shared" si="0"/>
        <v>-75.620701354728453</v>
      </c>
      <c r="M54" s="215">
        <f t="shared" si="0"/>
        <v>-85.224108484513408</v>
      </c>
      <c r="N54" s="215">
        <f t="shared" si="0"/>
        <v>-95.276473313636188</v>
      </c>
      <c r="O54" s="215">
        <f t="shared" ref="O54:R54" si="1">O4-O29</f>
        <v>-105.79639286181703</v>
      </c>
      <c r="P54" s="215">
        <f t="shared" si="1"/>
        <v>-116.80321432305124</v>
      </c>
      <c r="Q54" s="215">
        <f t="shared" si="1"/>
        <v>-128.31706513459301</v>
      </c>
      <c r="R54" s="215">
        <f t="shared" si="1"/>
        <v>-140.35888424930863</v>
      </c>
    </row>
    <row r="55" spans="2:18" x14ac:dyDescent="0.35">
      <c r="B55" t="s">
        <v>177</v>
      </c>
      <c r="C55" t="s">
        <v>238</v>
      </c>
      <c r="D55" s="215">
        <f t="shared" ref="D55:N55" si="2">D5-D30</f>
        <v>-2.5814285714285745</v>
      </c>
      <c r="E55" s="215">
        <f t="shared" si="2"/>
        <v>0</v>
      </c>
      <c r="F55" s="215">
        <f t="shared" si="2"/>
        <v>0</v>
      </c>
      <c r="G55" s="215">
        <f t="shared" si="2"/>
        <v>0</v>
      </c>
      <c r="H55" s="215">
        <f t="shared" si="2"/>
        <v>0</v>
      </c>
      <c r="I55" s="215">
        <f t="shared" si="2"/>
        <v>0</v>
      </c>
      <c r="J55" s="215">
        <f t="shared" si="2"/>
        <v>0</v>
      </c>
      <c r="K55" s="215">
        <f t="shared" si="2"/>
        <v>0</v>
      </c>
      <c r="L55" s="215">
        <f t="shared" si="2"/>
        <v>0</v>
      </c>
      <c r="M55" s="215">
        <f t="shared" si="2"/>
        <v>0</v>
      </c>
      <c r="N55" s="215">
        <f t="shared" si="2"/>
        <v>0</v>
      </c>
      <c r="O55" s="215">
        <f t="shared" ref="O55:R55" si="3">O5-O30</f>
        <v>0</v>
      </c>
      <c r="P55" s="215">
        <f t="shared" si="3"/>
        <v>0</v>
      </c>
      <c r="Q55" s="215">
        <f t="shared" si="3"/>
        <v>0</v>
      </c>
      <c r="R55" s="215">
        <f t="shared" si="3"/>
        <v>0</v>
      </c>
    </row>
    <row r="56" spans="2:18" x14ac:dyDescent="0.35">
      <c r="B56" t="s">
        <v>239</v>
      </c>
      <c r="C56" t="s">
        <v>240</v>
      </c>
      <c r="D56" s="215">
        <f t="shared" ref="D56:N74" si="4">D6-D31</f>
        <v>-12.370632465161862</v>
      </c>
      <c r="E56" s="215">
        <f t="shared" si="4"/>
        <v>-12.464291553312023</v>
      </c>
      <c r="F56" s="215">
        <f t="shared" si="4"/>
        <v>-12.559390803597353</v>
      </c>
      <c r="G56" s="215">
        <f t="shared" si="4"/>
        <v>-12.575029410228581</v>
      </c>
      <c r="H56" s="215">
        <f t="shared" si="4"/>
        <v>-12.569838997924307</v>
      </c>
      <c r="I56" s="215">
        <f t="shared" si="4"/>
        <v>-12.571158623196197</v>
      </c>
      <c r="J56" s="215">
        <f t="shared" si="4"/>
        <v>-12.604777087074126</v>
      </c>
      <c r="K56" s="215">
        <f t="shared" si="4"/>
        <v>-12.651750259738265</v>
      </c>
      <c r="L56" s="215">
        <f t="shared" si="4"/>
        <v>-12.711890339880256</v>
      </c>
      <c r="M56" s="215">
        <f t="shared" si="4"/>
        <v>-12.7825804207705</v>
      </c>
      <c r="N56" s="215">
        <f t="shared" si="4"/>
        <v>-12.852311936198021</v>
      </c>
      <c r="O56" s="215">
        <f t="shared" ref="O56:R56" si="5">O6-O31</f>
        <v>-12.922423850894347</v>
      </c>
      <c r="P56" s="215">
        <f t="shared" si="5"/>
        <v>-12.996095381279702</v>
      </c>
      <c r="Q56" s="215">
        <f t="shared" si="5"/>
        <v>-13.066991663231192</v>
      </c>
      <c r="R56" s="215">
        <f t="shared" si="5"/>
        <v>-13.1479056943449</v>
      </c>
    </row>
    <row r="57" spans="2:18" x14ac:dyDescent="0.35">
      <c r="B57" t="s">
        <v>241</v>
      </c>
      <c r="C57" t="s">
        <v>242</v>
      </c>
      <c r="D57" s="215">
        <f t="shared" si="4"/>
        <v>3.1587661514899992</v>
      </c>
      <c r="E57" s="215">
        <f t="shared" si="4"/>
        <v>3.2349356563572655</v>
      </c>
      <c r="F57" s="215">
        <f t="shared" si="4"/>
        <v>3.3053866701666266</v>
      </c>
      <c r="G57" s="215">
        <f t="shared" si="4"/>
        <v>3.3695989193643072</v>
      </c>
      <c r="H57" s="215">
        <f t="shared" si="4"/>
        <v>3.4270793067767045</v>
      </c>
      <c r="I57" s="215">
        <f t="shared" si="4"/>
        <v>3.4732597982597326</v>
      </c>
      <c r="J57" s="215">
        <f t="shared" si="4"/>
        <v>3.5158844567367851</v>
      </c>
      <c r="K57" s="215">
        <f t="shared" si="4"/>
        <v>3.5590322150155771</v>
      </c>
      <c r="L57" s="215">
        <f t="shared" si="4"/>
        <v>3.6027094926985228</v>
      </c>
      <c r="M57" s="215">
        <f t="shared" si="4"/>
        <v>3.6469227881725601</v>
      </c>
      <c r="N57" s="215">
        <f t="shared" si="4"/>
        <v>3.691678679573215</v>
      </c>
      <c r="O57" s="215">
        <f t="shared" ref="O57:R57" si="6">O7-O32</f>
        <v>3.691678679573215</v>
      </c>
      <c r="P57" s="215">
        <f t="shared" si="6"/>
        <v>3.691678679573215</v>
      </c>
      <c r="Q57" s="215">
        <f t="shared" si="6"/>
        <v>3.691678679573215</v>
      </c>
      <c r="R57" s="215">
        <f t="shared" si="6"/>
        <v>3.691678679573215</v>
      </c>
    </row>
    <row r="58" spans="2:18" x14ac:dyDescent="0.35">
      <c r="B58" t="s">
        <v>243</v>
      </c>
      <c r="C58" t="s">
        <v>244</v>
      </c>
      <c r="D58" s="215">
        <f t="shared" si="4"/>
        <v>-309.04170818970692</v>
      </c>
      <c r="E58" s="215">
        <f t="shared" si="4"/>
        <v>-18.241056136562463</v>
      </c>
      <c r="F58" s="215">
        <f t="shared" si="4"/>
        <v>-24.406368421052605</v>
      </c>
      <c r="G58" s="215">
        <f t="shared" si="4"/>
        <v>-18.992834586466159</v>
      </c>
      <c r="H58" s="215">
        <f t="shared" si="4"/>
        <v>-18.992834586466159</v>
      </c>
      <c r="I58" s="215">
        <f t="shared" si="4"/>
        <v>7.8365000000000151</v>
      </c>
      <c r="J58" s="215">
        <f t="shared" si="4"/>
        <v>7.8365000000000151</v>
      </c>
      <c r="K58" s="215">
        <f t="shared" si="4"/>
        <v>7.8365000000000151</v>
      </c>
      <c r="L58" s="215">
        <f t="shared" si="4"/>
        <v>7.8365000000000151</v>
      </c>
      <c r="M58" s="215">
        <f t="shared" si="4"/>
        <v>10.875</v>
      </c>
      <c r="N58" s="215">
        <f t="shared" si="4"/>
        <v>10.875</v>
      </c>
      <c r="O58" s="215">
        <f t="shared" ref="O58:R58" si="7">O8-O33</f>
        <v>10.875</v>
      </c>
      <c r="P58" s="215">
        <f t="shared" si="7"/>
        <v>10.875</v>
      </c>
      <c r="Q58" s="215">
        <f t="shared" si="7"/>
        <v>0</v>
      </c>
      <c r="R58" s="215">
        <f t="shared" si="7"/>
        <v>0</v>
      </c>
    </row>
    <row r="59" spans="2:18" x14ac:dyDescent="0.35">
      <c r="B59" t="s">
        <v>245</v>
      </c>
      <c r="C59" t="s">
        <v>246</v>
      </c>
      <c r="D59" s="215">
        <f t="shared" si="4"/>
        <v>0</v>
      </c>
      <c r="E59" s="215">
        <f t="shared" si="4"/>
        <v>0</v>
      </c>
      <c r="F59" s="215">
        <f t="shared" si="4"/>
        <v>0</v>
      </c>
      <c r="G59" s="215">
        <f t="shared" si="4"/>
        <v>0</v>
      </c>
      <c r="H59" s="215">
        <f t="shared" si="4"/>
        <v>0</v>
      </c>
      <c r="I59" s="215">
        <f t="shared" si="4"/>
        <v>0</v>
      </c>
      <c r="J59" s="215">
        <f t="shared" si="4"/>
        <v>0</v>
      </c>
      <c r="K59" s="215">
        <f t="shared" si="4"/>
        <v>0</v>
      </c>
      <c r="L59" s="215">
        <f t="shared" si="4"/>
        <v>0</v>
      </c>
      <c r="M59" s="215">
        <f t="shared" si="4"/>
        <v>0</v>
      </c>
      <c r="N59" s="215">
        <f t="shared" si="4"/>
        <v>0</v>
      </c>
      <c r="O59" s="215">
        <f t="shared" ref="O59:R59" si="8">O9-O34</f>
        <v>0</v>
      </c>
      <c r="P59" s="215">
        <f t="shared" si="8"/>
        <v>0</v>
      </c>
      <c r="Q59" s="215">
        <f t="shared" si="8"/>
        <v>0</v>
      </c>
      <c r="R59" s="215">
        <f t="shared" si="8"/>
        <v>0</v>
      </c>
    </row>
    <row r="60" spans="2:18" x14ac:dyDescent="0.35">
      <c r="B60" t="s">
        <v>247</v>
      </c>
      <c r="C60" t="s">
        <v>248</v>
      </c>
      <c r="D60" s="215">
        <f t="shared" si="4"/>
        <v>-38.437816657554265</v>
      </c>
      <c r="E60" s="215">
        <f t="shared" si="4"/>
        <v>0</v>
      </c>
      <c r="F60" s="215">
        <f t="shared" si="4"/>
        <v>0</v>
      </c>
      <c r="G60" s="215">
        <f t="shared" si="4"/>
        <v>0</v>
      </c>
      <c r="H60" s="215">
        <f t="shared" si="4"/>
        <v>0</v>
      </c>
      <c r="I60" s="215">
        <f t="shared" si="4"/>
        <v>0</v>
      </c>
      <c r="J60" s="215">
        <f t="shared" si="4"/>
        <v>0</v>
      </c>
      <c r="K60" s="215">
        <f t="shared" si="4"/>
        <v>0</v>
      </c>
      <c r="L60" s="215">
        <f t="shared" si="4"/>
        <v>0</v>
      </c>
      <c r="M60" s="215">
        <f t="shared" si="4"/>
        <v>0</v>
      </c>
      <c r="N60" s="215">
        <f t="shared" si="4"/>
        <v>0</v>
      </c>
      <c r="O60" s="215">
        <f t="shared" ref="O60:R60" si="9">O10-O35</f>
        <v>0</v>
      </c>
      <c r="P60" s="215">
        <f t="shared" si="9"/>
        <v>0</v>
      </c>
      <c r="Q60" s="215">
        <f t="shared" si="9"/>
        <v>0</v>
      </c>
      <c r="R60" s="215">
        <f t="shared" si="9"/>
        <v>0</v>
      </c>
    </row>
    <row r="61" spans="2:18" x14ac:dyDescent="0.35">
      <c r="B61" t="s">
        <v>249</v>
      </c>
      <c r="C61" t="s">
        <v>250</v>
      </c>
      <c r="D61" s="215">
        <f t="shared" si="4"/>
        <v>5.0711499908876476</v>
      </c>
      <c r="E61" s="215">
        <f t="shared" si="4"/>
        <v>5.4190660938361717</v>
      </c>
      <c r="F61" s="215">
        <f t="shared" si="4"/>
        <v>4.8253085808426199</v>
      </c>
      <c r="G61" s="215">
        <f t="shared" si="4"/>
        <v>4.4902177071729952</v>
      </c>
      <c r="H61" s="215">
        <f t="shared" si="4"/>
        <v>4.3291389363212822</v>
      </c>
      <c r="I61" s="215">
        <f t="shared" si="4"/>
        <v>4.2762298510050236</v>
      </c>
      <c r="J61" s="215">
        <f t="shared" si="4"/>
        <v>4.3056237872918324</v>
      </c>
      <c r="K61" s="215">
        <f t="shared" si="4"/>
        <v>4.3714662045742863</v>
      </c>
      <c r="L61" s="215">
        <f t="shared" si="4"/>
        <v>4.4384843793082105</v>
      </c>
      <c r="M61" s="215">
        <f t="shared" si="4"/>
        <v>4.5090298263965529</v>
      </c>
      <c r="N61" s="215">
        <f t="shared" si="4"/>
        <v>4.5972116352569792</v>
      </c>
      <c r="O61" s="215">
        <f t="shared" ref="O61:R61" si="10">O11-O36</f>
        <v>4.6701085972482659</v>
      </c>
      <c r="P61" s="215">
        <f t="shared" si="10"/>
        <v>4.727720712370413</v>
      </c>
      <c r="Q61" s="215">
        <f t="shared" si="10"/>
        <v>4.7994419169102329</v>
      </c>
      <c r="R61" s="215">
        <f t="shared" si="10"/>
        <v>4.8688116065471014</v>
      </c>
    </row>
    <row r="62" spans="2:18" x14ac:dyDescent="0.35">
      <c r="B62" t="s">
        <v>251</v>
      </c>
      <c r="C62" t="s">
        <v>252</v>
      </c>
      <c r="D62" s="215">
        <f t="shared" si="4"/>
        <v>-16.754952075900292</v>
      </c>
      <c r="E62" s="215">
        <f t="shared" si="4"/>
        <v>-18.09523952425468</v>
      </c>
      <c r="F62" s="215">
        <f t="shared" si="4"/>
        <v>-34.697657669327327</v>
      </c>
      <c r="G62" s="215">
        <f t="shared" si="4"/>
        <v>-36.36577193151561</v>
      </c>
      <c r="H62" s="215">
        <f t="shared" si="4"/>
        <v>-17.216098001201317</v>
      </c>
      <c r="I62" s="215">
        <f t="shared" si="4"/>
        <v>-25.623141269185453</v>
      </c>
      <c r="J62" s="215">
        <f t="shared" si="4"/>
        <v>-34.209519428700332</v>
      </c>
      <c r="K62" s="215">
        <f t="shared" si="4"/>
        <v>-42.709390888547659</v>
      </c>
      <c r="L62" s="215">
        <f t="shared" si="4"/>
        <v>-51.123982560545414</v>
      </c>
      <c r="M62" s="215">
        <f t="shared" si="4"/>
        <v>-66.88872287901404</v>
      </c>
      <c r="N62" s="215">
        <f t="shared" si="4"/>
        <v>-83.487483895103423</v>
      </c>
      <c r="O62" s="215">
        <f t="shared" ref="O62:R62" si="11">O12-O37</f>
        <v>-100.95702386420919</v>
      </c>
      <c r="P62" s="215">
        <f t="shared" si="11"/>
        <v>-119.33564260288074</v>
      </c>
      <c r="Q62" s="215">
        <f t="shared" si="11"/>
        <v>-138.66324513404436</v>
      </c>
      <c r="R62" s="215">
        <f t="shared" si="11"/>
        <v>-158.98140794639164</v>
      </c>
    </row>
    <row r="63" spans="2:18" x14ac:dyDescent="0.35">
      <c r="B63" t="s">
        <v>253</v>
      </c>
      <c r="C63" t="s">
        <v>254</v>
      </c>
      <c r="D63" s="215">
        <f t="shared" si="4"/>
        <v>-18.133333333333326</v>
      </c>
      <c r="E63" s="215">
        <f t="shared" si="4"/>
        <v>-19.918690353739066</v>
      </c>
      <c r="F63" s="215">
        <f t="shared" si="4"/>
        <v>-21.753225775347346</v>
      </c>
      <c r="G63" s="215">
        <f t="shared" si="4"/>
        <v>-23.638010305485864</v>
      </c>
      <c r="H63" s="215">
        <f t="shared" si="4"/>
        <v>-25.574135686755994</v>
      </c>
      <c r="I63" s="215">
        <f t="shared" si="4"/>
        <v>-38.372734131836523</v>
      </c>
      <c r="J63" s="215">
        <f t="shared" si="4"/>
        <v>-51.041881256563897</v>
      </c>
      <c r="K63" s="215">
        <f t="shared" si="4"/>
        <v>-63.583411027965553</v>
      </c>
      <c r="L63" s="215">
        <f t="shared" si="4"/>
        <v>-75.999133514910454</v>
      </c>
      <c r="M63" s="215">
        <f t="shared" si="4"/>
        <v>-99.280336330763816</v>
      </c>
      <c r="N63" s="215">
        <f t="shared" si="4"/>
        <v>-123.7929303115443</v>
      </c>
      <c r="O63" s="215">
        <f t="shared" ref="O63:R63" si="12">O13-O38</f>
        <v>-149.59118423678524</v>
      </c>
      <c r="P63" s="215">
        <f t="shared" si="12"/>
        <v>-176.73164276196962</v>
      </c>
      <c r="Q63" s="215">
        <f t="shared" si="12"/>
        <v>-205.27322038031514</v>
      </c>
      <c r="R63" s="215">
        <f t="shared" si="12"/>
        <v>-235.2772992439385</v>
      </c>
    </row>
    <row r="64" spans="2:18" x14ac:dyDescent="0.35">
      <c r="B64" t="s">
        <v>76</v>
      </c>
      <c r="C64" t="s">
        <v>255</v>
      </c>
      <c r="D64" s="215">
        <f t="shared" si="4"/>
        <v>0.2666666666667652</v>
      </c>
      <c r="E64" s="215">
        <f t="shared" si="4"/>
        <v>0.27139387947931937</v>
      </c>
      <c r="F64" s="215">
        <f t="shared" si="4"/>
        <v>0.27646835727784946</v>
      </c>
      <c r="G64" s="215">
        <f t="shared" si="4"/>
        <v>0.28163771682159222</v>
      </c>
      <c r="H64" s="215">
        <f t="shared" si="4"/>
        <v>0.28690373219376397</v>
      </c>
      <c r="I64" s="215">
        <f t="shared" si="4"/>
        <v>0.29226821064901287</v>
      </c>
      <c r="J64" s="215">
        <f t="shared" si="4"/>
        <v>0.29772470808109119</v>
      </c>
      <c r="K64" s="215">
        <f t="shared" si="4"/>
        <v>0.30328307551860689</v>
      </c>
      <c r="L64" s="215">
        <f t="shared" si="4"/>
        <v>0.30894521482230175</v>
      </c>
      <c r="M64" s="215">
        <f t="shared" si="4"/>
        <v>0.31471306335981808</v>
      </c>
      <c r="N64" s="215">
        <f t="shared" si="4"/>
        <v>0.32050454322870792</v>
      </c>
      <c r="O64" s="215">
        <f t="shared" ref="O64:R64" si="13">O14-O39</f>
        <v>0.32640260030382251</v>
      </c>
      <c r="P64" s="215">
        <f t="shared" si="13"/>
        <v>0.33240919586307882</v>
      </c>
      <c r="Q64" s="215">
        <f t="shared" si="13"/>
        <v>0.3385263272764405</v>
      </c>
      <c r="R64" s="215">
        <f t="shared" si="13"/>
        <v>0.34475602867041744</v>
      </c>
    </row>
    <row r="65" spans="2:18" x14ac:dyDescent="0.35">
      <c r="B65" t="s">
        <v>256</v>
      </c>
      <c r="C65" t="s">
        <v>257</v>
      </c>
      <c r="D65" s="215">
        <f t="shared" si="4"/>
        <v>0</v>
      </c>
      <c r="E65" s="215">
        <f t="shared" si="4"/>
        <v>0</v>
      </c>
      <c r="F65" s="215">
        <f t="shared" si="4"/>
        <v>0</v>
      </c>
      <c r="G65" s="215">
        <f t="shared" si="4"/>
        <v>0</v>
      </c>
      <c r="H65" s="215">
        <f t="shared" si="4"/>
        <v>0</v>
      </c>
      <c r="I65" s="215">
        <f t="shared" si="4"/>
        <v>0</v>
      </c>
      <c r="J65" s="215">
        <f t="shared" si="4"/>
        <v>0</v>
      </c>
      <c r="K65" s="215">
        <f t="shared" si="4"/>
        <v>0</v>
      </c>
      <c r="L65" s="215">
        <f t="shared" si="4"/>
        <v>0</v>
      </c>
      <c r="M65" s="215">
        <f t="shared" si="4"/>
        <v>0</v>
      </c>
      <c r="N65" s="215">
        <f t="shared" si="4"/>
        <v>0</v>
      </c>
      <c r="O65" s="215">
        <f t="shared" ref="O65:R65" si="14">O15-O40</f>
        <v>0</v>
      </c>
      <c r="P65" s="215">
        <f t="shared" si="14"/>
        <v>0</v>
      </c>
      <c r="Q65" s="215">
        <f t="shared" si="14"/>
        <v>0</v>
      </c>
      <c r="R65" s="215">
        <f t="shared" si="14"/>
        <v>0</v>
      </c>
    </row>
    <row r="66" spans="2:18" x14ac:dyDescent="0.35">
      <c r="B66" t="s">
        <v>258</v>
      </c>
      <c r="C66" t="s">
        <v>259</v>
      </c>
      <c r="D66" s="215">
        <f t="shared" si="4"/>
        <v>0.20000000000000284</v>
      </c>
      <c r="E66" s="215">
        <f t="shared" si="4"/>
        <v>0</v>
      </c>
      <c r="F66" s="215">
        <f t="shared" si="4"/>
        <v>0</v>
      </c>
      <c r="G66" s="215">
        <f t="shared" si="4"/>
        <v>0</v>
      </c>
      <c r="H66" s="215">
        <f t="shared" si="4"/>
        <v>0</v>
      </c>
      <c r="I66" s="215">
        <f t="shared" si="4"/>
        <v>0</v>
      </c>
      <c r="J66" s="215">
        <f t="shared" si="4"/>
        <v>0</v>
      </c>
      <c r="K66" s="215">
        <f t="shared" si="4"/>
        <v>0</v>
      </c>
      <c r="L66" s="215">
        <f t="shared" si="4"/>
        <v>0</v>
      </c>
      <c r="M66" s="215">
        <f t="shared" si="4"/>
        <v>0</v>
      </c>
      <c r="N66" s="215">
        <f t="shared" si="4"/>
        <v>0</v>
      </c>
      <c r="O66" s="215">
        <f t="shared" ref="O66:R66" si="15">O16-O41</f>
        <v>0</v>
      </c>
      <c r="P66" s="215">
        <f t="shared" si="15"/>
        <v>0</v>
      </c>
      <c r="Q66" s="215">
        <f t="shared" si="15"/>
        <v>0</v>
      </c>
      <c r="R66" s="215">
        <f t="shared" si="15"/>
        <v>0</v>
      </c>
    </row>
    <row r="67" spans="2:18" x14ac:dyDescent="0.35">
      <c r="B67" t="s">
        <v>260</v>
      </c>
      <c r="C67" t="s">
        <v>261</v>
      </c>
      <c r="D67" s="215">
        <f t="shared" si="4"/>
        <v>0</v>
      </c>
      <c r="E67" s="215">
        <f t="shared" si="4"/>
        <v>0</v>
      </c>
      <c r="F67" s="215">
        <f t="shared" si="4"/>
        <v>0</v>
      </c>
      <c r="G67" s="215">
        <f t="shared" si="4"/>
        <v>0</v>
      </c>
      <c r="H67" s="215">
        <f t="shared" si="4"/>
        <v>0</v>
      </c>
      <c r="I67" s="215">
        <f t="shared" si="4"/>
        <v>0</v>
      </c>
      <c r="J67" s="215">
        <f t="shared" si="4"/>
        <v>0</v>
      </c>
      <c r="K67" s="215">
        <f t="shared" si="4"/>
        <v>0</v>
      </c>
      <c r="L67" s="215">
        <f t="shared" si="4"/>
        <v>0</v>
      </c>
      <c r="M67" s="215">
        <f t="shared" si="4"/>
        <v>0</v>
      </c>
      <c r="N67" s="215">
        <f t="shared" si="4"/>
        <v>0</v>
      </c>
      <c r="O67" s="215">
        <f t="shared" ref="O67:R67" si="16">O17-O42</f>
        <v>0</v>
      </c>
      <c r="P67" s="215">
        <f t="shared" si="16"/>
        <v>0</v>
      </c>
      <c r="Q67" s="215">
        <f t="shared" si="16"/>
        <v>0</v>
      </c>
      <c r="R67" s="215">
        <f t="shared" si="16"/>
        <v>0</v>
      </c>
    </row>
    <row r="68" spans="2:18" x14ac:dyDescent="0.35">
      <c r="B68" t="s">
        <v>262</v>
      </c>
      <c r="C68" t="s">
        <v>263</v>
      </c>
      <c r="D68" s="215">
        <f t="shared" si="4"/>
        <v>-162.6</v>
      </c>
      <c r="E68" s="215">
        <f t="shared" si="4"/>
        <v>-42.79999999999999</v>
      </c>
      <c r="F68" s="215">
        <f t="shared" si="4"/>
        <v>-54.999999999999986</v>
      </c>
      <c r="G68" s="215">
        <f t="shared" si="4"/>
        <v>-54.999999999999986</v>
      </c>
      <c r="H68" s="215">
        <f t="shared" si="4"/>
        <v>-54.999999999999986</v>
      </c>
      <c r="I68" s="215">
        <f t="shared" si="4"/>
        <v>-0.69999999999999973</v>
      </c>
      <c r="J68" s="215">
        <f t="shared" si="4"/>
        <v>-0.69999999999999973</v>
      </c>
      <c r="K68" s="215">
        <f t="shared" si="4"/>
        <v>-0.69999999999999973</v>
      </c>
      <c r="L68" s="215">
        <f t="shared" si="4"/>
        <v>-0.69999999999999973</v>
      </c>
      <c r="M68" s="215">
        <f t="shared" si="4"/>
        <v>-0.69999999999999973</v>
      </c>
      <c r="N68" s="215">
        <f t="shared" si="4"/>
        <v>-0.69999999999999973</v>
      </c>
      <c r="O68" s="215">
        <f t="shared" ref="O68:R68" si="17">O18-O43</f>
        <v>-0.69999999999999973</v>
      </c>
      <c r="P68" s="215">
        <f t="shared" si="17"/>
        <v>-0.69999999999999973</v>
      </c>
      <c r="Q68" s="215">
        <f t="shared" si="17"/>
        <v>-0.70000000000000018</v>
      </c>
      <c r="R68" s="215">
        <f t="shared" si="17"/>
        <v>-0.70000000000000018</v>
      </c>
    </row>
    <row r="69" spans="2:18" x14ac:dyDescent="0.35">
      <c r="B69" t="s">
        <v>264</v>
      </c>
      <c r="C69" t="s">
        <v>265</v>
      </c>
      <c r="D69" s="215">
        <f t="shared" si="4"/>
        <v>47.865390000000161</v>
      </c>
      <c r="E69" s="215">
        <f t="shared" si="4"/>
        <v>65.256013311276547</v>
      </c>
      <c r="F69" s="215">
        <f t="shared" si="4"/>
        <v>215.44554499287801</v>
      </c>
      <c r="G69" s="215">
        <f t="shared" si="4"/>
        <v>215.44554499287801</v>
      </c>
      <c r="H69" s="215">
        <f t="shared" si="4"/>
        <v>183.44554499287801</v>
      </c>
      <c r="I69" s="215">
        <f t="shared" si="4"/>
        <v>183.44554499287801</v>
      </c>
      <c r="J69" s="215">
        <f t="shared" si="4"/>
        <v>104.97569545753527</v>
      </c>
      <c r="K69" s="215">
        <f t="shared" si="4"/>
        <v>104.97569545753527</v>
      </c>
      <c r="L69" s="215">
        <f t="shared" si="4"/>
        <v>104.97569545753527</v>
      </c>
      <c r="M69" s="215">
        <f t="shared" si="4"/>
        <v>104.97569545753527</v>
      </c>
      <c r="N69" s="215">
        <f t="shared" si="4"/>
        <v>108.565501175995</v>
      </c>
      <c r="O69" s="215">
        <f t="shared" ref="O69:R69" si="18">O19-O44</f>
        <v>108.565501175995</v>
      </c>
      <c r="P69" s="215">
        <f t="shared" si="18"/>
        <v>108.565501175995</v>
      </c>
      <c r="Q69" s="215">
        <f t="shared" si="18"/>
        <v>108.565501175995</v>
      </c>
      <c r="R69" s="215">
        <f t="shared" si="18"/>
        <v>108.565501175995</v>
      </c>
    </row>
    <row r="70" spans="2:18" x14ac:dyDescent="0.35">
      <c r="B70" t="s">
        <v>266</v>
      </c>
      <c r="C70" t="s">
        <v>267</v>
      </c>
      <c r="D70" s="215">
        <f t="shared" si="4"/>
        <v>0.53595654814336058</v>
      </c>
      <c r="E70" s="215">
        <f t="shared" si="4"/>
        <v>0.54240200810494343</v>
      </c>
      <c r="F70" s="215">
        <f t="shared" si="4"/>
        <v>0.54892498172739579</v>
      </c>
      <c r="G70" s="215">
        <f t="shared" si="4"/>
        <v>0.55552640119674379</v>
      </c>
      <c r="H70" s="215">
        <f t="shared" si="4"/>
        <v>0.56220720990953055</v>
      </c>
      <c r="I70" s="215">
        <f t="shared" si="4"/>
        <v>0.56896836260770556</v>
      </c>
      <c r="J70" s="215">
        <f t="shared" si="4"/>
        <v>0.5758108255150205</v>
      </c>
      <c r="K70" s="215">
        <f t="shared" si="4"/>
        <v>0.58273557647507346</v>
      </c>
      <c r="L70" s="215">
        <f t="shared" si="4"/>
        <v>0.58974360509117218</v>
      </c>
      <c r="M70" s="215">
        <f t="shared" si="4"/>
        <v>0.59683591286758997</v>
      </c>
      <c r="N70" s="215">
        <f t="shared" si="4"/>
        <v>0.60401351335283948</v>
      </c>
      <c r="O70" s="215">
        <f t="shared" ref="O70:R70" si="19">O20-O45</f>
        <v>0.61127743228445297</v>
      </c>
      <c r="P70" s="215">
        <f t="shared" si="19"/>
        <v>0.61862870773552459</v>
      </c>
      <c r="Q70" s="215">
        <f t="shared" si="19"/>
        <v>0.62606839026315697</v>
      </c>
      <c r="R70" s="215">
        <f t="shared" si="19"/>
        <v>0.63359754305852789</v>
      </c>
    </row>
    <row r="71" spans="2:18" x14ac:dyDescent="0.35">
      <c r="B71" t="s">
        <v>268</v>
      </c>
      <c r="C71" t="s">
        <v>269</v>
      </c>
      <c r="D71" s="215">
        <f t="shared" si="4"/>
        <v>35.3561277886688</v>
      </c>
      <c r="E71" s="215">
        <f t="shared" si="4"/>
        <v>69.190329581425885</v>
      </c>
      <c r="F71" s="215">
        <f t="shared" si="4"/>
        <v>119.8329524721571</v>
      </c>
      <c r="G71" s="215">
        <f t="shared" si="4"/>
        <v>158.8893746384515</v>
      </c>
      <c r="H71" s="215">
        <f t="shared" si="4"/>
        <v>204.55274333298576</v>
      </c>
      <c r="I71" s="215">
        <f t="shared" si="4"/>
        <v>167.00646019354599</v>
      </c>
      <c r="J71" s="215">
        <f t="shared" si="4"/>
        <v>138.25614118715112</v>
      </c>
      <c r="K71" s="215">
        <f t="shared" si="4"/>
        <v>105.48296934317932</v>
      </c>
      <c r="L71" s="215">
        <f t="shared" si="4"/>
        <v>73.332525555592838</v>
      </c>
      <c r="M71" s="215">
        <f t="shared" si="4"/>
        <v>87.650095216701175</v>
      </c>
      <c r="N71" s="215">
        <f t="shared" si="4"/>
        <v>104.00558070279476</v>
      </c>
      <c r="O71" s="215">
        <f t="shared" ref="O71:R71" si="20">O21-O46</f>
        <v>121.49065741727645</v>
      </c>
      <c r="P71" s="215">
        <f t="shared" si="20"/>
        <v>138.12617986910391</v>
      </c>
      <c r="Q71" s="215">
        <f t="shared" si="20"/>
        <v>122.57310468512878</v>
      </c>
      <c r="R71" s="215">
        <f t="shared" si="20"/>
        <v>106.08356802115486</v>
      </c>
    </row>
    <row r="72" spans="2:18" x14ac:dyDescent="0.35">
      <c r="B72" t="s">
        <v>270</v>
      </c>
      <c r="C72" t="s">
        <v>271</v>
      </c>
      <c r="D72" s="215">
        <f t="shared" si="4"/>
        <v>-20.072607631181654</v>
      </c>
      <c r="E72" s="215">
        <f t="shared" si="4"/>
        <v>-34.471466843359849</v>
      </c>
      <c r="F72" s="215">
        <f t="shared" si="4"/>
        <v>-34.938921518439201</v>
      </c>
      <c r="G72" s="215">
        <f t="shared" si="4"/>
        <v>-35.385001271442434</v>
      </c>
      <c r="H72" s="215">
        <f t="shared" si="4"/>
        <v>-35.876221235589583</v>
      </c>
      <c r="I72" s="215">
        <f t="shared" si="4"/>
        <v>-36.324120528158346</v>
      </c>
      <c r="J72" s="215">
        <f t="shared" si="4"/>
        <v>-36.717593291506546</v>
      </c>
      <c r="K72" s="215">
        <f t="shared" si="4"/>
        <v>-37.084918273009862</v>
      </c>
      <c r="L72" s="215">
        <f t="shared" si="4"/>
        <v>-37.454546582973762</v>
      </c>
      <c r="M72" s="215">
        <f t="shared" si="4"/>
        <v>-37.804548937659092</v>
      </c>
      <c r="N72" s="215">
        <f t="shared" si="4"/>
        <v>-38.132577393172141</v>
      </c>
      <c r="O72" s="215">
        <f t="shared" ref="O72:R72" si="21">O22-O47</f>
        <v>-38.467781346742413</v>
      </c>
      <c r="P72" s="215">
        <f t="shared" si="21"/>
        <v>-38.814911420849057</v>
      </c>
      <c r="Q72" s="215">
        <f t="shared" si="21"/>
        <v>-39.137760693886776</v>
      </c>
      <c r="R72" s="215">
        <f t="shared" si="21"/>
        <v>-39.485467649247767</v>
      </c>
    </row>
    <row r="73" spans="2:18" x14ac:dyDescent="0.35">
      <c r="B73" t="s">
        <v>272</v>
      </c>
      <c r="C73" t="s">
        <v>273</v>
      </c>
      <c r="D73" s="215">
        <f t="shared" si="4"/>
        <v>0</v>
      </c>
      <c r="E73" s="215">
        <f t="shared" si="4"/>
        <v>0.53546847866465441</v>
      </c>
      <c r="F73" s="215">
        <f t="shared" si="4"/>
        <v>-34.229692182943836</v>
      </c>
      <c r="G73" s="215">
        <f t="shared" si="4"/>
        <v>-36.008687450685215</v>
      </c>
      <c r="H73" s="215">
        <f t="shared" si="4"/>
        <v>-33.576833813219821</v>
      </c>
      <c r="I73" s="215">
        <f t="shared" si="4"/>
        <v>-20.491339102638619</v>
      </c>
      <c r="J73" s="215">
        <f t="shared" si="4"/>
        <v>-5.4037892638439757</v>
      </c>
      <c r="K73" s="215">
        <f t="shared" si="4"/>
        <v>11.483796755313904</v>
      </c>
      <c r="L73" s="215">
        <f t="shared" si="4"/>
        <v>27.83497532190222</v>
      </c>
      <c r="M73" s="215">
        <f t="shared" si="4"/>
        <v>19.640290187476182</v>
      </c>
      <c r="N73" s="215">
        <f t="shared" si="4"/>
        <v>12.126389000567826</v>
      </c>
      <c r="O73" s="215">
        <f t="shared" ref="O73:R73" si="22">O23-O48</f>
        <v>2.6703848250975284</v>
      </c>
      <c r="P73" s="215">
        <f t="shared" si="22"/>
        <v>-6.3604623711786985</v>
      </c>
      <c r="Q73" s="215">
        <f t="shared" si="22"/>
        <v>-7.4100747019407436</v>
      </c>
      <c r="R73" s="215">
        <f t="shared" si="22"/>
        <v>-7.468472053169819</v>
      </c>
    </row>
    <row r="74" spans="2:18" x14ac:dyDescent="0.35">
      <c r="B74" t="s">
        <v>274</v>
      </c>
      <c r="C74" t="s">
        <v>275</v>
      </c>
      <c r="D74" s="215">
        <f t="shared" si="4"/>
        <v>0</v>
      </c>
      <c r="E74" s="215">
        <f t="shared" si="4"/>
        <v>15.749093428684233</v>
      </c>
      <c r="F74" s="215">
        <f t="shared" si="4"/>
        <v>15.461223658468995</v>
      </c>
      <c r="G74" s="215">
        <f t="shared" si="4"/>
        <v>15.728157445395851</v>
      </c>
      <c r="H74" s="215">
        <f t="shared" si="4"/>
        <v>15.801433386905188</v>
      </c>
      <c r="I74" s="215">
        <f t="shared" si="4"/>
        <v>15.790965395260997</v>
      </c>
      <c r="J74" s="215">
        <f t="shared" si="4"/>
        <v>15.712455457929565</v>
      </c>
      <c r="K74" s="215">
        <f t="shared" si="4"/>
        <v>15.576371566555096</v>
      </c>
      <c r="L74" s="215">
        <f t="shared" si="4"/>
        <v>15.492627633401568</v>
      </c>
      <c r="M74" s="215">
        <f t="shared" si="4"/>
        <v>15.492627633401568</v>
      </c>
      <c r="N74" s="215">
        <f t="shared" si="4"/>
        <v>15.469598051784345</v>
      </c>
      <c r="O74" s="215">
        <f t="shared" ref="O74:R74" si="23">O24-O49</f>
        <v>15.54549099120473</v>
      </c>
      <c r="P74" s="215">
        <f t="shared" si="23"/>
        <v>15.609869139816496</v>
      </c>
      <c r="Q74" s="215">
        <f t="shared" si="23"/>
        <v>15.698323669209913</v>
      </c>
      <c r="R74" s="215">
        <f t="shared" si="23"/>
        <v>15.740719035368883</v>
      </c>
    </row>
    <row r="77" spans="2:18" x14ac:dyDescent="0.35">
      <c r="B77" s="1117" t="s">
        <v>277</v>
      </c>
      <c r="C77" s="1117"/>
      <c r="D77" s="1117"/>
      <c r="E77" s="1117"/>
      <c r="F77" s="1117"/>
      <c r="G77" s="1117"/>
      <c r="H77" s="1117"/>
      <c r="I77" s="1117"/>
      <c r="J77" s="1117"/>
      <c r="K77" s="1117"/>
      <c r="L77" s="1117"/>
      <c r="M77" s="1117"/>
      <c r="N77" s="1117"/>
      <c r="O77" s="1117"/>
      <c r="P77" s="1117"/>
      <c r="Q77" s="1117"/>
      <c r="R77" s="1117"/>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13">
        <f t="shared" ref="D79:N79" si="24">(D4/D29-1)</f>
        <v>4.5303602466259862E-2</v>
      </c>
      <c r="E79" s="813">
        <f t="shared" si="24"/>
        <v>-5.1169293904055668E-2</v>
      </c>
      <c r="F79" s="813">
        <f t="shared" si="24"/>
        <v>-7.7383659525738002E-2</v>
      </c>
      <c r="G79" s="813">
        <f t="shared" si="24"/>
        <v>-8.2803853919979464E-2</v>
      </c>
      <c r="H79" s="813">
        <f t="shared" si="24"/>
        <v>-9.6649778455596969E-2</v>
      </c>
      <c r="I79" s="813">
        <f t="shared" si="24"/>
        <v>-0.10763925794241702</v>
      </c>
      <c r="J79" s="813">
        <f t="shared" si="24"/>
        <v>-0.1204439422837178</v>
      </c>
      <c r="K79" s="813">
        <f t="shared" si="24"/>
        <v>-0.14086508342345361</v>
      </c>
      <c r="L79" s="813">
        <f t="shared" si="24"/>
        <v>-0.15774260402955842</v>
      </c>
      <c r="M79" s="813">
        <f t="shared" si="24"/>
        <v>-0.17296087159545603</v>
      </c>
      <c r="N79" s="813">
        <f t="shared" si="24"/>
        <v>-0.19785381731518736</v>
      </c>
      <c r="O79" s="813">
        <f t="shared" ref="O79:R79" si="25">(O4/O29-1)</f>
        <v>-0.22325776170021105</v>
      </c>
      <c r="P79" s="813">
        <f t="shared" si="25"/>
        <v>-0.23885796929272107</v>
      </c>
      <c r="Q79" s="813">
        <f t="shared" si="25"/>
        <v>-0.25466655498163238</v>
      </c>
      <c r="R79" s="813">
        <f t="shared" si="25"/>
        <v>-0.27455038820539912</v>
      </c>
    </row>
    <row r="80" spans="2:18" x14ac:dyDescent="0.35">
      <c r="B80" t="s">
        <v>177</v>
      </c>
      <c r="C80" t="s">
        <v>238</v>
      </c>
      <c r="D80" s="813">
        <f t="shared" ref="D80:N99" si="26">(D5/D30-1)</f>
        <v>-3.4259885977335758E-2</v>
      </c>
      <c r="E80" s="813">
        <f t="shared" si="26"/>
        <v>0</v>
      </c>
      <c r="F80" s="813">
        <f t="shared" si="26"/>
        <v>0</v>
      </c>
      <c r="G80" s="813">
        <f t="shared" si="26"/>
        <v>0</v>
      </c>
      <c r="H80" s="813">
        <f t="shared" si="26"/>
        <v>0</v>
      </c>
      <c r="I80" s="813">
        <f t="shared" si="26"/>
        <v>0</v>
      </c>
      <c r="J80" s="813">
        <f t="shared" si="26"/>
        <v>0</v>
      </c>
      <c r="K80" s="813">
        <f t="shared" si="26"/>
        <v>0</v>
      </c>
      <c r="L80" s="813">
        <f t="shared" si="26"/>
        <v>0</v>
      </c>
      <c r="M80" s="813">
        <f t="shared" si="26"/>
        <v>0</v>
      </c>
      <c r="N80" s="813">
        <f t="shared" si="26"/>
        <v>0</v>
      </c>
      <c r="O80" s="813">
        <f t="shared" ref="O80:R80" si="27">(O5/O30-1)</f>
        <v>0</v>
      </c>
      <c r="P80" s="813">
        <f t="shared" si="27"/>
        <v>0</v>
      </c>
      <c r="Q80" s="813">
        <f t="shared" si="27"/>
        <v>0</v>
      </c>
      <c r="R80" s="813">
        <f t="shared" si="27"/>
        <v>0</v>
      </c>
    </row>
    <row r="81" spans="2:18" x14ac:dyDescent="0.35">
      <c r="B81" t="s">
        <v>239</v>
      </c>
      <c r="C81" t="s">
        <v>240</v>
      </c>
      <c r="D81" s="813">
        <f t="shared" si="26"/>
        <v>-7.8570106104761672E-3</v>
      </c>
      <c r="E81" s="813">
        <f t="shared" si="26"/>
        <v>-7.8570106104760562E-3</v>
      </c>
      <c r="F81" s="813">
        <f t="shared" si="26"/>
        <v>-7.8570106104760562E-3</v>
      </c>
      <c r="G81" s="813">
        <f t="shared" si="26"/>
        <v>-7.8570106104760562E-3</v>
      </c>
      <c r="H81" s="813">
        <f t="shared" si="26"/>
        <v>-7.8570106104760562E-3</v>
      </c>
      <c r="I81" s="813">
        <f t="shared" si="26"/>
        <v>-7.8570106104759452E-3</v>
      </c>
      <c r="J81" s="813">
        <f t="shared" si="26"/>
        <v>-7.8570106104759452E-3</v>
      </c>
      <c r="K81" s="813">
        <f t="shared" si="26"/>
        <v>-7.8570106104759452E-3</v>
      </c>
      <c r="L81" s="813">
        <f t="shared" si="26"/>
        <v>-7.8570106104760562E-3</v>
      </c>
      <c r="M81" s="813">
        <f t="shared" si="26"/>
        <v>-7.8570106104760562E-3</v>
      </c>
      <c r="N81" s="813">
        <f t="shared" si="26"/>
        <v>-7.8570106104760562E-3</v>
      </c>
      <c r="O81" s="813">
        <f t="shared" ref="O81:R81" si="28">(O6/O31-1)</f>
        <v>-7.8570106104760562E-3</v>
      </c>
      <c r="P81" s="813">
        <f t="shared" si="28"/>
        <v>-7.8570106104760562E-3</v>
      </c>
      <c r="Q81" s="813">
        <f t="shared" si="28"/>
        <v>-7.8570106104760562E-3</v>
      </c>
      <c r="R81" s="813">
        <f t="shared" si="28"/>
        <v>-7.8570106104760562E-3</v>
      </c>
    </row>
    <row r="82" spans="2:18" x14ac:dyDescent="0.35">
      <c r="B82" t="s">
        <v>241</v>
      </c>
      <c r="C82" t="s">
        <v>242</v>
      </c>
      <c r="D82" s="813">
        <f t="shared" si="26"/>
        <v>1.2576001496180655E-3</v>
      </c>
      <c r="E82" s="813">
        <f t="shared" si="26"/>
        <v>1.2576001496180655E-3</v>
      </c>
      <c r="F82" s="813">
        <f t="shared" si="26"/>
        <v>1.2576001496180655E-3</v>
      </c>
      <c r="G82" s="813">
        <f t="shared" si="26"/>
        <v>1.2576001496178435E-3</v>
      </c>
      <c r="H82" s="813">
        <f t="shared" si="26"/>
        <v>1.2576001496180655E-3</v>
      </c>
      <c r="I82" s="813">
        <f t="shared" si="26"/>
        <v>1.2576001496180655E-3</v>
      </c>
      <c r="J82" s="813">
        <f t="shared" si="26"/>
        <v>1.2576001496180655E-3</v>
      </c>
      <c r="K82" s="813">
        <f t="shared" si="26"/>
        <v>1.2576001496180655E-3</v>
      </c>
      <c r="L82" s="813">
        <f t="shared" si="26"/>
        <v>1.2576001496180655E-3</v>
      </c>
      <c r="M82" s="813">
        <f t="shared" si="26"/>
        <v>1.2576001496180655E-3</v>
      </c>
      <c r="N82" s="813">
        <f t="shared" si="26"/>
        <v>1.2576001496178435E-3</v>
      </c>
      <c r="O82" s="813">
        <f t="shared" ref="O82:R82" si="29">(O7/O32-1)</f>
        <v>1.2576001496178435E-3</v>
      </c>
      <c r="P82" s="813">
        <f t="shared" si="29"/>
        <v>1.2576001496178435E-3</v>
      </c>
      <c r="Q82" s="813">
        <f t="shared" si="29"/>
        <v>1.2576001496178435E-3</v>
      </c>
      <c r="R82" s="813">
        <f t="shared" si="29"/>
        <v>1.2576001496178435E-3</v>
      </c>
    </row>
    <row r="83" spans="2:18" x14ac:dyDescent="0.35">
      <c r="B83" t="s">
        <v>243</v>
      </c>
      <c r="C83" t="s">
        <v>244</v>
      </c>
      <c r="D83" s="813">
        <f t="shared" si="26"/>
        <v>-0.51874162666997581</v>
      </c>
      <c r="E83" s="813">
        <f t="shared" si="26"/>
        <v>-0.15679525251640392</v>
      </c>
      <c r="F83" s="813">
        <f t="shared" si="26"/>
        <v>-0.29388491032384789</v>
      </c>
      <c r="G83" s="813">
        <f t="shared" si="26"/>
        <v>-0.24464635410109137</v>
      </c>
      <c r="H83" s="813">
        <f t="shared" si="26"/>
        <v>-0.24464635410109137</v>
      </c>
      <c r="I83" s="813">
        <f t="shared" si="26"/>
        <v>0.10347126861730249</v>
      </c>
      <c r="J83" s="813">
        <f t="shared" si="26"/>
        <v>0.10347126861730249</v>
      </c>
      <c r="K83" s="813">
        <f t="shared" si="26"/>
        <v>0.10347126861730249</v>
      </c>
      <c r="L83" s="813">
        <f t="shared" si="26"/>
        <v>0.10347126861730249</v>
      </c>
      <c r="M83" s="813">
        <f t="shared" si="26"/>
        <v>0.14684039967593843</v>
      </c>
      <c r="N83" s="813">
        <f t="shared" si="26"/>
        <v>0.14684039967593843</v>
      </c>
      <c r="O83" s="813">
        <f t="shared" ref="O83:R83" si="30">(O8/O33-1)</f>
        <v>0.14684039967593843</v>
      </c>
      <c r="P83" s="813">
        <f t="shared" si="30"/>
        <v>0.14684039967593843</v>
      </c>
      <c r="Q83" s="813">
        <f t="shared" si="30"/>
        <v>0</v>
      </c>
      <c r="R83" s="813">
        <f t="shared" si="30"/>
        <v>0</v>
      </c>
    </row>
    <row r="84" spans="2:18" x14ac:dyDescent="0.35">
      <c r="B84" t="s">
        <v>245</v>
      </c>
      <c r="C84" t="s">
        <v>246</v>
      </c>
      <c r="D84" s="813">
        <f t="shared" si="26"/>
        <v>0</v>
      </c>
      <c r="E84" s="813">
        <f t="shared" si="26"/>
        <v>0</v>
      </c>
      <c r="F84" s="813">
        <f t="shared" si="26"/>
        <v>0</v>
      </c>
      <c r="G84" s="813">
        <f t="shared" si="26"/>
        <v>0</v>
      </c>
      <c r="H84" s="813">
        <f t="shared" si="26"/>
        <v>0</v>
      </c>
      <c r="I84" s="813">
        <f t="shared" si="26"/>
        <v>0</v>
      </c>
      <c r="J84" s="813">
        <f t="shared" si="26"/>
        <v>0</v>
      </c>
      <c r="K84" s="813">
        <f t="shared" si="26"/>
        <v>0</v>
      </c>
      <c r="L84" s="813">
        <f t="shared" si="26"/>
        <v>0</v>
      </c>
      <c r="M84" s="813">
        <f t="shared" si="26"/>
        <v>0</v>
      </c>
      <c r="N84" s="813">
        <f t="shared" si="26"/>
        <v>0</v>
      </c>
      <c r="O84" s="813">
        <f t="shared" ref="O84:R84" si="31">(O9/O34-1)</f>
        <v>0</v>
      </c>
      <c r="P84" s="813">
        <f t="shared" si="31"/>
        <v>0</v>
      </c>
      <c r="Q84" s="813">
        <f t="shared" si="31"/>
        <v>0</v>
      </c>
      <c r="R84" s="813">
        <f t="shared" si="31"/>
        <v>0</v>
      </c>
    </row>
    <row r="85" spans="2:18" x14ac:dyDescent="0.35">
      <c r="B85" t="s">
        <v>247</v>
      </c>
      <c r="C85" t="s">
        <v>248</v>
      </c>
      <c r="D85" s="813">
        <f t="shared" si="26"/>
        <v>-0.13980549174663037</v>
      </c>
      <c r="E85" s="813" t="e">
        <f t="shared" si="26"/>
        <v>#DIV/0!</v>
      </c>
      <c r="F85" s="813" t="e">
        <f t="shared" si="26"/>
        <v>#DIV/0!</v>
      </c>
      <c r="G85" s="813" t="e">
        <f t="shared" si="26"/>
        <v>#DIV/0!</v>
      </c>
      <c r="H85" s="813" t="e">
        <f t="shared" si="26"/>
        <v>#DIV/0!</v>
      </c>
      <c r="I85" s="813" t="e">
        <f t="shared" si="26"/>
        <v>#DIV/0!</v>
      </c>
      <c r="J85" s="813" t="e">
        <f t="shared" si="26"/>
        <v>#DIV/0!</v>
      </c>
      <c r="K85" s="813" t="e">
        <f t="shared" si="26"/>
        <v>#DIV/0!</v>
      </c>
      <c r="L85" s="813" t="e">
        <f t="shared" si="26"/>
        <v>#DIV/0!</v>
      </c>
      <c r="M85" s="813" t="e">
        <f t="shared" si="26"/>
        <v>#DIV/0!</v>
      </c>
      <c r="N85" s="813" t="e">
        <f t="shared" si="26"/>
        <v>#DIV/0!</v>
      </c>
      <c r="O85" s="813" t="e">
        <f t="shared" ref="O85:R85" si="32">(O10/O35-1)</f>
        <v>#DIV/0!</v>
      </c>
      <c r="P85" s="813" t="e">
        <f t="shared" si="32"/>
        <v>#DIV/0!</v>
      </c>
      <c r="Q85" s="813" t="e">
        <f t="shared" si="32"/>
        <v>#DIV/0!</v>
      </c>
      <c r="R85" s="813" t="e">
        <f t="shared" si="32"/>
        <v>#DIV/0!</v>
      </c>
    </row>
    <row r="86" spans="2:18" x14ac:dyDescent="0.35">
      <c r="B86" t="s">
        <v>249</v>
      </c>
      <c r="C86" t="s">
        <v>250</v>
      </c>
      <c r="D86" s="813">
        <f t="shared" si="26"/>
        <v>0.16343338503999938</v>
      </c>
      <c r="E86" s="813">
        <f t="shared" si="26"/>
        <v>0.20075391050816549</v>
      </c>
      <c r="F86" s="813">
        <f t="shared" si="26"/>
        <v>0.20075391050816549</v>
      </c>
      <c r="G86" s="813">
        <f t="shared" si="26"/>
        <v>0.20075391050816549</v>
      </c>
      <c r="H86" s="813">
        <f t="shared" si="26"/>
        <v>0.20075391050816571</v>
      </c>
      <c r="I86" s="813">
        <f t="shared" si="26"/>
        <v>0.20075391050816549</v>
      </c>
      <c r="J86" s="813">
        <f t="shared" si="26"/>
        <v>0.20075391050816549</v>
      </c>
      <c r="K86" s="813">
        <f t="shared" si="26"/>
        <v>0.20075391050816549</v>
      </c>
      <c r="L86" s="813">
        <f t="shared" si="26"/>
        <v>0.20075391050816549</v>
      </c>
      <c r="M86" s="813">
        <f t="shared" si="26"/>
        <v>0.20075391050816549</v>
      </c>
      <c r="N86" s="813">
        <f t="shared" si="26"/>
        <v>0.20075391050816549</v>
      </c>
      <c r="O86" s="813">
        <f t="shared" ref="O86:R86" si="33">(O11/O36-1)</f>
        <v>0.20075391050816549</v>
      </c>
      <c r="P86" s="813">
        <f t="shared" si="33"/>
        <v>0.20075391050816549</v>
      </c>
      <c r="Q86" s="813">
        <f t="shared" si="33"/>
        <v>0.20075391050816571</v>
      </c>
      <c r="R86" s="813">
        <f t="shared" si="33"/>
        <v>0.20075391050816571</v>
      </c>
    </row>
    <row r="87" spans="2:18" x14ac:dyDescent="0.35">
      <c r="B87" t="s">
        <v>251</v>
      </c>
      <c r="C87" t="s">
        <v>252</v>
      </c>
      <c r="D87" s="813">
        <f t="shared" si="26"/>
        <v>-3.0598407421620788E-2</v>
      </c>
      <c r="E87" s="813">
        <f t="shared" si="26"/>
        <v>-3.2528696231163057E-2</v>
      </c>
      <c r="F87" s="813">
        <f t="shared" si="26"/>
        <v>-5.9160732812762018E-2</v>
      </c>
      <c r="G87" s="813">
        <f t="shared" si="26"/>
        <v>-6.103414783800365E-2</v>
      </c>
      <c r="H87" s="813">
        <f t="shared" si="26"/>
        <v>-3.1328089560450301E-2</v>
      </c>
      <c r="I87" s="813">
        <f t="shared" si="26"/>
        <v>-4.6702590251949005E-2</v>
      </c>
      <c r="J87" s="813">
        <f t="shared" si="26"/>
        <v>-6.2163973235328185E-2</v>
      </c>
      <c r="K87" s="813">
        <f t="shared" si="26"/>
        <v>-7.7374590443709867E-2</v>
      </c>
      <c r="L87" s="813">
        <f t="shared" si="26"/>
        <v>-9.2338509008344505E-2</v>
      </c>
      <c r="M87" s="813">
        <f t="shared" si="26"/>
        <v>-0.11605764956917852</v>
      </c>
      <c r="N87" s="813">
        <f t="shared" si="26"/>
        <v>-0.13915695813920093</v>
      </c>
      <c r="O87" s="813">
        <f t="shared" ref="O87:R87" si="34">(O12/O37-1)</f>
        <v>-0.16165263225709725</v>
      </c>
      <c r="P87" s="813">
        <f t="shared" si="34"/>
        <v>-0.18356044618514467</v>
      </c>
      <c r="Q87" s="813">
        <f t="shared" si="34"/>
        <v>-0.2048957619703301</v>
      </c>
      <c r="R87" s="813">
        <f t="shared" si="34"/>
        <v>-0.22567354021642094</v>
      </c>
    </row>
    <row r="88" spans="2:18" x14ac:dyDescent="0.35">
      <c r="B88" t="s">
        <v>253</v>
      </c>
      <c r="C88" t="s">
        <v>254</v>
      </c>
      <c r="D88" s="813">
        <f t="shared" si="26"/>
        <v>-2.3918396060499503E-2</v>
      </c>
      <c r="E88" s="813">
        <f t="shared" si="26"/>
        <v>-2.5861986221387356E-2</v>
      </c>
      <c r="F88" s="813">
        <f t="shared" si="26"/>
        <v>-2.780170627274936E-2</v>
      </c>
      <c r="G88" s="813">
        <f t="shared" si="26"/>
        <v>-2.9737563920812837E-2</v>
      </c>
      <c r="H88" s="813">
        <f t="shared" si="26"/>
        <v>-3.1669566856460385E-2</v>
      </c>
      <c r="I88" s="813">
        <f t="shared" si="26"/>
        <v>-4.7374768117051991E-2</v>
      </c>
      <c r="J88" s="813">
        <f t="shared" si="26"/>
        <v>-6.2825249151785445E-2</v>
      </c>
      <c r="K88" s="813">
        <f t="shared" si="26"/>
        <v>-7.8025141228537098E-2</v>
      </c>
      <c r="L88" s="813">
        <f t="shared" si="26"/>
        <v>-9.2978508610789934E-2</v>
      </c>
      <c r="M88" s="813">
        <f t="shared" si="26"/>
        <v>-0.11668092461001156</v>
      </c>
      <c r="N88" s="813">
        <f t="shared" si="26"/>
        <v>-0.13976394566706973</v>
      </c>
      <c r="O88" s="813">
        <f t="shared" ref="O88:R88" si="35">(O13/O38-1)</f>
        <v>-0.16224375789963219</v>
      </c>
      <c r="P88" s="813">
        <f t="shared" si="35"/>
        <v>-0.18413612444741323</v>
      </c>
      <c r="Q88" s="813">
        <f t="shared" si="35"/>
        <v>-0.20545639652549419</v>
      </c>
      <c r="R88" s="813">
        <f t="shared" si="35"/>
        <v>-0.22621952418879698</v>
      </c>
    </row>
    <row r="89" spans="2:18" x14ac:dyDescent="0.35">
      <c r="B89" t="s">
        <v>76</v>
      </c>
      <c r="C89" t="s">
        <v>255</v>
      </c>
      <c r="D89" s="813">
        <f t="shared" si="26"/>
        <v>3.2274982853919276E-4</v>
      </c>
      <c r="E89" s="813">
        <f t="shared" si="26"/>
        <v>3.2284511356284185E-4</v>
      </c>
      <c r="F89" s="813">
        <f t="shared" si="26"/>
        <v>3.2909449757800857E-4</v>
      </c>
      <c r="G89" s="813">
        <f t="shared" si="26"/>
        <v>3.290801177810998E-4</v>
      </c>
      <c r="H89" s="813">
        <f t="shared" si="26"/>
        <v>3.3443617396322622E-4</v>
      </c>
      <c r="I89" s="813">
        <f t="shared" si="26"/>
        <v>3.3432172613490074E-4</v>
      </c>
      <c r="J89" s="813">
        <f t="shared" si="26"/>
        <v>3.3420962215546801E-4</v>
      </c>
      <c r="K89" s="813">
        <f t="shared" si="26"/>
        <v>3.3409964584496521E-4</v>
      </c>
      <c r="L89" s="813">
        <f t="shared" si="26"/>
        <v>3.3399175548387561E-4</v>
      </c>
      <c r="M89" s="813">
        <f t="shared" si="26"/>
        <v>3.3388591022109892E-4</v>
      </c>
      <c r="N89" s="813">
        <f t="shared" si="26"/>
        <v>3.3378352823110191E-4</v>
      </c>
      <c r="O89" s="813">
        <f t="shared" ref="O89:R89" si="36">(O14/O39-1)</f>
        <v>3.3368305734993164E-4</v>
      </c>
      <c r="P89" s="813">
        <f t="shared" si="36"/>
        <v>3.3358446080389292E-4</v>
      </c>
      <c r="Q89" s="813">
        <f t="shared" si="36"/>
        <v>3.334877025662486E-4</v>
      </c>
      <c r="R89" s="813">
        <f t="shared" si="36"/>
        <v>3.3339274734145441E-4</v>
      </c>
    </row>
    <row r="90" spans="2:18" x14ac:dyDescent="0.35">
      <c r="B90" t="s">
        <v>256</v>
      </c>
      <c r="C90" t="s">
        <v>257</v>
      </c>
      <c r="D90" s="813" t="e">
        <f>(D15/D40-1)</f>
        <v>#DIV/0!</v>
      </c>
      <c r="E90" s="813" t="e">
        <f t="shared" si="26"/>
        <v>#DIV/0!</v>
      </c>
      <c r="F90" s="813" t="e">
        <f t="shared" si="26"/>
        <v>#DIV/0!</v>
      </c>
      <c r="G90" s="813" t="e">
        <f t="shared" si="26"/>
        <v>#DIV/0!</v>
      </c>
      <c r="H90" s="813" t="e">
        <f t="shared" si="26"/>
        <v>#DIV/0!</v>
      </c>
      <c r="I90" s="813" t="e">
        <f t="shared" si="26"/>
        <v>#DIV/0!</v>
      </c>
      <c r="J90" s="813" t="e">
        <f t="shared" si="26"/>
        <v>#DIV/0!</v>
      </c>
      <c r="K90" s="813" t="e">
        <f t="shared" si="26"/>
        <v>#DIV/0!</v>
      </c>
      <c r="L90" s="813" t="e">
        <f t="shared" si="26"/>
        <v>#DIV/0!</v>
      </c>
      <c r="M90" s="813" t="e">
        <f t="shared" si="26"/>
        <v>#DIV/0!</v>
      </c>
      <c r="N90" s="813" t="e">
        <f t="shared" si="26"/>
        <v>#DIV/0!</v>
      </c>
      <c r="O90" s="813" t="e">
        <f t="shared" ref="O90:R90" si="37">(O15/O40-1)</f>
        <v>#DIV/0!</v>
      </c>
      <c r="P90" s="813" t="e">
        <f t="shared" si="37"/>
        <v>#DIV/0!</v>
      </c>
      <c r="Q90" s="813" t="e">
        <f t="shared" si="37"/>
        <v>#DIV/0!</v>
      </c>
      <c r="R90" s="813" t="e">
        <f t="shared" si="37"/>
        <v>#DIV/0!</v>
      </c>
    </row>
    <row r="91" spans="2:18" x14ac:dyDescent="0.35">
      <c r="B91" t="s">
        <v>258</v>
      </c>
      <c r="C91" t="s">
        <v>259</v>
      </c>
      <c r="D91" s="813">
        <f t="shared" si="26"/>
        <v>5.1679586563309066E-3</v>
      </c>
      <c r="E91" s="813" t="e">
        <f t="shared" si="26"/>
        <v>#DIV/0!</v>
      </c>
      <c r="F91" s="813">
        <f t="shared" si="26"/>
        <v>0</v>
      </c>
      <c r="G91" s="813">
        <f t="shared" si="26"/>
        <v>0</v>
      </c>
      <c r="H91" s="813" t="e">
        <f t="shared" si="26"/>
        <v>#DIV/0!</v>
      </c>
      <c r="I91" s="813" t="e">
        <f t="shared" si="26"/>
        <v>#DIV/0!</v>
      </c>
      <c r="J91" s="813" t="e">
        <f t="shared" si="26"/>
        <v>#DIV/0!</v>
      </c>
      <c r="K91" s="813" t="e">
        <f t="shared" si="26"/>
        <v>#DIV/0!</v>
      </c>
      <c r="L91" s="813" t="e">
        <f t="shared" si="26"/>
        <v>#DIV/0!</v>
      </c>
      <c r="M91" s="813" t="e">
        <f t="shared" si="26"/>
        <v>#DIV/0!</v>
      </c>
      <c r="N91" s="813" t="e">
        <f t="shared" si="26"/>
        <v>#DIV/0!</v>
      </c>
      <c r="O91" s="813" t="e">
        <f t="shared" ref="O91:R91" si="38">(O16/O41-1)</f>
        <v>#DIV/0!</v>
      </c>
      <c r="P91" s="813" t="e">
        <f t="shared" si="38"/>
        <v>#DIV/0!</v>
      </c>
      <c r="Q91" s="813" t="e">
        <f t="shared" si="38"/>
        <v>#DIV/0!</v>
      </c>
      <c r="R91" s="813" t="e">
        <f t="shared" si="38"/>
        <v>#DIV/0!</v>
      </c>
    </row>
    <row r="92" spans="2:18" x14ac:dyDescent="0.35">
      <c r="B92" t="s">
        <v>260</v>
      </c>
      <c r="C92" t="s">
        <v>261</v>
      </c>
      <c r="D92" s="813">
        <f t="shared" si="26"/>
        <v>0</v>
      </c>
      <c r="E92" s="813">
        <f t="shared" si="26"/>
        <v>0</v>
      </c>
      <c r="F92" s="813">
        <f t="shared" si="26"/>
        <v>0</v>
      </c>
      <c r="G92" s="813">
        <f t="shared" si="26"/>
        <v>0</v>
      </c>
      <c r="H92" s="813">
        <f t="shared" si="26"/>
        <v>0</v>
      </c>
      <c r="I92" s="813">
        <f t="shared" si="26"/>
        <v>0</v>
      </c>
      <c r="J92" s="813">
        <f t="shared" si="26"/>
        <v>0</v>
      </c>
      <c r="K92" s="813">
        <f t="shared" si="26"/>
        <v>0</v>
      </c>
      <c r="L92" s="813">
        <f t="shared" si="26"/>
        <v>0</v>
      </c>
      <c r="M92" s="813">
        <f t="shared" si="26"/>
        <v>0</v>
      </c>
      <c r="N92" s="813">
        <f t="shared" si="26"/>
        <v>0</v>
      </c>
      <c r="O92" s="813">
        <f t="shared" ref="O92:R92" si="39">(O17/O42-1)</f>
        <v>0</v>
      </c>
      <c r="P92" s="813">
        <f t="shared" si="39"/>
        <v>0</v>
      </c>
      <c r="Q92" s="813">
        <f t="shared" si="39"/>
        <v>0</v>
      </c>
      <c r="R92" s="813">
        <f t="shared" si="39"/>
        <v>0</v>
      </c>
    </row>
    <row r="93" spans="2:18" x14ac:dyDescent="0.35">
      <c r="B93" t="s">
        <v>262</v>
      </c>
      <c r="C93" t="s">
        <v>263</v>
      </c>
      <c r="D93" s="813">
        <f t="shared" si="26"/>
        <v>-0.80057507483850621</v>
      </c>
      <c r="E93" s="813">
        <f t="shared" si="26"/>
        <v>-0.57281280531056344</v>
      </c>
      <c r="F93" s="813">
        <f t="shared" si="26"/>
        <v>-0.73609122177759323</v>
      </c>
      <c r="G93" s="813">
        <f t="shared" si="26"/>
        <v>-0.73609122177759323</v>
      </c>
      <c r="H93" s="813">
        <f t="shared" si="26"/>
        <v>-0.73609122177759323</v>
      </c>
      <c r="I93" s="813">
        <f t="shared" si="26"/>
        <v>-0.33081285444234398</v>
      </c>
      <c r="J93" s="813">
        <f t="shared" si="26"/>
        <v>-0.33081285444234398</v>
      </c>
      <c r="K93" s="813">
        <f t="shared" si="26"/>
        <v>-0.33081285444234398</v>
      </c>
      <c r="L93" s="813">
        <f t="shared" si="26"/>
        <v>-0.33081285444234398</v>
      </c>
      <c r="M93" s="813">
        <f t="shared" si="26"/>
        <v>-0.32124827902707653</v>
      </c>
      <c r="N93" s="813">
        <f t="shared" si="26"/>
        <v>-0.32124827902707653</v>
      </c>
      <c r="O93" s="813">
        <f t="shared" ref="O93:R93" si="40">(O18/O43-1)</f>
        <v>-0.32124827902707653</v>
      </c>
      <c r="P93" s="813">
        <f t="shared" si="40"/>
        <v>-0.32124827902707653</v>
      </c>
      <c r="Q93" s="813">
        <f t="shared" si="40"/>
        <v>-0.3004291845493563</v>
      </c>
      <c r="R93" s="813">
        <f t="shared" si="40"/>
        <v>-0.3004291845493563</v>
      </c>
    </row>
    <row r="94" spans="2:18" x14ac:dyDescent="0.35">
      <c r="B94" t="s">
        <v>264</v>
      </c>
      <c r="C94" t="s">
        <v>265</v>
      </c>
      <c r="D94" s="813">
        <f t="shared" si="26"/>
        <v>2.8280880354505156E-2</v>
      </c>
      <c r="E94" s="813">
        <f t="shared" si="26"/>
        <v>3.9084818705843682E-2</v>
      </c>
      <c r="F94" s="813">
        <f t="shared" si="26"/>
        <v>0.1259675163020777</v>
      </c>
      <c r="G94" s="813">
        <f t="shared" si="26"/>
        <v>0.12581303853107673</v>
      </c>
      <c r="H94" s="813">
        <f t="shared" si="26"/>
        <v>0.10762260134261381</v>
      </c>
      <c r="I94" s="813">
        <f t="shared" si="26"/>
        <v>0.10749017195577459</v>
      </c>
      <c r="J94" s="813">
        <f t="shared" si="26"/>
        <v>5.8843586099380341E-2</v>
      </c>
      <c r="K94" s="813">
        <f t="shared" si="26"/>
        <v>5.8610324715560713E-2</v>
      </c>
      <c r="L94" s="813">
        <f t="shared" si="26"/>
        <v>5.8378905368867251E-2</v>
      </c>
      <c r="M94" s="813">
        <f t="shared" si="26"/>
        <v>5.814930632559534E-2</v>
      </c>
      <c r="N94" s="813">
        <f t="shared" si="26"/>
        <v>5.7787525887335489E-2</v>
      </c>
      <c r="O94" s="813">
        <f t="shared" ref="O94:R94" si="41">(O19/O44-1)</f>
        <v>5.7569957138494443E-2</v>
      </c>
      <c r="P94" s="813">
        <f t="shared" si="41"/>
        <v>5.7354020527684346E-2</v>
      </c>
      <c r="Q94" s="813">
        <f t="shared" si="41"/>
        <v>5.7139697757791597E-2</v>
      </c>
      <c r="R94" s="813">
        <f t="shared" si="41"/>
        <v>5.6926970804177746E-2</v>
      </c>
    </row>
    <row r="95" spans="2:18" x14ac:dyDescent="0.35">
      <c r="B95" t="s">
        <v>266</v>
      </c>
      <c r="C95" t="s">
        <v>267</v>
      </c>
      <c r="D95" s="813">
        <f t="shared" si="26"/>
        <v>3.4166947144127491E-3</v>
      </c>
      <c r="E95" s="813">
        <f t="shared" si="26"/>
        <v>3.4166947144127491E-3</v>
      </c>
      <c r="F95" s="813">
        <f t="shared" si="26"/>
        <v>3.416694714412527E-3</v>
      </c>
      <c r="G95" s="813">
        <f t="shared" si="26"/>
        <v>3.416694714412527E-3</v>
      </c>
      <c r="H95" s="813">
        <f t="shared" si="26"/>
        <v>3.416694714412527E-3</v>
      </c>
      <c r="I95" s="813">
        <f t="shared" si="26"/>
        <v>3.416694714412305E-3</v>
      </c>
      <c r="J95" s="813">
        <f t="shared" si="26"/>
        <v>3.416694714412527E-3</v>
      </c>
      <c r="K95" s="813">
        <f t="shared" si="26"/>
        <v>3.416694714412527E-3</v>
      </c>
      <c r="L95" s="813">
        <f t="shared" si="26"/>
        <v>3.416694714412527E-3</v>
      </c>
      <c r="M95" s="813">
        <f t="shared" si="26"/>
        <v>3.416694714412527E-3</v>
      </c>
      <c r="N95" s="813">
        <f t="shared" si="26"/>
        <v>3.416694714412527E-3</v>
      </c>
      <c r="O95" s="813">
        <f t="shared" ref="O95:R95" si="42">(O20/O45-1)</f>
        <v>3.416694714412527E-3</v>
      </c>
      <c r="P95" s="813">
        <f t="shared" si="42"/>
        <v>3.416694714412527E-3</v>
      </c>
      <c r="Q95" s="813">
        <f t="shared" si="42"/>
        <v>3.416694714412527E-3</v>
      </c>
      <c r="R95" s="813">
        <f t="shared" si="42"/>
        <v>3.416694714412527E-3</v>
      </c>
    </row>
    <row r="96" spans="2:18" x14ac:dyDescent="0.35">
      <c r="B96" t="s">
        <v>268</v>
      </c>
      <c r="C96" t="s">
        <v>269</v>
      </c>
      <c r="D96" s="813">
        <f t="shared" si="26"/>
        <v>9.5450201202800233E-3</v>
      </c>
      <c r="E96" s="813">
        <f t="shared" si="26"/>
        <v>1.84279913223655E-2</v>
      </c>
      <c r="F96" s="813">
        <f t="shared" si="26"/>
        <v>3.1612156044962036E-2</v>
      </c>
      <c r="G96" s="813">
        <f t="shared" si="26"/>
        <v>4.1367854659271508E-2</v>
      </c>
      <c r="H96" s="813">
        <f t="shared" si="26"/>
        <v>5.2624615572738787E-2</v>
      </c>
      <c r="I96" s="813">
        <f t="shared" si="26"/>
        <v>4.2495066483891231E-2</v>
      </c>
      <c r="J96" s="813">
        <f t="shared" si="26"/>
        <v>3.4873368514268588E-2</v>
      </c>
      <c r="K96" s="813">
        <f t="shared" si="26"/>
        <v>2.6348773685294535E-2</v>
      </c>
      <c r="L96" s="813">
        <f t="shared" si="26"/>
        <v>1.8143424656525742E-2</v>
      </c>
      <c r="M96" s="813">
        <f t="shared" si="26"/>
        <v>2.1485520879478637E-2</v>
      </c>
      <c r="N96" s="813">
        <f t="shared" si="26"/>
        <v>2.5269226299159842E-2</v>
      </c>
      <c r="O96" s="813">
        <f t="shared" ref="O96:R96" si="43">(O21/O46-1)</f>
        <v>2.9261083955650191E-2</v>
      </c>
      <c r="P96" s="813">
        <f t="shared" si="43"/>
        <v>3.2968419425603468E-2</v>
      </c>
      <c r="Q96" s="813">
        <f t="shared" si="43"/>
        <v>2.8995069066421797E-2</v>
      </c>
      <c r="R96" s="813">
        <f t="shared" si="43"/>
        <v>2.4866095589288317E-2</v>
      </c>
    </row>
    <row r="97" spans="2:18" x14ac:dyDescent="0.35">
      <c r="B97" t="s">
        <v>270</v>
      </c>
      <c r="C97" t="s">
        <v>271</v>
      </c>
      <c r="D97" s="813">
        <f t="shared" si="26"/>
        <v>-9.4416115989128802E-3</v>
      </c>
      <c r="E97" s="813">
        <f t="shared" si="26"/>
        <v>-1.5993114549700538E-2</v>
      </c>
      <c r="F97" s="813">
        <f t="shared" si="26"/>
        <v>-1.5989911204400853E-2</v>
      </c>
      <c r="G97" s="813">
        <f t="shared" si="26"/>
        <v>-1.5984641357515761E-2</v>
      </c>
      <c r="H97" s="813">
        <f t="shared" si="26"/>
        <v>-1.5991145737090706E-2</v>
      </c>
      <c r="I97" s="813">
        <f t="shared" si="26"/>
        <v>-1.5995872599330663E-2</v>
      </c>
      <c r="J97" s="813">
        <f t="shared" si="26"/>
        <v>-1.5996403785119906E-2</v>
      </c>
      <c r="K97" s="813">
        <f t="shared" si="26"/>
        <v>-1.5995016162080988E-2</v>
      </c>
      <c r="L97" s="813">
        <f t="shared" si="26"/>
        <v>-1.5995296613530829E-2</v>
      </c>
      <c r="M97" s="813">
        <f t="shared" si="26"/>
        <v>-1.5995163887605246E-2</v>
      </c>
      <c r="N97" s="813">
        <f t="shared" si="26"/>
        <v>-1.5992653832891945E-2</v>
      </c>
      <c r="O97" s="813">
        <f t="shared" ref="O97:R97" si="44">(O22/O47-1)</f>
        <v>-1.5993303148858717E-2</v>
      </c>
      <c r="P97" s="813">
        <f t="shared" si="44"/>
        <v>-1.5992892919323265E-2</v>
      </c>
      <c r="Q97" s="813">
        <f t="shared" si="44"/>
        <v>-1.598873122972444E-2</v>
      </c>
      <c r="R97" s="813">
        <f t="shared" si="44"/>
        <v>-1.5985788983733817E-2</v>
      </c>
    </row>
    <row r="98" spans="2:18" x14ac:dyDescent="0.35">
      <c r="B98" t="s">
        <v>272</v>
      </c>
      <c r="C98" t="s">
        <v>273</v>
      </c>
      <c r="D98" s="813">
        <f t="shared" si="26"/>
        <v>0</v>
      </c>
      <c r="E98" s="813">
        <f t="shared" si="26"/>
        <v>1.8254844660150482E-3</v>
      </c>
      <c r="F98" s="813">
        <f t="shared" si="26"/>
        <v>-0.10310281396396093</v>
      </c>
      <c r="G98" s="813">
        <f t="shared" si="26"/>
        <v>-0.1066205284574443</v>
      </c>
      <c r="H98" s="813">
        <f t="shared" si="26"/>
        <v>-9.8958850975208512E-2</v>
      </c>
      <c r="I98" s="813">
        <f t="shared" si="26"/>
        <v>-6.0432845832528836E-2</v>
      </c>
      <c r="J98" s="813">
        <f t="shared" si="26"/>
        <v>-1.6016430445935925E-2</v>
      </c>
      <c r="K98" s="813">
        <f t="shared" si="26"/>
        <v>3.4334488872141522E-2</v>
      </c>
      <c r="L98" s="813">
        <f t="shared" si="26"/>
        <v>8.3671421131520152E-2</v>
      </c>
      <c r="M98" s="813">
        <f t="shared" si="26"/>
        <v>5.9038349142293223E-2</v>
      </c>
      <c r="N98" s="813">
        <f t="shared" si="26"/>
        <v>3.6505966737414575E-2</v>
      </c>
      <c r="O98" s="813">
        <f t="shared" ref="O98:R98" si="45">(O23/O48-1)</f>
        <v>7.9998306875803671E-3</v>
      </c>
      <c r="P98" s="813">
        <f t="shared" si="45"/>
        <v>-1.8975831392617937E-2</v>
      </c>
      <c r="Q98" s="813">
        <f t="shared" si="45"/>
        <v>-2.1982682862620506E-2</v>
      </c>
      <c r="R98" s="813">
        <f t="shared" si="45"/>
        <v>-2.2096250292448993E-2</v>
      </c>
    </row>
    <row r="99" spans="2:18" x14ac:dyDescent="0.35">
      <c r="B99" t="s">
        <v>274</v>
      </c>
      <c r="C99" t="s">
        <v>275</v>
      </c>
      <c r="D99" s="813">
        <f t="shared" si="26"/>
        <v>0</v>
      </c>
      <c r="E99" s="813">
        <f t="shared" si="26"/>
        <v>0.12988985947588305</v>
      </c>
      <c r="F99" s="813">
        <f t="shared" si="26"/>
        <v>0.12988985947588305</v>
      </c>
      <c r="G99" s="813">
        <f t="shared" si="26"/>
        <v>0.12988985947588305</v>
      </c>
      <c r="H99" s="813">
        <f t="shared" si="26"/>
        <v>0.12988985947588305</v>
      </c>
      <c r="I99" s="813">
        <f t="shared" si="26"/>
        <v>0.12988985947588305</v>
      </c>
      <c r="J99" s="813">
        <f t="shared" si="26"/>
        <v>0.12988985947588305</v>
      </c>
      <c r="K99" s="813">
        <f t="shared" si="26"/>
        <v>0.12988985947588305</v>
      </c>
      <c r="L99" s="813">
        <f t="shared" si="26"/>
        <v>0.12988985947588305</v>
      </c>
      <c r="M99" s="813">
        <f t="shared" si="26"/>
        <v>0.12988985947588305</v>
      </c>
      <c r="N99" s="813">
        <f t="shared" si="26"/>
        <v>0.12988985947588305</v>
      </c>
      <c r="O99" s="813">
        <f t="shared" ref="O99:R99" si="46">(O24/O49-1)</f>
        <v>0.12988985947588305</v>
      </c>
      <c r="P99" s="813">
        <f t="shared" si="46"/>
        <v>0.12988985947588305</v>
      </c>
      <c r="Q99" s="813">
        <f t="shared" si="46"/>
        <v>0.12988985947588305</v>
      </c>
      <c r="R99" s="813">
        <f t="shared" si="46"/>
        <v>0.12988985947588305</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4" zoomScaleNormal="100" workbookViewId="0">
      <selection activeCell="M27" sqref="M27"/>
    </sheetView>
  </sheetViews>
  <sheetFormatPr defaultColWidth="8.81640625" defaultRowHeight="14.5" x14ac:dyDescent="0.35"/>
  <cols>
    <col min="1" max="1" width="41.1796875" customWidth="1"/>
    <col min="2" max="2" width="23.453125" customWidth="1"/>
    <col min="3" max="13" width="10.453125" bestFit="1" customWidth="1"/>
  </cols>
  <sheetData>
    <row r="1" spans="1:17" s="278" customFormat="1" x14ac:dyDescent="0.35">
      <c r="A1" s="278" t="s">
        <v>222</v>
      </c>
      <c r="B1" s="278" t="s">
        <v>223</v>
      </c>
      <c r="C1" s="281" t="s">
        <v>224</v>
      </c>
      <c r="D1" s="281" t="s">
        <v>225</v>
      </c>
      <c r="E1" s="281" t="s">
        <v>226</v>
      </c>
      <c r="F1" s="281" t="s">
        <v>227</v>
      </c>
      <c r="G1" s="281" t="s">
        <v>228</v>
      </c>
      <c r="H1" s="281" t="s">
        <v>229</v>
      </c>
      <c r="I1" s="281" t="s">
        <v>230</v>
      </c>
      <c r="J1" s="281" t="s">
        <v>231</v>
      </c>
      <c r="K1" s="281" t="s">
        <v>232</v>
      </c>
      <c r="L1" s="281" t="s">
        <v>233</v>
      </c>
      <c r="M1" s="281" t="s">
        <v>234</v>
      </c>
      <c r="N1" s="281" t="s">
        <v>235</v>
      </c>
      <c r="O1" s="281" t="s">
        <v>219</v>
      </c>
      <c r="P1" s="281" t="s">
        <v>220</v>
      </c>
      <c r="Q1" s="281" t="s">
        <v>221</v>
      </c>
    </row>
    <row r="2" spans="1:17" x14ac:dyDescent="0.35">
      <c r="A2" t="s">
        <v>236</v>
      </c>
      <c r="B2" t="s">
        <v>237</v>
      </c>
      <c r="C2" s="215">
        <f>Grants!O79</f>
        <v>384.12299999999988</v>
      </c>
      <c r="D2" s="215">
        <f>Grants!P79</f>
        <v>373.02054063783805</v>
      </c>
      <c r="E2" s="215">
        <f>Grants!Q79</f>
        <v>370.5198109315192</v>
      </c>
      <c r="F2" s="215">
        <f>Grants!R79</f>
        <v>384.94151421232431</v>
      </c>
      <c r="G2" s="215">
        <f>Grants!S79</f>
        <v>395.97527266666646</v>
      </c>
      <c r="H2" s="215">
        <f>Grants!T79</f>
        <v>408.95099832987557</v>
      </c>
      <c r="I2" s="215">
        <f>Grants!U79</f>
        <v>421.28765117678</v>
      </c>
      <c r="J2" s="215">
        <f>Grants!V79</f>
        <v>405.26806734081725</v>
      </c>
      <c r="K2" s="215">
        <f>Grants!W79</f>
        <v>403.77230613333313</v>
      </c>
      <c r="L2" s="215">
        <f>Grants!X79</f>
        <v>407.51224106307063</v>
      </c>
      <c r="M2" s="215">
        <f>Grants!Y79</f>
        <v>386.27336285585125</v>
      </c>
      <c r="N2" s="215">
        <f>Grants!Z79</f>
        <v>368.07914927444995</v>
      </c>
      <c r="O2" s="215">
        <f>Grants!AA79</f>
        <v>372.20376613866648</v>
      </c>
      <c r="P2" s="215">
        <f>Grants!AB79</f>
        <v>375.54597704559342</v>
      </c>
      <c r="Q2" s="215">
        <f>Grants!AC79</f>
        <v>370.87289789008526</v>
      </c>
    </row>
    <row r="3" spans="1:17" x14ac:dyDescent="0.35">
      <c r="A3" t="s">
        <v>177</v>
      </c>
      <c r="B3" t="s">
        <v>238</v>
      </c>
      <c r="C3" s="215">
        <f>Grants!O98</f>
        <v>72.766999999999996</v>
      </c>
      <c r="D3" s="215">
        <f>Grants!P98</f>
        <v>75.34842857142857</v>
      </c>
      <c r="E3" s="215">
        <f>Grants!Q98</f>
        <v>75.34842857142857</v>
      </c>
      <c r="F3" s="215">
        <f>Grants!R98</f>
        <v>75.34842857142857</v>
      </c>
      <c r="G3" s="215">
        <f>Grants!S98</f>
        <v>75.34842857142857</v>
      </c>
      <c r="H3" s="215">
        <f>Grants!T98</f>
        <v>75.34842857142857</v>
      </c>
      <c r="I3" s="215">
        <f>Grants!U98</f>
        <v>75.34842857142857</v>
      </c>
      <c r="J3" s="215">
        <f>Grants!V98</f>
        <v>75.34842857142857</v>
      </c>
      <c r="K3" s="215">
        <f>Grants!W98</f>
        <v>75.34842857142857</v>
      </c>
      <c r="L3" s="215">
        <f>Grants!X98</f>
        <v>75.34842857142857</v>
      </c>
      <c r="M3" s="215">
        <f>Grants!Y98</f>
        <v>75.34842857142857</v>
      </c>
      <c r="N3" s="215">
        <f>Grants!Z98</f>
        <v>75.34842857142857</v>
      </c>
      <c r="O3" s="215">
        <f>Grants!AA98</f>
        <v>75.34842857142857</v>
      </c>
      <c r="P3" s="215">
        <f>Grants!AB98</f>
        <v>75.34842857142857</v>
      </c>
      <c r="Q3" s="215">
        <f>Grants!AC98</f>
        <v>75.34842857142857</v>
      </c>
    </row>
    <row r="4" spans="1:17" x14ac:dyDescent="0.35">
      <c r="A4" t="s">
        <v>239</v>
      </c>
      <c r="B4" t="s">
        <v>240</v>
      </c>
      <c r="C4" s="215">
        <f>'Federal and State Purchases'!O14</f>
        <v>1562.1</v>
      </c>
      <c r="D4" s="215">
        <f>'Federal and State Purchases'!P14</f>
        <v>1573.9267891323836</v>
      </c>
      <c r="E4" s="215">
        <f>'Federal and State Purchases'!Q14</f>
        <v>1585.9354345503814</v>
      </c>
      <c r="F4" s="215">
        <f>'Federal and State Purchases'!R14</f>
        <v>1587.9101975616902</v>
      </c>
      <c r="G4" s="215">
        <f>'Federal and State Purchases'!S14</f>
        <v>1587.2547789253952</v>
      </c>
      <c r="H4" s="215">
        <f>'Federal and State Purchases'!T14</f>
        <v>1587.4214144343857</v>
      </c>
      <c r="I4" s="215">
        <f>'Federal and State Purchases'!U14</f>
        <v>1591.6665815728984</v>
      </c>
      <c r="J4" s="215">
        <f>'Federal and State Purchases'!V14</f>
        <v>1597.5981128204228</v>
      </c>
      <c r="K4" s="215">
        <f>'Federal and State Purchases'!W14</f>
        <v>1605.1922935912212</v>
      </c>
      <c r="L4" s="215">
        <f>'Federal and State Purchases'!X14</f>
        <v>1614.118674329608</v>
      </c>
      <c r="M4" s="215">
        <f>'Federal and State Purchases'!Y14</f>
        <v>1622.9240123392974</v>
      </c>
      <c r="N4" s="215">
        <f>'Federal and State Purchases'!Z14</f>
        <v>1631.7773852169912</v>
      </c>
      <c r="O4" s="215">
        <f>'Federal and State Purchases'!AA14</f>
        <v>1641.0802481012545</v>
      </c>
      <c r="P4" s="215">
        <f>'Federal and State Purchases'!AB14</f>
        <v>1650.0326668517271</v>
      </c>
      <c r="Q4" s="215">
        <f>'Federal and State Purchases'!AC14</f>
        <v>1660.2500755702192</v>
      </c>
    </row>
    <row r="5" spans="1:17" x14ac:dyDescent="0.35">
      <c r="A5" t="s">
        <v>241</v>
      </c>
      <c r="B5" t="s">
        <v>242</v>
      </c>
      <c r="C5" s="215">
        <f>'Federal and State Purchases'!O30</f>
        <v>2514.9</v>
      </c>
      <c r="D5" s="215">
        <f>'Federal and State Purchases'!P30</f>
        <v>2575.543516678471</v>
      </c>
      <c r="E5" s="215">
        <f>'Federal and State Purchases'!Q30</f>
        <v>2631.6341692094484</v>
      </c>
      <c r="F5" s="215">
        <f>'Federal and State Purchases'!R30</f>
        <v>2682.757733843011</v>
      </c>
      <c r="G5" s="215">
        <f>'Federal and State Purchases'!S30</f>
        <v>2728.521623719575</v>
      </c>
      <c r="H5" s="215">
        <f>'Federal and State Purchases'!T30</f>
        <v>2765.2889285658985</v>
      </c>
      <c r="I5" s="215">
        <f>'Federal and State Purchases'!U30</f>
        <v>2799.2252025612861</v>
      </c>
      <c r="J5" s="215">
        <f>'Federal and State Purchases'!V30</f>
        <v>2833.5779504667935</v>
      </c>
      <c r="K5" s="215">
        <f>'Federal and State Purchases'!W30</f>
        <v>2868.3522833478787</v>
      </c>
      <c r="L5" s="215">
        <f>'Federal and State Purchases'!X30</f>
        <v>2903.5533749941942</v>
      </c>
      <c r="M5" s="215">
        <f>'Federal and State Purchases'!Y30</f>
        <v>2939.1864626893512</v>
      </c>
      <c r="N5" s="215">
        <f>'Federal and State Purchases'!Z30</f>
        <v>2939.1864626893512</v>
      </c>
      <c r="O5" s="215">
        <f>'Federal and State Purchases'!AA30</f>
        <v>2939.1864626893512</v>
      </c>
      <c r="P5" s="215">
        <f>'Federal and State Purchases'!AB30</f>
        <v>2939.1864626893512</v>
      </c>
      <c r="Q5" s="215">
        <f>'Federal and State Purchases'!AC30</f>
        <v>2939.1864626893512</v>
      </c>
    </row>
    <row r="6" spans="1:17" x14ac:dyDescent="0.35">
      <c r="A6" t="s">
        <v>243</v>
      </c>
      <c r="B6" t="s">
        <v>244</v>
      </c>
      <c r="C6" s="215">
        <f>Subsidies!O44</f>
        <v>286.71096</v>
      </c>
      <c r="D6" s="215">
        <f>Subsidies!P44</f>
        <v>98.095732406535092</v>
      </c>
      <c r="E6" s="215">
        <f>Subsidies!Q44</f>
        <v>58.64100000000002</v>
      </c>
      <c r="F6" s="215">
        <f>Subsidies!R44</f>
        <v>58.64100000000002</v>
      </c>
      <c r="G6" s="215">
        <f>Subsidies!S44</f>
        <v>58.64100000000002</v>
      </c>
      <c r="H6" s="215">
        <f>Subsidies!T44</f>
        <v>83.572500000000019</v>
      </c>
      <c r="I6" s="215">
        <f>Subsidies!U44</f>
        <v>83.572500000000019</v>
      </c>
      <c r="J6" s="215">
        <f>Subsidies!V44</f>
        <v>83.572500000000019</v>
      </c>
      <c r="K6" s="215">
        <f>Subsidies!W44</f>
        <v>83.572500000000019</v>
      </c>
      <c r="L6" s="215">
        <f>Subsidies!X44</f>
        <v>84.935000000000016</v>
      </c>
      <c r="M6" s="215">
        <f>Subsidies!Y44</f>
        <v>84.935000000000016</v>
      </c>
      <c r="N6" s="215">
        <f>Subsidies!Z44</f>
        <v>84.935000000000016</v>
      </c>
      <c r="O6" s="215">
        <f>Subsidies!AA44</f>
        <v>84.935000000000016</v>
      </c>
      <c r="P6" s="215">
        <f>Subsidies!AB44</f>
        <v>77.001000000000005</v>
      </c>
      <c r="Q6" s="215">
        <f>Subsidies!AC44</f>
        <v>77.001000000000005</v>
      </c>
    </row>
    <row r="7" spans="1:17" x14ac:dyDescent="0.35">
      <c r="A7" t="s">
        <v>245</v>
      </c>
      <c r="B7" t="s">
        <v>246</v>
      </c>
      <c r="C7" s="215">
        <f>Subsidies!O43</f>
        <v>267.78904</v>
      </c>
      <c r="D7" s="215">
        <f>Subsidies!P43</f>
        <v>110.24799999999999</v>
      </c>
      <c r="E7" s="215">
        <f>Subsidies!Q43</f>
        <v>110.24799999999999</v>
      </c>
      <c r="F7" s="215">
        <f>Subsidies!R43</f>
        <v>110.24799999999999</v>
      </c>
      <c r="G7" s="215">
        <f>Subsidies!S43</f>
        <v>110.24799999999999</v>
      </c>
      <c r="H7" s="215">
        <f>Subsidies!T43</f>
        <v>12.726000000000001</v>
      </c>
      <c r="I7" s="215">
        <f>Subsidies!U43</f>
        <v>12.726000000000001</v>
      </c>
      <c r="J7" s="215">
        <f>Subsidies!V43</f>
        <v>12.726000000000001</v>
      </c>
      <c r="K7" s="215">
        <f>Subsidies!W43</f>
        <v>12.726000000000001</v>
      </c>
      <c r="L7" s="215">
        <f>Subsidies!X43</f>
        <v>1.365</v>
      </c>
      <c r="M7" s="215">
        <f>Subsidies!Y43</f>
        <v>1.365</v>
      </c>
      <c r="N7" s="215">
        <f>Subsidies!Z43</f>
        <v>1.365</v>
      </c>
      <c r="O7" s="215">
        <f>Subsidies!AA43</f>
        <v>1.365</v>
      </c>
      <c r="P7" s="215">
        <f>Subsidies!AB43</f>
        <v>-0.90100000000000025</v>
      </c>
      <c r="Q7" s="215">
        <f>Subsidies!AC43</f>
        <v>-0.90100000000000025</v>
      </c>
    </row>
    <row r="8" spans="1:17" x14ac:dyDescent="0.35">
      <c r="A8" t="s">
        <v>247</v>
      </c>
      <c r="B8" t="s">
        <v>248</v>
      </c>
      <c r="C8" s="215">
        <f>'Unemployment Insurance'!O19</f>
        <v>236.5</v>
      </c>
      <c r="D8" s="215">
        <f>'Unemployment Insurance'!P19</f>
        <v>0</v>
      </c>
      <c r="E8" s="215">
        <f>'Unemployment Insurance'!Q19</f>
        <v>0</v>
      </c>
      <c r="F8" s="215">
        <f>'Unemployment Insurance'!R19</f>
        <v>0</v>
      </c>
      <c r="G8" s="215">
        <f>'Unemployment Insurance'!S19</f>
        <v>0</v>
      </c>
      <c r="H8" s="215">
        <f>'Unemployment Insurance'!T19</f>
        <v>0</v>
      </c>
      <c r="I8" s="215">
        <f>'Unemployment Insurance'!U19</f>
        <v>0</v>
      </c>
      <c r="J8" s="215">
        <f>'Unemployment Insurance'!V19</f>
        <v>0</v>
      </c>
      <c r="K8" s="215">
        <f>'Unemployment Insurance'!W19</f>
        <v>0</v>
      </c>
      <c r="L8" s="215">
        <f>'Unemployment Insurance'!X19</f>
        <v>0</v>
      </c>
      <c r="M8" s="215">
        <f>'Unemployment Insurance'!Y19</f>
        <v>0</v>
      </c>
      <c r="N8" s="215">
        <f>'Unemployment Insurance'!Z19</f>
        <v>0</v>
      </c>
      <c r="O8" s="215">
        <f>'Unemployment Insurance'!AA19</f>
        <v>0</v>
      </c>
      <c r="P8" s="215">
        <f>'Unemployment Insurance'!AB19</f>
        <v>0</v>
      </c>
      <c r="Q8" s="215">
        <f>'Unemployment Insurance'!AC19</f>
        <v>0</v>
      </c>
    </row>
    <row r="9" spans="1:17" x14ac:dyDescent="0.35">
      <c r="A9" t="s">
        <v>249</v>
      </c>
      <c r="B9" t="s">
        <v>250</v>
      </c>
      <c r="C9" s="215">
        <f>'Unemployment Insurance'!O20</f>
        <v>36.100000000000023</v>
      </c>
      <c r="D9" s="215">
        <f>'Unemployment Insurance'!P20</f>
        <v>32.412642857142878</v>
      </c>
      <c r="E9" s="215">
        <f>'Unemployment Insurance'!Q20</f>
        <v>28.861246753246771</v>
      </c>
      <c r="F9" s="215">
        <f>'Unemployment Insurance'!R20</f>
        <v>26.856993506493524</v>
      </c>
      <c r="G9" s="215">
        <f>'Unemployment Insurance'!S20</f>
        <v>25.893545454545471</v>
      </c>
      <c r="H9" s="215">
        <f>'Unemployment Insurance'!T20</f>
        <v>25.57708441558443</v>
      </c>
      <c r="I9" s="215">
        <f>'Unemployment Insurance'!U20</f>
        <v>25.752896103896116</v>
      </c>
      <c r="J9" s="215">
        <f>'Unemployment Insurance'!V20</f>
        <v>26.1467142857143</v>
      </c>
      <c r="K9" s="215">
        <f>'Unemployment Insurance'!W20</f>
        <v>26.547564935064948</v>
      </c>
      <c r="L9" s="215">
        <f>'Unemployment Insurance'!X20</f>
        <v>26.969512987013001</v>
      </c>
      <c r="M9" s="215">
        <f>'Unemployment Insurance'!Y20</f>
        <v>27.496948051948067</v>
      </c>
      <c r="N9" s="215">
        <f>'Unemployment Insurance'!Z20</f>
        <v>27.932961038961054</v>
      </c>
      <c r="O9" s="215">
        <f>'Unemployment Insurance'!AA20</f>
        <v>28.277551948051961</v>
      </c>
      <c r="P9" s="215">
        <f>'Unemployment Insurance'!AB20</f>
        <v>28.706532467532483</v>
      </c>
      <c r="Q9" s="215">
        <f>'Unemployment Insurance'!AC20</f>
        <v>29.121448051948068</v>
      </c>
    </row>
    <row r="10" spans="1:17" x14ac:dyDescent="0.35">
      <c r="A10" t="s">
        <v>251</v>
      </c>
      <c r="B10" t="s">
        <v>252</v>
      </c>
      <c r="C10" s="215">
        <f>Medicaid!K26</f>
        <v>530.82100000000003</v>
      </c>
      <c r="D10" s="215">
        <f>Medicaid!L26</f>
        <v>538.19018291204748</v>
      </c>
      <c r="E10" s="215">
        <f>Medicaid!M26</f>
        <v>551.80044706412866</v>
      </c>
      <c r="F10" s="215">
        <f>Medicaid!N26</f>
        <v>559.46087953640301</v>
      </c>
      <c r="G10" s="215">
        <f>Medicaid!O26</f>
        <v>532.32580649257125</v>
      </c>
      <c r="H10" s="215">
        <f>Medicaid!P26</f>
        <v>523.02182961904396</v>
      </c>
      <c r="I10" s="215">
        <f>Medicaid!Q26</f>
        <v>516.10149912857014</v>
      </c>
      <c r="J10" s="215">
        <f>Medicaid!R26</f>
        <v>509.27273455635293</v>
      </c>
      <c r="K10" s="215">
        <f>Medicaid!S26</f>
        <v>502.53432435369587</v>
      </c>
      <c r="L10" s="215">
        <f>Medicaid!T26</f>
        <v>509.45176934458243</v>
      </c>
      <c r="M10" s="215">
        <f>Medicaid!U26</f>
        <v>516.46443379189816</v>
      </c>
      <c r="N10" s="215">
        <f>Medicaid!V26</f>
        <v>523.57362840283258</v>
      </c>
      <c r="O10" s="215">
        <f>Medicaid!W26</f>
        <v>530.78068192661613</v>
      </c>
      <c r="P10" s="215">
        <f>Medicaid!X26</f>
        <v>538.08694140287128</v>
      </c>
      <c r="Q10" s="215">
        <f>Medicaid!Y26</f>
        <v>545.49377241338152</v>
      </c>
    </row>
    <row r="11" spans="1:17" x14ac:dyDescent="0.35">
      <c r="A11" t="s">
        <v>253</v>
      </c>
      <c r="B11" t="s">
        <v>254</v>
      </c>
      <c r="C11" s="215">
        <f>Medicaid!K25</f>
        <v>740</v>
      </c>
      <c r="D11" s="215">
        <f>Medicaid!L25</f>
        <v>750.27313417313019</v>
      </c>
      <c r="E11" s="215">
        <f>Medicaid!M25</f>
        <v>760.68888629996195</v>
      </c>
      <c r="F11" s="215">
        <f>Medicaid!N25</f>
        <v>771.24923629045986</v>
      </c>
      <c r="G11" s="215">
        <f>Medicaid!O25</f>
        <v>781.95619154091401</v>
      </c>
      <c r="H11" s="215">
        <f>Medicaid!P25</f>
        <v>771.60978730291697</v>
      </c>
      <c r="I11" s="215">
        <f>Medicaid!Q25</f>
        <v>761.40028086279415</v>
      </c>
      <c r="J11" s="215">
        <f>Medicaid!R25</f>
        <v>751.32586086593074</v>
      </c>
      <c r="K11" s="215">
        <f>Medicaid!S25</f>
        <v>741.3847399245368</v>
      </c>
      <c r="L11" s="215">
        <f>Medicaid!T25</f>
        <v>751.58998941094046</v>
      </c>
      <c r="M11" s="215">
        <f>Medicaid!U25</f>
        <v>761.93571537530659</v>
      </c>
      <c r="N11" s="215">
        <f>Medicaid!V25</f>
        <v>772.42385149313111</v>
      </c>
      <c r="O11" s="215">
        <f>Medicaid!W25</f>
        <v>783.05635805718384</v>
      </c>
      <c r="P11" s="215">
        <f>Medicaid!X25</f>
        <v>793.83522234389898</v>
      </c>
      <c r="Q11" s="215">
        <f>Medicaid!Y25</f>
        <v>804.76245898480795</v>
      </c>
    </row>
    <row r="12" spans="1:17" x14ac:dyDescent="0.35">
      <c r="A12" t="s">
        <v>76</v>
      </c>
      <c r="B12" t="s">
        <v>255</v>
      </c>
      <c r="C12" s="215">
        <f>Medicare!O10</f>
        <v>826.5</v>
      </c>
      <c r="D12" s="215">
        <f>Medicare!P10</f>
        <v>840.90322653846329</v>
      </c>
      <c r="E12" s="215">
        <f>Medicare!Q10</f>
        <v>840.36452608091781</v>
      </c>
      <c r="F12" s="215">
        <f>Medicare!R10</f>
        <v>856.11491844085015</v>
      </c>
      <c r="G12" s="215">
        <f>Medicare!S10</f>
        <v>858.15980902786953</v>
      </c>
      <c r="H12" s="215">
        <f>Medicare!T10</f>
        <v>874.5047043210385</v>
      </c>
      <c r="I12" s="215">
        <f>Medicare!U10</f>
        <v>891.12996993440447</v>
      </c>
      <c r="J12" s="215">
        <f>Medicare!V10</f>
        <v>908.06562072077816</v>
      </c>
      <c r="K12" s="215">
        <f>Medicare!W10</f>
        <v>925.31745141197712</v>
      </c>
      <c r="L12" s="215">
        <f>Medicare!X10</f>
        <v>942.89136492448665</v>
      </c>
      <c r="M12" s="215">
        <f>Medicare!Y10</f>
        <v>960.53728015007744</v>
      </c>
      <c r="N12" s="215">
        <f>Medicare!Z10</f>
        <v>978.50792280104577</v>
      </c>
      <c r="O12" s="215">
        <f>Medicare!AA10</f>
        <v>996.8092686456896</v>
      </c>
      <c r="P12" s="215">
        <f>Medicare!AB10</f>
        <v>1015.4474034208649</v>
      </c>
      <c r="Q12" s="215">
        <f>Medicare!AC10</f>
        <v>1034.4285248556728</v>
      </c>
    </row>
    <row r="13" spans="1:17" x14ac:dyDescent="0.35">
      <c r="A13" t="s">
        <v>256</v>
      </c>
      <c r="B13" t="s">
        <v>257</v>
      </c>
      <c r="C13" s="215">
        <f>'Rebate Checks'!O11</f>
        <v>0</v>
      </c>
      <c r="D13" s="215">
        <f>'Rebate Checks'!P11</f>
        <v>0</v>
      </c>
      <c r="E13" s="215">
        <f>'Rebate Checks'!Q11</f>
        <v>0</v>
      </c>
      <c r="F13" s="215">
        <f>'Rebate Checks'!R11</f>
        <v>0</v>
      </c>
      <c r="G13" s="215">
        <f>'Rebate Checks'!S11</f>
        <v>0</v>
      </c>
      <c r="H13" s="215">
        <f>'Rebate Checks'!T11</f>
        <v>0</v>
      </c>
      <c r="I13" s="215">
        <f>'Rebate Checks'!U11</f>
        <v>0</v>
      </c>
      <c r="J13" s="215">
        <f>'Rebate Checks'!V11</f>
        <v>0</v>
      </c>
      <c r="K13" s="215">
        <f>'Rebate Checks'!W11</f>
        <v>0</v>
      </c>
      <c r="L13" s="215">
        <f>'Rebate Checks'!X11</f>
        <v>0</v>
      </c>
      <c r="M13" s="215">
        <f>'Rebate Checks'!Y11</f>
        <v>0</v>
      </c>
      <c r="N13" s="215">
        <f>'Rebate Checks'!Z11</f>
        <v>0</v>
      </c>
      <c r="O13" s="215">
        <f>'Rebate Checks'!AA11</f>
        <v>0</v>
      </c>
      <c r="P13" s="215">
        <f>'Rebate Checks'!AB11</f>
        <v>0</v>
      </c>
      <c r="Q13" s="215">
        <f>'Rebate Checks'!AC11</f>
        <v>0</v>
      </c>
    </row>
    <row r="14" spans="1:17" x14ac:dyDescent="0.35">
      <c r="A14" t="s">
        <v>258</v>
      </c>
      <c r="B14" t="s">
        <v>259</v>
      </c>
      <c r="C14" s="215">
        <f>'Rebate Checks'!O10</f>
        <v>38.9</v>
      </c>
      <c r="D14" s="215">
        <f>'Rebate Checks'!P10</f>
        <v>0</v>
      </c>
      <c r="E14" s="215">
        <f>'Rebate Checks'!Q10</f>
        <v>14.93</v>
      </c>
      <c r="F14" s="215">
        <f>'Rebate Checks'!R10</f>
        <v>14.93</v>
      </c>
      <c r="G14" s="215">
        <f>'Rebate Checks'!S10</f>
        <v>0</v>
      </c>
      <c r="H14" s="215">
        <f>'Rebate Checks'!T10</f>
        <v>0</v>
      </c>
      <c r="I14" s="215">
        <f>'Rebate Checks'!U10</f>
        <v>0</v>
      </c>
      <c r="J14" s="215">
        <f>'Rebate Checks'!V10</f>
        <v>0</v>
      </c>
      <c r="K14" s="215">
        <f>'Rebate Checks'!W10</f>
        <v>0</v>
      </c>
      <c r="L14" s="215">
        <f>'Rebate Checks'!X10</f>
        <v>0</v>
      </c>
      <c r="M14" s="215">
        <f>'Rebate Checks'!Y10</f>
        <v>0</v>
      </c>
      <c r="N14" s="215">
        <f>'Rebate Checks'!Z10</f>
        <v>0</v>
      </c>
      <c r="O14" s="215">
        <f>'Rebate Checks'!AA10</f>
        <v>0</v>
      </c>
      <c r="P14" s="215">
        <f>'Rebate Checks'!AB10</f>
        <v>0</v>
      </c>
      <c r="Q14" s="215">
        <f>'Rebate Checks'!AC10</f>
        <v>0</v>
      </c>
    </row>
    <row r="15" spans="1:17" x14ac:dyDescent="0.35">
      <c r="A15" t="s">
        <v>260</v>
      </c>
      <c r="B15" t="s">
        <v>261</v>
      </c>
      <c r="C15" s="215">
        <f>'Social Benefits'!O26</f>
        <v>137.43936000000005</v>
      </c>
      <c r="D15" s="215">
        <f>'Social Benefits'!P26</f>
        <v>52.756999999999998</v>
      </c>
      <c r="E15" s="215">
        <f>'Social Benefits'!Q26</f>
        <v>52.756999999999998</v>
      </c>
      <c r="F15" s="215">
        <f>'Social Benefits'!R26</f>
        <v>52.756999999999998</v>
      </c>
      <c r="G15" s="215">
        <f>'Social Benefits'!S26</f>
        <v>52.756999999999998</v>
      </c>
      <c r="H15" s="215">
        <f>'Social Benefits'!T26</f>
        <v>12</v>
      </c>
      <c r="I15" s="215">
        <f>'Social Benefits'!U26</f>
        <v>12</v>
      </c>
      <c r="J15" s="215">
        <f>'Social Benefits'!V26</f>
        <v>12</v>
      </c>
      <c r="K15" s="215">
        <f>'Social Benefits'!W26</f>
        <v>12</v>
      </c>
      <c r="L15" s="215">
        <f>'Social Benefits'!X26</f>
        <v>4.2219999999999995</v>
      </c>
      <c r="M15" s="215">
        <f>'Social Benefits'!Y26</f>
        <v>4.2219999999999995</v>
      </c>
      <c r="N15" s="215">
        <f>'Social Benefits'!Z26</f>
        <v>4.2219999999999995</v>
      </c>
      <c r="O15" s="215">
        <f>'Social Benefits'!AA26</f>
        <v>4.2219999999999995</v>
      </c>
      <c r="P15" s="215">
        <f>'Social Benefits'!AB26</f>
        <v>2.3719999999999999</v>
      </c>
      <c r="Q15" s="215">
        <f>'Social Benefits'!AC26</f>
        <v>2.3719999999999999</v>
      </c>
    </row>
    <row r="16" spans="1:17" x14ac:dyDescent="0.35">
      <c r="A16" t="s">
        <v>1253</v>
      </c>
      <c r="B16" t="s">
        <v>263</v>
      </c>
      <c r="C16" s="215">
        <f>'Social Benefits'!O27</f>
        <v>40.50400000000004</v>
      </c>
      <c r="D16" s="215">
        <f>'Social Benefits'!P27</f>
        <v>31.919000000000004</v>
      </c>
      <c r="E16" s="215">
        <f>'Social Benefits'!Q27</f>
        <v>19.719000000000005</v>
      </c>
      <c r="F16" s="215">
        <f>'Social Benefits'!R27</f>
        <v>19.719000000000005</v>
      </c>
      <c r="G16" s="215">
        <f>'Social Benefits'!S27</f>
        <v>19.719000000000005</v>
      </c>
      <c r="H16" s="215">
        <f>'Social Benefits'!T27</f>
        <v>1.4159999999999999</v>
      </c>
      <c r="I16" s="215">
        <f>'Social Benefits'!U27</f>
        <v>1.4159999999999999</v>
      </c>
      <c r="J16" s="215">
        <f>'Social Benefits'!V27</f>
        <v>1.4159999999999999</v>
      </c>
      <c r="K16" s="215">
        <f>'Social Benefits'!W27</f>
        <v>1.4159999999999999</v>
      </c>
      <c r="L16" s="215">
        <f>'Social Benefits'!X27</f>
        <v>1.4790000000000001</v>
      </c>
      <c r="M16" s="215">
        <f>'Social Benefits'!Y27</f>
        <v>1.4790000000000001</v>
      </c>
      <c r="N16" s="215">
        <f>'Social Benefits'!Z27</f>
        <v>1.4790000000000001</v>
      </c>
      <c r="O16" s="215">
        <f>'Social Benefits'!AA27</f>
        <v>1.4790000000000001</v>
      </c>
      <c r="P16" s="215">
        <f>'Social Benefits'!AB27</f>
        <v>1.63</v>
      </c>
      <c r="Q16" s="215">
        <f>'Social Benefits'!AC27</f>
        <v>1.63</v>
      </c>
    </row>
    <row r="17" spans="1:17" x14ac:dyDescent="0.35">
      <c r="A17" t="s">
        <v>264</v>
      </c>
      <c r="B17" t="s">
        <v>265</v>
      </c>
      <c r="C17" s="215">
        <f>'Social Benefits'!O24</f>
        <v>1740.3653900000011</v>
      </c>
      <c r="D17" s="215">
        <f>'Social Benefits'!P24</f>
        <v>1734.8560133112776</v>
      </c>
      <c r="E17" s="215">
        <f>'Social Benefits'!Q24</f>
        <v>1925.7717570000004</v>
      </c>
      <c r="F17" s="215">
        <f>'Social Benefits'!R24</f>
        <v>1927.8717570000006</v>
      </c>
      <c r="G17" s="215">
        <f>'Social Benefits'!S24</f>
        <v>1887.9717570000007</v>
      </c>
      <c r="H17" s="215">
        <f>'Social Benefits'!T24</f>
        <v>1890.0717570000008</v>
      </c>
      <c r="I17" s="215">
        <f>'Social Benefits'!U24</f>
        <v>1888.9542463270002</v>
      </c>
      <c r="J17" s="215">
        <f>'Social Benefits'!V24</f>
        <v>1896.0542463270003</v>
      </c>
      <c r="K17" s="215">
        <f>'Social Benefits'!W24</f>
        <v>1903.1542463270005</v>
      </c>
      <c r="L17" s="215">
        <f>'Social Benefits'!X24</f>
        <v>1910.2542463270006</v>
      </c>
      <c r="M17" s="215">
        <f>'Social Benefits'!Y24</f>
        <v>1987.266821382331</v>
      </c>
      <c r="N17" s="215">
        <f>'Social Benefits'!Z24</f>
        <v>1994.3668213823312</v>
      </c>
      <c r="O17" s="215">
        <f>'Social Benefits'!AA24</f>
        <v>2001.4668213823313</v>
      </c>
      <c r="P17" s="215">
        <f>'Social Benefits'!AB24</f>
        <v>2008.5668213823315</v>
      </c>
      <c r="Q17" s="215">
        <f>'Social Benefits'!AC24</f>
        <v>2015.6668213823316</v>
      </c>
    </row>
    <row r="18" spans="1:17" x14ac:dyDescent="0.35">
      <c r="A18" t="s">
        <v>266</v>
      </c>
      <c r="B18" t="s">
        <v>267</v>
      </c>
      <c r="C18" s="215">
        <f>'Social Benefits'!O32</f>
        <v>157.39999999999998</v>
      </c>
      <c r="D18" s="215">
        <f>'Social Benefits'!P32</f>
        <v>159.29290606014339</v>
      </c>
      <c r="E18" s="215">
        <f>'Social Benefits'!Q32</f>
        <v>161.20857637284416</v>
      </c>
      <c r="F18" s="215">
        <f>'Social Benefits'!R32</f>
        <v>163.14728470297916</v>
      </c>
      <c r="G18" s="215">
        <f>'Social Benefits'!S32</f>
        <v>165.10930810774545</v>
      </c>
      <c r="H18" s="215">
        <f>'Social Benefits'!T32</f>
        <v>167.09492697625396</v>
      </c>
      <c r="I18" s="215">
        <f>'Social Benefits'!U32</f>
        <v>169.10442506959942</v>
      </c>
      <c r="J18" s="215">
        <f>'Social Benefits'!V32</f>
        <v>171.13808956141207</v>
      </c>
      <c r="K18" s="215">
        <f>'Social Benefits'!W32</f>
        <v>173.19621107889725</v>
      </c>
      <c r="L18" s="215">
        <f>'Social Benefits'!X32</f>
        <v>175.27908374436817</v>
      </c>
      <c r="M18" s="215">
        <f>'Social Benefits'!Y32</f>
        <v>177.38700521727858</v>
      </c>
      <c r="N18" s="215">
        <f>'Social Benefits'!Z32</f>
        <v>179.52027673676068</v>
      </c>
      <c r="O18" s="215">
        <f>'Social Benefits'!AA32</f>
        <v>181.6792031646745</v>
      </c>
      <c r="P18" s="215">
        <f>'Social Benefits'!AB32</f>
        <v>183.86409302917539</v>
      </c>
      <c r="Q18" s="215">
        <f>'Social Benefits'!AC32</f>
        <v>186.075258568805</v>
      </c>
    </row>
    <row r="19" spans="1:17" x14ac:dyDescent="0.35">
      <c r="A19" t="s">
        <v>268</v>
      </c>
      <c r="B19" t="s">
        <v>269</v>
      </c>
      <c r="C19" s="215">
        <f>'new taxes'!O9</f>
        <v>3739.4999999999995</v>
      </c>
      <c r="D19" s="215">
        <f>'new taxes'!P9</f>
        <v>3823.82252855863</v>
      </c>
      <c r="E19" s="215">
        <f>'new taxes'!Q9</f>
        <v>3910.556758267564</v>
      </c>
      <c r="F19" s="215">
        <f>'new taxes'!R9</f>
        <v>3999.7792623822525</v>
      </c>
      <c r="G19" s="215">
        <f>'new taxes'!S9</f>
        <v>4091.5691349349081</v>
      </c>
      <c r="H19" s="215">
        <f>'new taxes'!T9</f>
        <v>4097.0264369090428</v>
      </c>
      <c r="I19" s="215">
        <f>'new taxes'!U9</f>
        <v>4102.7754026569237</v>
      </c>
      <c r="J19" s="215">
        <f>'new taxes'!V9</f>
        <v>4108.8180240614884</v>
      </c>
      <c r="K19" s="215">
        <f>'new taxes'!W9</f>
        <v>4115.1563236452866</v>
      </c>
      <c r="L19" s="215">
        <f>'new taxes'!X9</f>
        <v>4167.1460361514019</v>
      </c>
      <c r="M19" s="215">
        <f>'new taxes'!Y9</f>
        <v>4219.9044796830367</v>
      </c>
      <c r="N19" s="215">
        <f>'new taxes'!Z9</f>
        <v>4273.4440710848967</v>
      </c>
      <c r="O19" s="215">
        <f>'new taxes'!AA9</f>
        <v>4327.777436302531</v>
      </c>
      <c r="P19" s="215">
        <f>'new taxes'!AB9</f>
        <v>4349.9506772075001</v>
      </c>
      <c r="Q19" s="215">
        <f>'new taxes'!AC9</f>
        <v>4372.2767723476391</v>
      </c>
    </row>
    <row r="20" spans="1:17" x14ac:dyDescent="0.35">
      <c r="A20" t="s">
        <v>270</v>
      </c>
      <c r="B20" t="s">
        <v>271</v>
      </c>
      <c r="C20" s="215">
        <f>'new taxes'!O16</f>
        <v>2105.9</v>
      </c>
      <c r="D20" s="215">
        <f>'new taxes'!P16</f>
        <v>2120.9227646076561</v>
      </c>
      <c r="E20" s="215">
        <f>'new taxes'!Q16</f>
        <v>2150.1214626082142</v>
      </c>
      <c r="F20" s="215">
        <f>'new taxes'!R16</f>
        <v>2178.3025304043881</v>
      </c>
      <c r="G20" s="215">
        <f>'new taxes'!S16</f>
        <v>2207.6291426343887</v>
      </c>
      <c r="H20" s="215">
        <f>'new taxes'!T16</f>
        <v>2234.5192049980928</v>
      </c>
      <c r="I20" s="215">
        <f>'new taxes'!U16</f>
        <v>2258.6479016494136</v>
      </c>
      <c r="J20" s="215">
        <f>'new taxes'!V16</f>
        <v>2281.4446722707116</v>
      </c>
      <c r="K20" s="215">
        <f>'new taxes'!W16</f>
        <v>2304.1429547281373</v>
      </c>
      <c r="L20" s="215">
        <f>'new taxes'!X16</f>
        <v>2325.6941437487076</v>
      </c>
      <c r="M20" s="215">
        <f>'new taxes'!Y16</f>
        <v>2346.2482634367179</v>
      </c>
      <c r="N20" s="215">
        <f>'new taxes'!Z16</f>
        <v>2366.7752749938418</v>
      </c>
      <c r="O20" s="215">
        <f>'new taxes'!AA16</f>
        <v>2388.1951121347661</v>
      </c>
      <c r="P20" s="215">
        <f>'new taxes'!AB16</f>
        <v>2408.6962876467583</v>
      </c>
      <c r="Q20" s="215">
        <f>'new taxes'!AC16</f>
        <v>2430.550117671296</v>
      </c>
    </row>
    <row r="21" spans="1:17" x14ac:dyDescent="0.35">
      <c r="A21" t="s">
        <v>272</v>
      </c>
      <c r="B21" t="s">
        <v>273</v>
      </c>
      <c r="C21" s="215">
        <f>'new taxes'!O13</f>
        <v>290.01506024096392</v>
      </c>
      <c r="D21" s="215">
        <f>'new taxes'!P13</f>
        <v>293.86498655095386</v>
      </c>
      <c r="E21" s="215">
        <f>'new taxes'!Q13</f>
        <v>297.76602031922556</v>
      </c>
      <c r="F21" s="215">
        <f>'new taxes'!R13</f>
        <v>301.71883999312627</v>
      </c>
      <c r="G21" s="215">
        <f>'new taxes'!S13</f>
        <v>305.72413302633652</v>
      </c>
      <c r="H21" s="215">
        <f>'new taxes'!T13</f>
        <v>318.58485068038271</v>
      </c>
      <c r="I21" s="215">
        <f>'new taxes'!U13</f>
        <v>331.986572595165</v>
      </c>
      <c r="J21" s="215">
        <f>'new taxes'!V13</f>
        <v>345.95205687936812</v>
      </c>
      <c r="K21" s="215">
        <f>'new taxes'!W13</f>
        <v>360.50501899367657</v>
      </c>
      <c r="L21" s="215">
        <f>'new taxes'!X13</f>
        <v>352.31033385925053</v>
      </c>
      <c r="M21" s="215">
        <f>'new taxes'!Y13</f>
        <v>344.30192314796523</v>
      </c>
      <c r="N21" s="215">
        <f>'new taxes'!Z13</f>
        <v>336.47555263237354</v>
      </c>
      <c r="O21" s="215">
        <f>'new taxes'!AA13</f>
        <v>328.82708433378747</v>
      </c>
      <c r="P21" s="215">
        <f>'new taxes'!AB13</f>
        <v>329.67683813074603</v>
      </c>
      <c r="Q21" s="215">
        <f>'new taxes'!AC13</f>
        <v>330.52878785848361</v>
      </c>
    </row>
    <row r="22" spans="1:17" x14ac:dyDescent="0.35">
      <c r="A22" t="s">
        <v>274</v>
      </c>
      <c r="B22" t="s">
        <v>275</v>
      </c>
      <c r="C22" s="215">
        <f>'new taxes'!O20</f>
        <v>119.87954743783622</v>
      </c>
      <c r="D22" s="215">
        <f>'new taxes'!P20</f>
        <v>136.99869283723859</v>
      </c>
      <c r="E22" s="215">
        <f>'new taxes'!Q20</f>
        <v>134.49456252615579</v>
      </c>
      <c r="F22" s="215">
        <f>'new taxes'!R20</f>
        <v>136.81657426915984</v>
      </c>
      <c r="G22" s="215">
        <f>'new taxes'!S20</f>
        <v>137.45398925743547</v>
      </c>
      <c r="H22" s="215">
        <f>'new taxes'!T20</f>
        <v>137.36292997339609</v>
      </c>
      <c r="I22" s="215">
        <f>'new taxes'!U20</f>
        <v>136.67998534310078</v>
      </c>
      <c r="J22" s="215">
        <f>'new taxes'!V20</f>
        <v>135.49621465058891</v>
      </c>
      <c r="K22" s="215">
        <f>'new taxes'!W20</f>
        <v>134.76774037827391</v>
      </c>
      <c r="L22" s="215">
        <f>'new taxes'!X20</f>
        <v>134.76774037827391</v>
      </c>
      <c r="M22" s="215">
        <f>'new taxes'!Y20</f>
        <v>134.56740995338728</v>
      </c>
      <c r="N22" s="215">
        <f>'new taxes'!Z20</f>
        <v>135.22758976267275</v>
      </c>
      <c r="O22" s="215">
        <f>'new taxes'!AA20</f>
        <v>135.78760435951492</v>
      </c>
      <c r="P22" s="215">
        <f>'new taxes'!AB20</f>
        <v>136.55705530964764</v>
      </c>
      <c r="Q22" s="215">
        <f>'new taxes'!AC20</f>
        <v>136.9258454100071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17" t="s">
        <v>278</v>
      </c>
      <c r="C1" s="1117"/>
      <c r="D1" s="1117"/>
      <c r="E1" s="1117"/>
      <c r="F1" s="1117"/>
      <c r="G1" s="1117"/>
      <c r="H1" s="1117"/>
      <c r="I1" s="1117"/>
      <c r="J1" s="1117"/>
      <c r="K1" s="1117"/>
    </row>
    <row r="2" spans="2:11" x14ac:dyDescent="0.35">
      <c r="B2" s="1118" t="s">
        <v>279</v>
      </c>
      <c r="C2" s="1118"/>
      <c r="D2" s="1118"/>
      <c r="E2" s="1118"/>
      <c r="F2" s="1118"/>
      <c r="G2" s="1118"/>
      <c r="H2" s="1118"/>
      <c r="I2" s="1118"/>
      <c r="J2" s="1118"/>
      <c r="K2" s="1118"/>
    </row>
    <row r="3" spans="2:11" x14ac:dyDescent="0.35">
      <c r="B3" s="1118"/>
      <c r="C3" s="1118"/>
      <c r="D3" s="1118"/>
      <c r="E3" s="1118"/>
      <c r="F3" s="1118"/>
      <c r="G3" s="1118"/>
      <c r="H3" s="1118"/>
      <c r="I3" s="1118"/>
      <c r="J3" s="1118"/>
      <c r="K3" s="1118"/>
    </row>
    <row r="4" spans="2:11" x14ac:dyDescent="0.35">
      <c r="B4" s="1118"/>
      <c r="C4" s="1118"/>
      <c r="D4" s="1118"/>
      <c r="E4" s="1118"/>
      <c r="F4" s="1118"/>
      <c r="G4" s="1118"/>
      <c r="H4" s="1118"/>
      <c r="I4" s="1118"/>
      <c r="J4" s="1118"/>
      <c r="K4" s="1118"/>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4" zoomScale="69" workbookViewId="0">
      <selection activeCell="D21" sqref="D21"/>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17" t="s">
        <v>278</v>
      </c>
      <c r="C1" s="1117"/>
      <c r="D1" s="1117"/>
      <c r="E1" s="1117"/>
      <c r="F1" s="1117"/>
      <c r="G1" s="1117"/>
      <c r="H1" s="1117"/>
      <c r="I1" s="1117"/>
      <c r="J1" s="1117"/>
      <c r="K1" s="1117"/>
    </row>
    <row r="2" spans="2:17" ht="14.5" customHeight="1" x14ac:dyDescent="0.35">
      <c r="B2" s="1118" t="s">
        <v>279</v>
      </c>
      <c r="C2" s="1118"/>
      <c r="D2" s="1118"/>
      <c r="E2" s="1118"/>
      <c r="F2" s="1118"/>
      <c r="G2" s="1118"/>
      <c r="H2" s="1118"/>
      <c r="I2" s="1118"/>
      <c r="J2" s="1118"/>
      <c r="K2" s="1118"/>
    </row>
    <row r="3" spans="2:17" x14ac:dyDescent="0.35">
      <c r="B3" s="1118"/>
      <c r="C3" s="1118"/>
      <c r="D3" s="1118"/>
      <c r="E3" s="1118"/>
      <c r="F3" s="1118"/>
      <c r="G3" s="1118"/>
      <c r="H3" s="1118"/>
      <c r="I3" s="1118"/>
      <c r="J3" s="1118"/>
      <c r="K3" s="1118"/>
    </row>
    <row r="4" spans="2:17" x14ac:dyDescent="0.35">
      <c r="B4" s="1118"/>
      <c r="C4" s="1118"/>
      <c r="D4" s="1118"/>
      <c r="E4" s="1118"/>
      <c r="F4" s="1118"/>
      <c r="G4" s="1118"/>
      <c r="H4" s="1118"/>
      <c r="I4" s="1118"/>
      <c r="J4" s="1118"/>
      <c r="K4" s="1118"/>
    </row>
    <row r="5" spans="2:17" x14ac:dyDescent="0.35">
      <c r="B5" s="1126"/>
      <c r="C5" s="1126"/>
      <c r="D5" s="1126"/>
      <c r="E5" s="1126"/>
      <c r="F5" s="304"/>
      <c r="G5" s="304"/>
    </row>
    <row r="6" spans="2:17" x14ac:dyDescent="0.35">
      <c r="B6" s="806"/>
      <c r="C6" s="905"/>
      <c r="D6" s="1127">
        <v>2021</v>
      </c>
      <c r="E6" s="1128"/>
      <c r="F6" s="1128"/>
      <c r="G6" s="1128"/>
      <c r="H6" s="1128"/>
      <c r="I6" s="1128"/>
      <c r="J6" s="1128"/>
      <c r="K6" s="1129"/>
    </row>
    <row r="7" spans="2:17" ht="58" x14ac:dyDescent="0.35">
      <c r="B7" s="807"/>
      <c r="C7" s="454" t="s">
        <v>280</v>
      </c>
      <c r="D7" s="280" t="s">
        <v>281</v>
      </c>
      <c r="E7" s="280" t="s">
        <v>282</v>
      </c>
      <c r="F7" s="280" t="s">
        <v>283</v>
      </c>
      <c r="G7" s="280" t="s">
        <v>284</v>
      </c>
      <c r="H7" s="805" t="s">
        <v>285</v>
      </c>
      <c r="I7" s="672" t="s">
        <v>286</v>
      </c>
      <c r="J7" s="778" t="s">
        <v>287</v>
      </c>
      <c r="K7" s="831" t="s">
        <v>288</v>
      </c>
      <c r="L7" s="1" t="s">
        <v>289</v>
      </c>
      <c r="M7" s="1" t="s">
        <v>290</v>
      </c>
    </row>
    <row r="8" spans="2:17" x14ac:dyDescent="0.35">
      <c r="B8" s="808">
        <v>1</v>
      </c>
      <c r="C8" s="814" t="s">
        <v>291</v>
      </c>
      <c r="D8" s="779">
        <v>21504.5</v>
      </c>
      <c r="E8" s="780">
        <v>19955.099999999999</v>
      </c>
      <c r="F8" s="781">
        <v>24142.400000000001</v>
      </c>
      <c r="G8" s="780">
        <v>20848.2</v>
      </c>
      <c r="H8" s="781">
        <v>20404.599999999999</v>
      </c>
      <c r="I8" s="781">
        <v>20441.8</v>
      </c>
      <c r="J8" s="782">
        <v>20667.7</v>
      </c>
      <c r="K8" s="782">
        <v>20716.7</v>
      </c>
    </row>
    <row r="9" spans="2:17" x14ac:dyDescent="0.35">
      <c r="B9" s="808">
        <v>2</v>
      </c>
      <c r="C9" s="815" t="s">
        <v>292</v>
      </c>
      <c r="D9" s="783">
        <v>12088.1</v>
      </c>
      <c r="E9" s="784">
        <v>12049.5</v>
      </c>
      <c r="F9" s="785">
        <v>12129.2</v>
      </c>
      <c r="G9" s="784">
        <v>12216.6</v>
      </c>
      <c r="H9" s="785">
        <v>12296.1</v>
      </c>
      <c r="I9" s="785">
        <v>12391</v>
      </c>
      <c r="J9" s="786">
        <v>12500.9</v>
      </c>
      <c r="K9" s="786">
        <v>12574.7</v>
      </c>
    </row>
    <row r="10" spans="2:17" x14ac:dyDescent="0.35">
      <c r="B10" s="807">
        <v>3</v>
      </c>
      <c r="C10" s="816" t="s">
        <v>293</v>
      </c>
      <c r="D10" s="787">
        <v>9879.5</v>
      </c>
      <c r="E10" s="788">
        <v>9843.2999999999993</v>
      </c>
      <c r="F10" s="789">
        <v>9914.9</v>
      </c>
      <c r="G10" s="788">
        <v>9996</v>
      </c>
      <c r="H10" s="789">
        <v>10067.4</v>
      </c>
      <c r="I10" s="789">
        <v>10152.9</v>
      </c>
      <c r="J10" s="790">
        <v>10251.4</v>
      </c>
      <c r="K10" s="790">
        <v>10318.299999999999</v>
      </c>
    </row>
    <row r="11" spans="2:17" x14ac:dyDescent="0.35">
      <c r="B11" s="807">
        <v>4</v>
      </c>
      <c r="C11" s="817" t="s">
        <v>294</v>
      </c>
      <c r="D11" s="791">
        <v>8376.4</v>
      </c>
      <c r="E11" s="305">
        <v>8343.7000000000007</v>
      </c>
      <c r="F11" s="792">
        <v>8409.2999999999993</v>
      </c>
      <c r="G11" s="305">
        <v>8484.5</v>
      </c>
      <c r="H11" s="792">
        <v>8550.2999999999993</v>
      </c>
      <c r="I11" s="792">
        <v>8623.2000000000007</v>
      </c>
      <c r="J11" s="793">
        <v>8705.6</v>
      </c>
      <c r="K11" s="793">
        <v>8769.5</v>
      </c>
    </row>
    <row r="12" spans="2:17" x14ac:dyDescent="0.35">
      <c r="B12" s="807">
        <v>5</v>
      </c>
      <c r="C12" s="816" t="s">
        <v>295</v>
      </c>
      <c r="D12" s="787">
        <v>1503</v>
      </c>
      <c r="E12" s="788">
        <v>1499.6</v>
      </c>
      <c r="F12" s="789">
        <v>1505.6</v>
      </c>
      <c r="G12" s="788">
        <v>1511.5</v>
      </c>
      <c r="H12" s="789">
        <v>1517.1</v>
      </c>
      <c r="I12" s="789">
        <v>1529.6</v>
      </c>
      <c r="J12" s="790">
        <v>1545.8</v>
      </c>
      <c r="K12" s="790">
        <v>1548.8</v>
      </c>
    </row>
    <row r="13" spans="2:17" x14ac:dyDescent="0.35">
      <c r="B13" s="807">
        <v>6</v>
      </c>
      <c r="C13" s="817" t="s">
        <v>296</v>
      </c>
      <c r="D13" s="791">
        <v>2208.6</v>
      </c>
      <c r="E13" s="305">
        <v>2206.1999999999998</v>
      </c>
      <c r="F13" s="792">
        <v>2214.4</v>
      </c>
      <c r="G13" s="305">
        <v>2220.6999999999998</v>
      </c>
      <c r="H13" s="792">
        <v>2228.6</v>
      </c>
      <c r="I13" s="792">
        <v>2238.1999999999998</v>
      </c>
      <c r="J13" s="793">
        <v>2249.5</v>
      </c>
      <c r="K13" s="793">
        <v>2256.4</v>
      </c>
    </row>
    <row r="14" spans="2:17" x14ac:dyDescent="0.35">
      <c r="B14" s="808">
        <v>7</v>
      </c>
      <c r="C14" s="818" t="s">
        <v>297</v>
      </c>
      <c r="D14" s="794">
        <v>1643.8</v>
      </c>
      <c r="E14" s="780">
        <v>1693.8</v>
      </c>
      <c r="F14" s="795">
        <v>1804.2</v>
      </c>
      <c r="G14" s="780">
        <v>1817.9</v>
      </c>
      <c r="H14" s="795">
        <v>1840.7</v>
      </c>
      <c r="I14" s="795">
        <v>1855.9</v>
      </c>
      <c r="J14" s="796">
        <v>1851.9</v>
      </c>
      <c r="K14" s="796">
        <v>1830</v>
      </c>
      <c r="N14" s="810"/>
    </row>
    <row r="15" spans="2:17" x14ac:dyDescent="0.35">
      <c r="B15" s="807">
        <v>8</v>
      </c>
      <c r="C15" s="817" t="s">
        <v>298</v>
      </c>
      <c r="D15" s="791">
        <v>66.900000000000006</v>
      </c>
      <c r="E15" s="305">
        <v>72.599999999999994</v>
      </c>
      <c r="F15" s="792">
        <v>79.599999999999994</v>
      </c>
      <c r="G15" s="305">
        <v>97</v>
      </c>
      <c r="H15" s="792">
        <v>108.5</v>
      </c>
      <c r="I15" s="792">
        <v>120</v>
      </c>
      <c r="J15" s="793">
        <v>112.7</v>
      </c>
      <c r="K15" s="793">
        <v>113.4</v>
      </c>
      <c r="P15" t="s">
        <v>299</v>
      </c>
      <c r="Q15" t="s">
        <v>300</v>
      </c>
    </row>
    <row r="16" spans="2:17" x14ac:dyDescent="0.35">
      <c r="B16" s="807"/>
      <c r="C16" s="819" t="s">
        <v>301</v>
      </c>
      <c r="D16" s="787" t="s">
        <v>302</v>
      </c>
      <c r="E16" s="788" t="s">
        <v>302</v>
      </c>
      <c r="F16" s="789" t="s">
        <v>302</v>
      </c>
      <c r="G16" s="788" t="s">
        <v>302</v>
      </c>
      <c r="H16" s="789" t="s">
        <v>302</v>
      </c>
      <c r="I16" s="789" t="s">
        <v>302</v>
      </c>
      <c r="J16" s="790" t="s">
        <v>302</v>
      </c>
      <c r="K16" s="790" t="s">
        <v>302</v>
      </c>
    </row>
    <row r="17" spans="2:17" ht="16.5" x14ac:dyDescent="0.35">
      <c r="B17" s="807">
        <v>9</v>
      </c>
      <c r="C17" s="816" t="s">
        <v>303</v>
      </c>
      <c r="D17" s="787">
        <v>2.4</v>
      </c>
      <c r="E17" s="788">
        <v>0.4</v>
      </c>
      <c r="F17" s="789">
        <v>0</v>
      </c>
      <c r="G17" s="788">
        <v>3</v>
      </c>
      <c r="H17" s="789">
        <v>1.4</v>
      </c>
      <c r="I17" s="789">
        <v>0.9</v>
      </c>
      <c r="J17" s="790">
        <v>0.4</v>
      </c>
      <c r="K17" s="790">
        <v>12.7</v>
      </c>
    </row>
    <row r="18" spans="2:17" ht="16.5" x14ac:dyDescent="0.35">
      <c r="B18" s="807">
        <v>10</v>
      </c>
      <c r="C18" s="820" t="s">
        <v>304</v>
      </c>
      <c r="D18" s="791">
        <v>1.8</v>
      </c>
      <c r="E18" s="305">
        <v>5</v>
      </c>
      <c r="F18" s="792">
        <v>7.9</v>
      </c>
      <c r="G18" s="305">
        <v>10.4</v>
      </c>
      <c r="H18" s="792">
        <v>11.8</v>
      </c>
      <c r="I18" s="792">
        <v>11.8</v>
      </c>
      <c r="J18" s="793">
        <v>10.199999999999999</v>
      </c>
      <c r="K18" s="793">
        <v>6.9</v>
      </c>
      <c r="L18" s="810">
        <v>6</v>
      </c>
      <c r="M18" s="810">
        <f>AVERAGE(J18:L18)</f>
        <v>7.7</v>
      </c>
      <c r="O18" s="217"/>
      <c r="P18" s="810">
        <f>AVERAGE(D18:F18)</f>
        <v>4.8999999999999995</v>
      </c>
      <c r="Q18" s="810">
        <f>AVERAGE(G18:I18)</f>
        <v>11.333333333333334</v>
      </c>
    </row>
    <row r="19" spans="2:17" x14ac:dyDescent="0.35">
      <c r="B19" s="807">
        <v>11</v>
      </c>
      <c r="C19" s="816" t="s">
        <v>305</v>
      </c>
      <c r="D19" s="787">
        <v>1576.9</v>
      </c>
      <c r="E19" s="788">
        <v>1621.2</v>
      </c>
      <c r="F19" s="789">
        <v>1724.6</v>
      </c>
      <c r="G19" s="788">
        <v>1720.8</v>
      </c>
      <c r="H19" s="789">
        <v>1732.3</v>
      </c>
      <c r="I19" s="789">
        <v>1735.9</v>
      </c>
      <c r="J19" s="790">
        <v>1739.2</v>
      </c>
      <c r="K19" s="790">
        <v>1716.6</v>
      </c>
    </row>
    <row r="20" spans="2:17" x14ac:dyDescent="0.35">
      <c r="B20" s="807"/>
      <c r="C20" s="821" t="s">
        <v>306</v>
      </c>
      <c r="D20" s="791" t="s">
        <v>302</v>
      </c>
      <c r="E20" s="305" t="s">
        <v>302</v>
      </c>
      <c r="F20" s="792" t="s">
        <v>302</v>
      </c>
      <c r="G20" s="305" t="s">
        <v>302</v>
      </c>
      <c r="H20" s="792" t="s">
        <v>302</v>
      </c>
      <c r="I20" s="792" t="s">
        <v>302</v>
      </c>
      <c r="J20" s="793" t="s">
        <v>302</v>
      </c>
      <c r="K20" s="793" t="s">
        <v>302</v>
      </c>
    </row>
    <row r="21" spans="2:17" ht="16.5" x14ac:dyDescent="0.35">
      <c r="B21" s="807">
        <v>12</v>
      </c>
      <c r="C21" s="820" t="s">
        <v>304</v>
      </c>
      <c r="D21" s="791">
        <v>27.9</v>
      </c>
      <c r="E21" s="305">
        <v>78.3</v>
      </c>
      <c r="F21" s="792">
        <v>124</v>
      </c>
      <c r="G21" s="305">
        <v>163.69999999999999</v>
      </c>
      <c r="H21" s="792">
        <v>184.6</v>
      </c>
      <c r="I21" s="792">
        <v>184.6</v>
      </c>
      <c r="J21" s="793">
        <v>160.30000000000001</v>
      </c>
      <c r="K21" s="793">
        <v>108.8</v>
      </c>
      <c r="L21" s="810">
        <v>80</v>
      </c>
      <c r="M21" s="810">
        <f>AVERAGE(J21:L21)</f>
        <v>116.36666666666667</v>
      </c>
      <c r="N21" s="810"/>
      <c r="O21" s="217"/>
      <c r="P21" s="810">
        <f>AVERAGE(D21:F21)</f>
        <v>76.733333333333334</v>
      </c>
      <c r="Q21" s="810">
        <f>AVERAGE(G21:I21)</f>
        <v>177.63333333333333</v>
      </c>
    </row>
    <row r="22" spans="2:17" x14ac:dyDescent="0.35">
      <c r="B22" s="808">
        <v>13</v>
      </c>
      <c r="C22" s="818" t="s">
        <v>307</v>
      </c>
      <c r="D22" s="794">
        <v>709.3</v>
      </c>
      <c r="E22" s="780">
        <v>716.6</v>
      </c>
      <c r="F22" s="795">
        <v>724.8</v>
      </c>
      <c r="G22" s="780">
        <v>720.7</v>
      </c>
      <c r="H22" s="795">
        <v>716.4</v>
      </c>
      <c r="I22" s="795">
        <v>713.4</v>
      </c>
      <c r="J22" s="796">
        <v>716.4</v>
      </c>
      <c r="K22" s="796">
        <v>719</v>
      </c>
    </row>
    <row r="23" spans="2:17" x14ac:dyDescent="0.35">
      <c r="B23" s="808">
        <v>14</v>
      </c>
      <c r="C23" s="815" t="s">
        <v>308</v>
      </c>
      <c r="D23" s="783">
        <v>2886.2</v>
      </c>
      <c r="E23" s="784">
        <v>2901.2</v>
      </c>
      <c r="F23" s="785">
        <v>2909.1</v>
      </c>
      <c r="G23" s="784">
        <v>2923</v>
      </c>
      <c r="H23" s="785">
        <v>2937.4</v>
      </c>
      <c r="I23" s="785">
        <v>2954</v>
      </c>
      <c r="J23" s="786">
        <v>2963</v>
      </c>
      <c r="K23" s="786">
        <v>2948.2</v>
      </c>
    </row>
    <row r="24" spans="2:17" x14ac:dyDescent="0.35">
      <c r="B24" s="807">
        <v>15</v>
      </c>
      <c r="C24" s="816" t="s">
        <v>309</v>
      </c>
      <c r="D24" s="787">
        <v>1621.9</v>
      </c>
      <c r="E24" s="788">
        <v>1630.2</v>
      </c>
      <c r="F24" s="789">
        <v>1638.4</v>
      </c>
      <c r="G24" s="788">
        <v>1642.2</v>
      </c>
      <c r="H24" s="789">
        <v>1645.9</v>
      </c>
      <c r="I24" s="789">
        <v>1649.7</v>
      </c>
      <c r="J24" s="790">
        <v>1654</v>
      </c>
      <c r="K24" s="790">
        <v>1639.4</v>
      </c>
    </row>
    <row r="25" spans="2:17" x14ac:dyDescent="0.35">
      <c r="B25" s="807">
        <v>16</v>
      </c>
      <c r="C25" s="817" t="s">
        <v>310</v>
      </c>
      <c r="D25" s="791">
        <v>1264.3</v>
      </c>
      <c r="E25" s="305">
        <v>1271.0999999999999</v>
      </c>
      <c r="F25" s="792">
        <v>1270.7</v>
      </c>
      <c r="G25" s="305">
        <v>1280.8</v>
      </c>
      <c r="H25" s="792">
        <v>1291.4000000000001</v>
      </c>
      <c r="I25" s="792">
        <v>1304.3</v>
      </c>
      <c r="J25" s="793">
        <v>1309</v>
      </c>
      <c r="K25" s="793">
        <v>1308.8</v>
      </c>
    </row>
    <row r="26" spans="2:17" x14ac:dyDescent="0.35">
      <c r="B26" s="808">
        <v>17</v>
      </c>
      <c r="C26" s="818" t="s">
        <v>311</v>
      </c>
      <c r="D26" s="794">
        <v>5711.8</v>
      </c>
      <c r="E26" s="780">
        <v>4123</v>
      </c>
      <c r="F26" s="795">
        <v>8112.8</v>
      </c>
      <c r="G26" s="780">
        <v>4719</v>
      </c>
      <c r="H26" s="795">
        <v>4172.1000000000004</v>
      </c>
      <c r="I26" s="795">
        <v>4096.3</v>
      </c>
      <c r="J26" s="796">
        <v>4216.6000000000004</v>
      </c>
      <c r="K26" s="796">
        <v>4233.7</v>
      </c>
    </row>
    <row r="27" spans="2:17" x14ac:dyDescent="0.35">
      <c r="B27" s="807">
        <v>18</v>
      </c>
      <c r="C27" s="817" t="s">
        <v>312</v>
      </c>
      <c r="D27" s="791">
        <v>5650.5</v>
      </c>
      <c r="E27" s="305">
        <v>4061</v>
      </c>
      <c r="F27" s="792">
        <v>8050.2</v>
      </c>
      <c r="G27" s="305">
        <v>4656.8999999999996</v>
      </c>
      <c r="H27" s="792">
        <v>4109.3</v>
      </c>
      <c r="I27" s="792">
        <v>4007.4</v>
      </c>
      <c r="J27" s="793">
        <v>4143</v>
      </c>
      <c r="K27" s="793">
        <v>4169</v>
      </c>
    </row>
    <row r="28" spans="2:17" x14ac:dyDescent="0.35">
      <c r="B28" s="807">
        <v>19</v>
      </c>
      <c r="C28" s="816" t="s">
        <v>313</v>
      </c>
      <c r="D28" s="787">
        <v>1103.9000000000001</v>
      </c>
      <c r="E28" s="788">
        <v>1106</v>
      </c>
      <c r="F28" s="789">
        <v>1109.0999999999999</v>
      </c>
      <c r="G28" s="788">
        <v>1107.5999999999999</v>
      </c>
      <c r="H28" s="789">
        <v>1108.2</v>
      </c>
      <c r="I28" s="789">
        <v>1113.3</v>
      </c>
      <c r="J28" s="790">
        <v>1113.4000000000001</v>
      </c>
      <c r="K28" s="790">
        <v>1117.2</v>
      </c>
      <c r="L28" s="810">
        <f>K28+4</f>
        <v>1121.2</v>
      </c>
      <c r="M28" s="810">
        <f>AVERAGE(J28:L28)</f>
        <v>1117.2666666666667</v>
      </c>
    </row>
    <row r="29" spans="2:17" x14ac:dyDescent="0.35">
      <c r="B29" s="807">
        <v>20</v>
      </c>
      <c r="C29" s="817" t="s">
        <v>314</v>
      </c>
      <c r="D29" s="791">
        <v>815.6</v>
      </c>
      <c r="E29" s="305">
        <v>813.8</v>
      </c>
      <c r="F29" s="792">
        <v>813</v>
      </c>
      <c r="G29" s="305">
        <v>813.4</v>
      </c>
      <c r="H29" s="792">
        <v>814.9</v>
      </c>
      <c r="I29" s="792">
        <v>817.5</v>
      </c>
      <c r="J29" s="793">
        <v>821.3</v>
      </c>
      <c r="K29" s="793">
        <v>826.2</v>
      </c>
      <c r="L29" s="810">
        <f>K29+5</f>
        <v>831.2</v>
      </c>
      <c r="M29" s="810">
        <f>AVERAGE(J29:L29)</f>
        <v>826.23333333333323</v>
      </c>
    </row>
    <row r="30" spans="2:17" x14ac:dyDescent="0.35">
      <c r="B30" s="807"/>
      <c r="C30" s="819" t="s">
        <v>315</v>
      </c>
      <c r="D30" s="787" t="s">
        <v>302</v>
      </c>
      <c r="E30" s="788" t="s">
        <v>302</v>
      </c>
      <c r="F30" s="789" t="s">
        <v>302</v>
      </c>
      <c r="G30" s="788" t="s">
        <v>302</v>
      </c>
      <c r="H30" s="789" t="s">
        <v>302</v>
      </c>
      <c r="I30" s="789" t="s">
        <v>302</v>
      </c>
      <c r="J30" s="790" t="s">
        <v>302</v>
      </c>
      <c r="K30" s="790" t="s">
        <v>302</v>
      </c>
    </row>
    <row r="31" spans="2:17" ht="16.5" x14ac:dyDescent="0.35">
      <c r="B31" s="807">
        <v>21</v>
      </c>
      <c r="C31" s="816" t="s">
        <v>316</v>
      </c>
      <c r="D31" s="787">
        <v>14.2</v>
      </c>
      <c r="E31" s="788">
        <v>14.1</v>
      </c>
      <c r="F31" s="789">
        <v>14.1</v>
      </c>
      <c r="G31" s="788">
        <v>14.1</v>
      </c>
      <c r="H31" s="789">
        <v>14.1</v>
      </c>
      <c r="I31" s="789">
        <v>14.2</v>
      </c>
      <c r="J31" s="790">
        <v>14.2</v>
      </c>
      <c r="K31" s="790">
        <v>14.3</v>
      </c>
    </row>
    <row r="32" spans="2:17" x14ac:dyDescent="0.35">
      <c r="B32" s="807">
        <v>22</v>
      </c>
      <c r="C32" s="817" t="s">
        <v>317</v>
      </c>
      <c r="D32" s="791">
        <v>688.5</v>
      </c>
      <c r="E32" s="305">
        <v>696.2</v>
      </c>
      <c r="F32" s="792">
        <v>703</v>
      </c>
      <c r="G32" s="305">
        <v>720.5</v>
      </c>
      <c r="H32" s="792">
        <v>736</v>
      </c>
      <c r="I32" s="792">
        <v>750</v>
      </c>
      <c r="J32" s="793">
        <v>760.4</v>
      </c>
      <c r="K32" s="793">
        <v>758.5</v>
      </c>
      <c r="L32" s="810">
        <f>K32-3</f>
        <v>755.5</v>
      </c>
      <c r="M32" s="810">
        <f>AVERAGE(J32:L32)</f>
        <v>758.13333333333333</v>
      </c>
    </row>
    <row r="33" spans="2:13" x14ac:dyDescent="0.35">
      <c r="B33" s="807">
        <v>23</v>
      </c>
      <c r="C33" s="816" t="s">
        <v>318</v>
      </c>
      <c r="D33" s="787">
        <v>574.20000000000005</v>
      </c>
      <c r="E33" s="788">
        <v>557.5</v>
      </c>
      <c r="F33" s="789">
        <v>565.5</v>
      </c>
      <c r="G33" s="788">
        <v>516.4</v>
      </c>
      <c r="H33" s="789">
        <v>492</v>
      </c>
      <c r="I33" s="789">
        <v>433</v>
      </c>
      <c r="J33" s="790">
        <v>380.5</v>
      </c>
      <c r="K33" s="790">
        <v>365.8</v>
      </c>
      <c r="L33" s="810">
        <f>14.3*12</f>
        <v>171.60000000000002</v>
      </c>
      <c r="M33" s="810">
        <f>AVERAGE(J33:L33)</f>
        <v>305.96666666666664</v>
      </c>
    </row>
    <row r="34" spans="2:13" ht="16.5" x14ac:dyDescent="0.35">
      <c r="B34" s="807"/>
      <c r="C34" s="822" t="s">
        <v>319</v>
      </c>
      <c r="D34" s="791" t="s">
        <v>302</v>
      </c>
      <c r="E34" s="305" t="s">
        <v>302</v>
      </c>
      <c r="F34" s="792" t="s">
        <v>302</v>
      </c>
      <c r="G34" s="305" t="s">
        <v>302</v>
      </c>
      <c r="H34" s="792" t="s">
        <v>302</v>
      </c>
      <c r="I34" s="792" t="s">
        <v>302</v>
      </c>
      <c r="J34" s="793" t="s">
        <v>302</v>
      </c>
      <c r="K34" s="793" t="s">
        <v>302</v>
      </c>
      <c r="L34">
        <f>L33/K33</f>
        <v>0.46910880262438498</v>
      </c>
    </row>
    <row r="35" spans="2:13" x14ac:dyDescent="0.35">
      <c r="B35" s="807">
        <v>24</v>
      </c>
      <c r="C35" s="823" t="s">
        <v>320</v>
      </c>
      <c r="D35" s="791">
        <v>31.9</v>
      </c>
      <c r="E35" s="305">
        <v>25.9</v>
      </c>
      <c r="F35" s="792">
        <v>17.100000000000001</v>
      </c>
      <c r="G35" s="305">
        <v>9.6999999999999993</v>
      </c>
      <c r="H35" s="792">
        <v>4.8</v>
      </c>
      <c r="I35" s="792">
        <v>3</v>
      </c>
      <c r="J35" s="793">
        <v>6.8</v>
      </c>
      <c r="K35" s="793">
        <v>4.4000000000000004</v>
      </c>
      <c r="L35" s="810">
        <f>L$34*K35</f>
        <v>2.0640787315472942</v>
      </c>
      <c r="M35" s="810">
        <f>AVERAGE(J35:L35)</f>
        <v>4.4213595771824314</v>
      </c>
    </row>
    <row r="36" spans="2:13" x14ac:dyDescent="0.35">
      <c r="B36" s="807">
        <v>25</v>
      </c>
      <c r="C36" s="824" t="s">
        <v>321</v>
      </c>
      <c r="D36" s="787">
        <v>81.099999999999994</v>
      </c>
      <c r="E36" s="788">
        <v>100.1</v>
      </c>
      <c r="F36" s="789">
        <v>112.1</v>
      </c>
      <c r="G36" s="788">
        <v>105.8</v>
      </c>
      <c r="H36" s="789">
        <v>106.9</v>
      </c>
      <c r="I36" s="789">
        <v>100.9</v>
      </c>
      <c r="J36" s="790">
        <v>84.3</v>
      </c>
      <c r="K36" s="790">
        <v>79</v>
      </c>
      <c r="L36" s="810">
        <f t="shared" ref="L36:L38" si="0">L$34*K36</f>
        <v>37.059595407326412</v>
      </c>
      <c r="M36" s="810">
        <f t="shared" ref="M36:M39" si="1">AVERAGE(J36:L36)</f>
        <v>66.786531802442141</v>
      </c>
    </row>
    <row r="37" spans="2:13" x14ac:dyDescent="0.35">
      <c r="B37" s="807">
        <v>26</v>
      </c>
      <c r="C37" s="825" t="s">
        <v>322</v>
      </c>
      <c r="D37" s="791">
        <v>95.4</v>
      </c>
      <c r="E37" s="305">
        <v>97</v>
      </c>
      <c r="F37" s="792">
        <v>93.4</v>
      </c>
      <c r="G37" s="305">
        <v>90.9</v>
      </c>
      <c r="H37" s="792">
        <v>81.3</v>
      </c>
      <c r="I37" s="792">
        <v>74.099999999999994</v>
      </c>
      <c r="J37" s="793">
        <v>65.400000000000006</v>
      </c>
      <c r="K37" s="793">
        <v>68.7</v>
      </c>
      <c r="L37" s="810">
        <f t="shared" si="0"/>
        <v>32.227774740295253</v>
      </c>
      <c r="M37" s="810">
        <f t="shared" si="1"/>
        <v>55.442591580098423</v>
      </c>
    </row>
    <row r="38" spans="2:13" x14ac:dyDescent="0.35">
      <c r="B38" s="807">
        <v>27</v>
      </c>
      <c r="C38" s="824" t="s">
        <v>323</v>
      </c>
      <c r="D38" s="787">
        <v>297.8</v>
      </c>
      <c r="E38" s="788">
        <v>273.7</v>
      </c>
      <c r="F38" s="789">
        <v>289.3</v>
      </c>
      <c r="G38" s="788">
        <v>258.2</v>
      </c>
      <c r="H38" s="789">
        <v>247.2</v>
      </c>
      <c r="I38" s="789">
        <v>206.3</v>
      </c>
      <c r="J38" s="790">
        <v>179</v>
      </c>
      <c r="K38" s="790">
        <v>172.8</v>
      </c>
      <c r="L38" s="810">
        <f t="shared" si="0"/>
        <v>81.062001093493734</v>
      </c>
      <c r="M38" s="810">
        <f t="shared" si="1"/>
        <v>144.28733369783126</v>
      </c>
    </row>
    <row r="39" spans="2:13" x14ac:dyDescent="0.35">
      <c r="B39" s="807">
        <v>28</v>
      </c>
      <c r="C39" s="817" t="s">
        <v>324</v>
      </c>
      <c r="D39" s="791">
        <v>151.30000000000001</v>
      </c>
      <c r="E39" s="305">
        <v>152.4</v>
      </c>
      <c r="F39" s="792">
        <v>153.6</v>
      </c>
      <c r="G39" s="305">
        <v>155</v>
      </c>
      <c r="H39" s="792">
        <v>156.5</v>
      </c>
      <c r="I39" s="792">
        <v>158</v>
      </c>
      <c r="J39" s="793">
        <v>160.30000000000001</v>
      </c>
      <c r="K39" s="793">
        <v>162.19999999999999</v>
      </c>
      <c r="L39" s="793">
        <v>164</v>
      </c>
      <c r="M39" s="810">
        <f t="shared" si="1"/>
        <v>162.16666666666666</v>
      </c>
    </row>
    <row r="40" spans="2:13" x14ac:dyDescent="0.35">
      <c r="B40" s="807">
        <v>29</v>
      </c>
      <c r="C40" s="816" t="s">
        <v>325</v>
      </c>
      <c r="D40" s="787">
        <v>2317</v>
      </c>
      <c r="E40" s="788">
        <v>735.2</v>
      </c>
      <c r="F40" s="789">
        <v>4706</v>
      </c>
      <c r="G40" s="788">
        <v>1344</v>
      </c>
      <c r="H40" s="789">
        <v>801.7</v>
      </c>
      <c r="I40" s="789">
        <v>735.6</v>
      </c>
      <c r="J40" s="790">
        <v>907.1</v>
      </c>
      <c r="K40" s="790">
        <v>939</v>
      </c>
    </row>
    <row r="41" spans="2:13" x14ac:dyDescent="0.35">
      <c r="B41" s="807"/>
      <c r="C41" s="822" t="s">
        <v>326</v>
      </c>
      <c r="D41" s="791" t="s">
        <v>302</v>
      </c>
      <c r="E41" s="305" t="s">
        <v>302</v>
      </c>
      <c r="F41" s="792" t="s">
        <v>302</v>
      </c>
      <c r="G41" s="305" t="s">
        <v>302</v>
      </c>
      <c r="H41" s="792" t="s">
        <v>302</v>
      </c>
      <c r="I41" s="792" t="s">
        <v>302</v>
      </c>
      <c r="J41" s="793" t="s">
        <v>302</v>
      </c>
      <c r="K41" s="793" t="s">
        <v>302</v>
      </c>
    </row>
    <row r="42" spans="2:13" ht="16.5" x14ac:dyDescent="0.35">
      <c r="B42" s="807">
        <v>30</v>
      </c>
      <c r="C42" s="823" t="s">
        <v>327</v>
      </c>
      <c r="D42" s="797">
        <v>34.4</v>
      </c>
      <c r="E42" s="792">
        <v>34.4</v>
      </c>
      <c r="F42" s="305">
        <v>34.4</v>
      </c>
      <c r="G42" s="792">
        <v>34.4</v>
      </c>
      <c r="H42" s="305">
        <v>34.4</v>
      </c>
      <c r="I42" s="792">
        <v>34.4</v>
      </c>
      <c r="J42" s="305">
        <v>211.9</v>
      </c>
      <c r="K42" s="793">
        <v>225.6</v>
      </c>
      <c r="L42" s="810">
        <f>K42</f>
        <v>225.6</v>
      </c>
      <c r="M42" s="810">
        <f>AVERAGE(J42:L42)</f>
        <v>221.03333333333333</v>
      </c>
    </row>
    <row r="43" spans="2:13" ht="16.5" x14ac:dyDescent="0.35">
      <c r="B43" s="807">
        <v>31</v>
      </c>
      <c r="C43" s="826" t="s">
        <v>328</v>
      </c>
      <c r="D43" s="787">
        <v>1660.9</v>
      </c>
      <c r="E43" s="788">
        <v>95.9</v>
      </c>
      <c r="F43" s="789">
        <v>4044.2</v>
      </c>
      <c r="G43" s="788">
        <v>688</v>
      </c>
      <c r="H43" s="789">
        <v>128.6</v>
      </c>
      <c r="I43" s="789">
        <v>53.8</v>
      </c>
      <c r="J43" s="790">
        <v>45.7</v>
      </c>
      <c r="K43" s="790">
        <v>40.4</v>
      </c>
      <c r="L43">
        <f>2.5*12</f>
        <v>30</v>
      </c>
      <c r="M43" s="810">
        <f>AVERAGE(J43:L43)</f>
        <v>38.699999999999996</v>
      </c>
    </row>
    <row r="44" spans="2:13" x14ac:dyDescent="0.35">
      <c r="B44" s="807">
        <v>32</v>
      </c>
      <c r="C44" s="823" t="s">
        <v>329</v>
      </c>
      <c r="D44" s="791">
        <v>2.1</v>
      </c>
      <c r="E44" s="305">
        <v>0.7</v>
      </c>
      <c r="F44" s="792">
        <v>2.1</v>
      </c>
      <c r="G44" s="305">
        <v>0.8</v>
      </c>
      <c r="H44" s="792">
        <v>0.5</v>
      </c>
      <c r="I44" s="792">
        <v>0.5</v>
      </c>
      <c r="J44" s="793">
        <v>0.2</v>
      </c>
      <c r="K44" s="793">
        <v>0</v>
      </c>
      <c r="L44" s="810">
        <f>AVERAGE(J44:K44)</f>
        <v>0.1</v>
      </c>
      <c r="M44" s="810">
        <f>AVERAGE(J44:L44)</f>
        <v>0.10000000000000002</v>
      </c>
    </row>
    <row r="45" spans="2:13" ht="16.5" x14ac:dyDescent="0.35">
      <c r="B45" s="807">
        <v>33</v>
      </c>
      <c r="C45" s="827" t="s">
        <v>330</v>
      </c>
      <c r="D45" s="787">
        <v>4.2</v>
      </c>
      <c r="E45" s="788">
        <v>11</v>
      </c>
      <c r="F45" s="789">
        <v>17.3</v>
      </c>
      <c r="G45" s="788">
        <v>22.8</v>
      </c>
      <c r="H45" s="789">
        <v>25.7</v>
      </c>
      <c r="I45" s="789">
        <v>25.7</v>
      </c>
      <c r="J45" s="790">
        <v>21.7</v>
      </c>
      <c r="K45" s="790">
        <v>13.5</v>
      </c>
      <c r="L45" s="810">
        <v>10</v>
      </c>
      <c r="M45" s="810">
        <f>AVERAGE(J45:L45)</f>
        <v>15.066666666666668</v>
      </c>
    </row>
    <row r="46" spans="2:13" ht="16.5" x14ac:dyDescent="0.35">
      <c r="B46" s="807">
        <v>34</v>
      </c>
      <c r="C46" s="817" t="s">
        <v>331</v>
      </c>
      <c r="D46" s="791">
        <v>56.9</v>
      </c>
      <c r="E46" s="305">
        <v>28.1</v>
      </c>
      <c r="F46" s="792">
        <v>43.4</v>
      </c>
      <c r="G46" s="305">
        <v>27.6</v>
      </c>
      <c r="H46" s="792">
        <v>28.4</v>
      </c>
      <c r="I46" s="792">
        <v>23.9</v>
      </c>
      <c r="J46" s="793">
        <v>36.1</v>
      </c>
      <c r="K46" s="793">
        <v>49.3</v>
      </c>
      <c r="L46" s="810">
        <f>AVERAGE(J46:K46)</f>
        <v>42.7</v>
      </c>
      <c r="M46" s="810">
        <f>AVERAGE(J46:L46)</f>
        <v>42.70000000000001</v>
      </c>
    </row>
    <row r="47" spans="2:13" x14ac:dyDescent="0.35">
      <c r="B47" s="807">
        <v>35</v>
      </c>
      <c r="C47" s="816" t="s">
        <v>332</v>
      </c>
      <c r="D47" s="787">
        <v>61.4</v>
      </c>
      <c r="E47" s="788">
        <v>62</v>
      </c>
      <c r="F47" s="789">
        <v>62.6</v>
      </c>
      <c r="G47" s="788">
        <v>62.1</v>
      </c>
      <c r="H47" s="789">
        <v>62.8</v>
      </c>
      <c r="I47" s="789">
        <v>88.9</v>
      </c>
      <c r="J47" s="790">
        <v>73.599999999999994</v>
      </c>
      <c r="K47" s="790">
        <v>64.8</v>
      </c>
    </row>
    <row r="48" spans="2:13" x14ac:dyDescent="0.35">
      <c r="B48" s="808">
        <v>36</v>
      </c>
      <c r="C48" s="815" t="s">
        <v>333</v>
      </c>
      <c r="D48" s="783">
        <v>1534.7</v>
      </c>
      <c r="E48" s="784">
        <v>1529.1</v>
      </c>
      <c r="F48" s="785">
        <v>1537.7</v>
      </c>
      <c r="G48" s="784">
        <v>1548.9</v>
      </c>
      <c r="H48" s="785">
        <v>1558.1</v>
      </c>
      <c r="I48" s="785">
        <v>1568.7</v>
      </c>
      <c r="J48" s="786">
        <v>1581.1</v>
      </c>
      <c r="K48" s="786">
        <v>1588.9</v>
      </c>
    </row>
    <row r="49" spans="2:11" x14ac:dyDescent="0.35">
      <c r="B49" s="808">
        <v>37</v>
      </c>
      <c r="C49" s="818" t="s">
        <v>334</v>
      </c>
      <c r="D49" s="794">
        <v>2384.1999999999998</v>
      </c>
      <c r="E49" s="780">
        <v>2408.5</v>
      </c>
      <c r="F49" s="795">
        <v>2443.6</v>
      </c>
      <c r="G49" s="780">
        <v>2505.8000000000002</v>
      </c>
      <c r="H49" s="795">
        <v>2553.6999999999998</v>
      </c>
      <c r="I49" s="795">
        <v>2591.8000000000002</v>
      </c>
      <c r="J49" s="796">
        <v>2619.6</v>
      </c>
      <c r="K49" s="796">
        <v>2592.8000000000002</v>
      </c>
    </row>
    <row r="50" spans="2:11" x14ac:dyDescent="0.35">
      <c r="B50" s="808">
        <v>38</v>
      </c>
      <c r="C50" s="815" t="s">
        <v>335</v>
      </c>
      <c r="D50" s="783">
        <v>19120.3</v>
      </c>
      <c r="E50" s="784">
        <v>17546.599999999999</v>
      </c>
      <c r="F50" s="785">
        <v>21698.9</v>
      </c>
      <c r="G50" s="784">
        <v>18342.5</v>
      </c>
      <c r="H50" s="785">
        <v>17850.900000000001</v>
      </c>
      <c r="I50" s="785">
        <v>17850</v>
      </c>
      <c r="J50" s="786">
        <v>18048.099999999999</v>
      </c>
      <c r="K50" s="786">
        <v>18123.900000000001</v>
      </c>
    </row>
    <row r="51" spans="2:11" x14ac:dyDescent="0.35">
      <c r="B51" s="808">
        <v>39</v>
      </c>
      <c r="C51" s="818" t="s">
        <v>336</v>
      </c>
      <c r="D51" s="794">
        <v>15321.7</v>
      </c>
      <c r="E51" s="780">
        <v>15169.7</v>
      </c>
      <c r="F51" s="795">
        <v>15935.3</v>
      </c>
      <c r="G51" s="780">
        <v>16095.5</v>
      </c>
      <c r="H51" s="795">
        <v>16107.6</v>
      </c>
      <c r="I51" s="795">
        <v>16278.2</v>
      </c>
      <c r="J51" s="796">
        <v>16323.7</v>
      </c>
      <c r="K51" s="796">
        <v>16413</v>
      </c>
    </row>
    <row r="52" spans="2:11" x14ac:dyDescent="0.35">
      <c r="B52" s="807">
        <v>40</v>
      </c>
      <c r="C52" s="817" t="s">
        <v>337</v>
      </c>
      <c r="D52" s="791">
        <v>14857.9</v>
      </c>
      <c r="E52" s="305">
        <v>14699.6</v>
      </c>
      <c r="F52" s="792">
        <v>15458.9</v>
      </c>
      <c r="G52" s="305">
        <v>15614.6</v>
      </c>
      <c r="H52" s="792">
        <v>15623.1</v>
      </c>
      <c r="I52" s="792">
        <v>15790</v>
      </c>
      <c r="J52" s="793">
        <v>15832.3</v>
      </c>
      <c r="K52" s="793">
        <v>15922.2</v>
      </c>
    </row>
    <row r="53" spans="2:11" x14ac:dyDescent="0.35">
      <c r="B53" s="807"/>
      <c r="C53" s="816" t="s">
        <v>338</v>
      </c>
      <c r="D53" s="787">
        <v>249.2</v>
      </c>
      <c r="E53" s="788">
        <v>255.3</v>
      </c>
      <c r="F53" s="789">
        <v>261.5</v>
      </c>
      <c r="G53" s="788">
        <v>264.8</v>
      </c>
      <c r="H53" s="789">
        <v>268.2</v>
      </c>
      <c r="I53" s="789">
        <v>271.60000000000002</v>
      </c>
      <c r="J53" s="790">
        <v>274.5</v>
      </c>
      <c r="K53" s="790">
        <v>274.10000000000002</v>
      </c>
    </row>
    <row r="54" spans="2:11" x14ac:dyDescent="0.35">
      <c r="B54" s="807">
        <v>41</v>
      </c>
      <c r="C54" s="828" t="s">
        <v>339</v>
      </c>
      <c r="D54" s="791" t="s">
        <v>302</v>
      </c>
      <c r="E54" s="305" t="s">
        <v>302</v>
      </c>
      <c r="F54" s="792" t="s">
        <v>302</v>
      </c>
      <c r="G54" s="305" t="s">
        <v>302</v>
      </c>
      <c r="H54" s="792" t="s">
        <v>302</v>
      </c>
      <c r="I54" s="792" t="s">
        <v>302</v>
      </c>
      <c r="J54" s="793" t="s">
        <v>302</v>
      </c>
      <c r="K54" s="793" t="s">
        <v>302</v>
      </c>
    </row>
    <row r="55" spans="2:11" ht="16.5" x14ac:dyDescent="0.35">
      <c r="B55" s="807">
        <v>42</v>
      </c>
      <c r="C55" s="829" t="s">
        <v>340</v>
      </c>
      <c r="D55" s="791">
        <v>-37.799999999999997</v>
      </c>
      <c r="E55" s="305">
        <v>-37.799999999999997</v>
      </c>
      <c r="F55" s="792">
        <v>-37.799999999999997</v>
      </c>
      <c r="G55" s="305">
        <v>-37.799999999999997</v>
      </c>
      <c r="H55" s="792">
        <v>-37.799999999999997</v>
      </c>
      <c r="I55" s="792">
        <v>-37.799999999999997</v>
      </c>
      <c r="J55" s="793">
        <v>-37.799999999999997</v>
      </c>
      <c r="K55" s="793">
        <v>-37.799999999999997</v>
      </c>
    </row>
    <row r="56" spans="2:11" x14ac:dyDescent="0.35">
      <c r="B56" s="807">
        <v>43</v>
      </c>
      <c r="C56" s="816" t="s">
        <v>341</v>
      </c>
      <c r="D56" s="787">
        <v>214.7</v>
      </c>
      <c r="E56" s="788">
        <v>214.8</v>
      </c>
      <c r="F56" s="789">
        <v>215</v>
      </c>
      <c r="G56" s="788">
        <v>216.1</v>
      </c>
      <c r="H56" s="789">
        <v>216.4</v>
      </c>
      <c r="I56" s="789">
        <v>216.7</v>
      </c>
      <c r="J56" s="790">
        <v>216.9</v>
      </c>
      <c r="K56" s="790">
        <v>216.7</v>
      </c>
    </row>
    <row r="57" spans="2:11" x14ac:dyDescent="0.35">
      <c r="B57" s="807">
        <v>44</v>
      </c>
      <c r="C57" s="817" t="s">
        <v>342</v>
      </c>
      <c r="D57" s="791">
        <v>115.2</v>
      </c>
      <c r="E57" s="305">
        <v>115.3</v>
      </c>
      <c r="F57" s="792">
        <v>115.5</v>
      </c>
      <c r="G57" s="305">
        <v>115.7</v>
      </c>
      <c r="H57" s="792">
        <v>116</v>
      </c>
      <c r="I57" s="792">
        <v>116.3</v>
      </c>
      <c r="J57" s="793">
        <v>116.5</v>
      </c>
      <c r="K57" s="793">
        <v>116.8</v>
      </c>
    </row>
    <row r="58" spans="2:11" x14ac:dyDescent="0.35">
      <c r="B58" s="807">
        <v>45</v>
      </c>
      <c r="C58" s="816" t="s">
        <v>343</v>
      </c>
      <c r="D58" s="787">
        <v>99.5</v>
      </c>
      <c r="E58" s="788">
        <v>99.5</v>
      </c>
      <c r="F58" s="789">
        <v>99.5</v>
      </c>
      <c r="G58" s="788">
        <v>100.4</v>
      </c>
      <c r="H58" s="789">
        <v>100.4</v>
      </c>
      <c r="I58" s="789">
        <v>100.4</v>
      </c>
      <c r="J58" s="790">
        <v>100.4</v>
      </c>
      <c r="K58" s="790">
        <v>99.9</v>
      </c>
    </row>
    <row r="59" spans="2:11" ht="15" thickBot="1" x14ac:dyDescent="0.4">
      <c r="B59" s="809">
        <v>46</v>
      </c>
      <c r="C59" s="830" t="s">
        <v>344</v>
      </c>
      <c r="D59" s="798">
        <v>3798.6</v>
      </c>
      <c r="E59" s="799">
        <v>2376.9</v>
      </c>
      <c r="F59" s="800">
        <v>5763.5</v>
      </c>
      <c r="G59" s="799">
        <v>2247</v>
      </c>
      <c r="H59" s="800">
        <v>1743.2</v>
      </c>
      <c r="I59" s="800">
        <v>1571.8</v>
      </c>
      <c r="J59" s="801">
        <v>1724.4</v>
      </c>
      <c r="K59" s="801">
        <v>1710.9</v>
      </c>
    </row>
    <row r="60" spans="2:11" x14ac:dyDescent="0.35">
      <c r="B60" t="s">
        <v>345</v>
      </c>
      <c r="C60" s="802" t="s">
        <v>346</v>
      </c>
    </row>
    <row r="61" spans="2:11" x14ac:dyDescent="0.35">
      <c r="B61" t="s">
        <v>347</v>
      </c>
      <c r="C61" s="803" t="s">
        <v>348</v>
      </c>
    </row>
    <row r="62" spans="2:11" x14ac:dyDescent="0.35">
      <c r="B62" t="s">
        <v>349</v>
      </c>
      <c r="C62" s="803" t="s">
        <v>350</v>
      </c>
    </row>
    <row r="63" spans="2:11" x14ac:dyDescent="0.35">
      <c r="B63" t="s">
        <v>351</v>
      </c>
      <c r="C63" s="803" t="s">
        <v>352</v>
      </c>
    </row>
    <row r="65" spans="2:16" x14ac:dyDescent="0.35">
      <c r="B65" s="1130" t="s">
        <v>353</v>
      </c>
      <c r="C65" s="1130"/>
      <c r="D65" s="1130"/>
      <c r="E65" s="1130"/>
      <c r="F65" s="1130"/>
      <c r="G65" s="1130"/>
      <c r="H65" s="1130"/>
      <c r="I65" s="1130"/>
      <c r="J65" s="1130"/>
      <c r="K65" s="1130"/>
      <c r="L65" s="1130"/>
      <c r="M65" s="1130"/>
      <c r="N65" s="1130"/>
      <c r="O65" s="1130"/>
      <c r="P65" s="1130"/>
    </row>
    <row r="66" spans="2:16" x14ac:dyDescent="0.35">
      <c r="B66" s="1131" t="s">
        <v>354</v>
      </c>
      <c r="C66" s="1131"/>
      <c r="D66" s="1131"/>
      <c r="E66" s="1131"/>
      <c r="F66" s="1131"/>
      <c r="G66" s="1131"/>
      <c r="H66" s="1131"/>
      <c r="I66" s="1131"/>
      <c r="J66" s="1131"/>
      <c r="K66" s="1131"/>
      <c r="L66" s="1131"/>
      <c r="M66" s="1131"/>
      <c r="N66" s="1131"/>
      <c r="O66" s="1131"/>
      <c r="P66" s="1131"/>
    </row>
    <row r="67" spans="2:16" x14ac:dyDescent="0.35">
      <c r="B67" s="1119" t="s">
        <v>355</v>
      </c>
      <c r="C67" s="1119"/>
      <c r="D67" s="1119"/>
      <c r="E67" s="1119"/>
      <c r="F67" s="1119"/>
      <c r="G67" s="1119"/>
      <c r="H67" s="1119"/>
      <c r="I67" s="1119"/>
      <c r="J67" s="1119"/>
      <c r="K67" s="1119"/>
      <c r="L67" s="1119"/>
      <c r="M67" s="1119"/>
      <c r="N67" s="1119"/>
      <c r="O67" s="1119"/>
      <c r="P67" s="1119"/>
    </row>
    <row r="68" spans="2:16" x14ac:dyDescent="0.35">
      <c r="B68" s="1124" t="s">
        <v>356</v>
      </c>
      <c r="C68" s="1124"/>
      <c r="D68" s="1124"/>
      <c r="E68" s="1124"/>
      <c r="F68" s="1124"/>
      <c r="G68" s="1124"/>
      <c r="H68" s="1124"/>
      <c r="I68" s="1124"/>
      <c r="J68" s="1124"/>
      <c r="K68" s="1124"/>
      <c r="L68" s="1124"/>
      <c r="M68" s="1124"/>
      <c r="N68" s="1124"/>
      <c r="O68" s="1124"/>
      <c r="P68" s="1124"/>
    </row>
    <row r="69" spans="2:16" x14ac:dyDescent="0.35">
      <c r="B69" s="1125" t="s">
        <v>357</v>
      </c>
      <c r="C69" s="1125"/>
      <c r="D69" s="1125"/>
      <c r="E69" s="1125"/>
      <c r="F69" s="1125"/>
      <c r="G69" s="1125"/>
      <c r="H69" s="1125"/>
      <c r="I69" s="1125"/>
      <c r="J69" s="1125"/>
      <c r="K69" s="1125"/>
      <c r="L69" s="1125"/>
      <c r="M69" s="1125"/>
      <c r="N69" s="1125"/>
      <c r="O69" s="1125"/>
      <c r="P69" s="1125"/>
    </row>
    <row r="70" spans="2:16" x14ac:dyDescent="0.35">
      <c r="B70" s="1120" t="s">
        <v>358</v>
      </c>
      <c r="C70" s="1120"/>
      <c r="D70" s="1120"/>
      <c r="E70" s="1120"/>
      <c r="F70" s="1120"/>
      <c r="G70" s="1120"/>
      <c r="H70" s="1120"/>
      <c r="I70" s="1120"/>
      <c r="J70" s="1120"/>
      <c r="K70" s="1120"/>
      <c r="L70" s="1120"/>
      <c r="M70" s="1120"/>
      <c r="N70" s="1120"/>
      <c r="O70" s="1120"/>
      <c r="P70" s="1120"/>
    </row>
    <row r="71" spans="2:16" x14ac:dyDescent="0.35">
      <c r="B71" s="1119" t="s">
        <v>359</v>
      </c>
      <c r="C71" s="1119"/>
      <c r="D71" s="1119"/>
      <c r="E71" s="1119"/>
      <c r="F71" s="1119"/>
      <c r="G71" s="1119"/>
      <c r="H71" s="1119"/>
      <c r="I71" s="1119"/>
      <c r="J71" s="1119"/>
      <c r="K71" s="1119"/>
      <c r="L71" s="1119"/>
      <c r="M71" s="1119"/>
      <c r="N71" s="1119"/>
      <c r="O71" s="1119"/>
      <c r="P71" s="1119"/>
    </row>
    <row r="72" spans="2:16" x14ac:dyDescent="0.35">
      <c r="B72" s="1119" t="s">
        <v>360</v>
      </c>
      <c r="C72" s="1119"/>
      <c r="D72" s="1119"/>
      <c r="E72" s="1119"/>
      <c r="F72" s="1119"/>
      <c r="G72" s="1119"/>
      <c r="H72" s="1119"/>
      <c r="I72" s="1119"/>
      <c r="J72" s="1119"/>
      <c r="K72" s="1119"/>
      <c r="L72" s="1119"/>
      <c r="M72" s="1119"/>
      <c r="N72" s="1119"/>
      <c r="O72" s="1119"/>
      <c r="P72" s="1119"/>
    </row>
    <row r="73" spans="2:16" x14ac:dyDescent="0.35">
      <c r="B73" s="1120" t="s">
        <v>361</v>
      </c>
      <c r="C73" s="1120"/>
      <c r="D73" s="1120"/>
      <c r="E73" s="1120"/>
      <c r="F73" s="1120"/>
      <c r="G73" s="1120"/>
      <c r="H73" s="1120"/>
      <c r="I73" s="1120"/>
      <c r="J73" s="1120"/>
      <c r="K73" s="1120"/>
      <c r="L73" s="1120"/>
      <c r="M73" s="1120"/>
      <c r="N73" s="1120"/>
      <c r="O73" s="1120"/>
      <c r="P73" s="1120"/>
    </row>
    <row r="74" spans="2:16" x14ac:dyDescent="0.35">
      <c r="B74" s="456"/>
    </row>
    <row r="75" spans="2:16" x14ac:dyDescent="0.35">
      <c r="B75" s="1121" t="s">
        <v>362</v>
      </c>
      <c r="C75" s="1121"/>
      <c r="D75" s="1121"/>
      <c r="E75" s="1121"/>
      <c r="F75" s="1121"/>
      <c r="G75" s="1121"/>
      <c r="H75" s="1121"/>
      <c r="I75" s="1121"/>
      <c r="J75" s="1121"/>
      <c r="K75" s="1121"/>
      <c r="L75" s="1121"/>
      <c r="M75" s="1121"/>
      <c r="N75" s="1121"/>
      <c r="O75" s="1121"/>
      <c r="P75" s="1121"/>
    </row>
    <row r="76" spans="2:16" x14ac:dyDescent="0.35">
      <c r="B76" s="417"/>
    </row>
    <row r="77" spans="2:16" x14ac:dyDescent="0.35">
      <c r="B77" t="s">
        <v>363</v>
      </c>
    </row>
    <row r="79" spans="2:16" x14ac:dyDescent="0.35">
      <c r="B79" t="s">
        <v>364</v>
      </c>
    </row>
    <row r="80" spans="2:16" x14ac:dyDescent="0.35">
      <c r="B80" s="456"/>
    </row>
    <row r="81" spans="2:2" x14ac:dyDescent="0.35">
      <c r="B81" s="804"/>
    </row>
    <row r="83" spans="2:2" x14ac:dyDescent="0.35">
      <c r="B83" t="s">
        <v>365</v>
      </c>
    </row>
    <row r="84" spans="2:2" x14ac:dyDescent="0.35">
      <c r="B84" t="s">
        <v>366</v>
      </c>
    </row>
    <row r="85" spans="2:2" x14ac:dyDescent="0.35">
      <c r="B85" s="416" t="s">
        <v>367</v>
      </c>
    </row>
    <row r="87" spans="2:2" ht="13.75" customHeight="1" x14ac:dyDescent="0.35">
      <c r="B87" t="s">
        <v>363</v>
      </c>
    </row>
    <row r="88" spans="2:2" ht="6" customHeight="1" x14ac:dyDescent="0.35"/>
    <row r="89" spans="2:2" x14ac:dyDescent="0.35">
      <c r="B89" t="s">
        <v>364</v>
      </c>
    </row>
    <row r="91" spans="2:2" x14ac:dyDescent="0.35">
      <c r="B91" s="457"/>
    </row>
    <row r="92" spans="2:2" x14ac:dyDescent="0.35">
      <c r="B92" s="457"/>
    </row>
    <row r="93" spans="2:2" x14ac:dyDescent="0.35">
      <c r="B93" s="457"/>
    </row>
    <row r="99" spans="2:16" x14ac:dyDescent="0.35">
      <c r="B99" s="458"/>
      <c r="C99" s="458"/>
      <c r="D99" s="458"/>
      <c r="E99" s="458"/>
      <c r="F99" s="458"/>
      <c r="G99" s="458"/>
      <c r="H99" s="458"/>
      <c r="I99" s="458"/>
      <c r="J99" s="458"/>
      <c r="K99" s="462"/>
      <c r="L99" s="462"/>
      <c r="M99" s="462"/>
      <c r="N99" s="462"/>
      <c r="O99" s="462"/>
      <c r="P99" s="462"/>
    </row>
    <row r="100" spans="2:16" x14ac:dyDescent="0.35">
      <c r="B100" s="1123"/>
      <c r="C100" s="1123"/>
      <c r="D100" s="1123"/>
      <c r="E100" s="1123"/>
      <c r="F100" s="1123"/>
      <c r="G100" s="1123"/>
      <c r="H100" s="1123"/>
      <c r="I100" s="1123"/>
      <c r="J100" s="1123"/>
      <c r="K100" s="1123"/>
      <c r="L100" s="1123"/>
      <c r="M100" s="1123"/>
      <c r="N100" s="1123"/>
      <c r="O100" s="1123"/>
      <c r="P100" s="1123"/>
    </row>
    <row r="101" spans="2:16" x14ac:dyDescent="0.35">
      <c r="B101" s="1123"/>
      <c r="C101" s="1123"/>
      <c r="D101" s="1123"/>
      <c r="E101" s="1123"/>
      <c r="F101" s="1123"/>
      <c r="G101" s="1123"/>
      <c r="H101" s="1123"/>
      <c r="I101" s="1123"/>
      <c r="J101" s="1123"/>
      <c r="K101" s="1123"/>
      <c r="L101" s="1123"/>
      <c r="M101" s="1123"/>
      <c r="N101" s="1123"/>
      <c r="O101" s="1123"/>
      <c r="P101" s="1123"/>
    </row>
    <row r="102" spans="2:16" x14ac:dyDescent="0.35">
      <c r="B102" s="1123"/>
      <c r="C102" s="1123"/>
      <c r="D102" s="1123"/>
      <c r="E102" s="1123"/>
      <c r="F102" s="1123"/>
      <c r="G102" s="1123"/>
      <c r="H102" s="1123"/>
      <c r="I102" s="463"/>
      <c r="J102" s="463"/>
      <c r="K102" s="458"/>
      <c r="L102" s="458"/>
      <c r="M102" s="458"/>
      <c r="N102" s="458"/>
      <c r="O102" s="458"/>
      <c r="P102" s="458"/>
    </row>
    <row r="103" spans="2:16" x14ac:dyDescent="0.35">
      <c r="B103" s="464"/>
      <c r="C103" s="458"/>
      <c r="D103" s="1122"/>
      <c r="E103" s="1122"/>
      <c r="F103" s="1122"/>
      <c r="G103" s="1122"/>
      <c r="H103" s="1122"/>
      <c r="I103" s="1122"/>
      <c r="J103" s="1122"/>
    </row>
    <row r="104" spans="2:16" x14ac:dyDescent="0.35">
      <c r="B104" s="460"/>
      <c r="C104" s="458"/>
      <c r="D104" s="1122"/>
      <c r="E104" s="1122"/>
      <c r="F104" s="1122"/>
      <c r="G104" s="1122"/>
      <c r="H104" s="1122"/>
      <c r="I104" s="1122"/>
      <c r="J104" s="1122"/>
    </row>
    <row r="105" spans="2:16" x14ac:dyDescent="0.35">
      <c r="B105" s="458"/>
      <c r="C105" s="458"/>
      <c r="D105" s="460"/>
      <c r="E105" s="460"/>
      <c r="F105" s="460"/>
      <c r="G105" s="460"/>
      <c r="H105" s="460"/>
      <c r="I105" s="460"/>
      <c r="J105" s="460"/>
    </row>
    <row r="106" spans="2:16" x14ac:dyDescent="0.35">
      <c r="B106" s="464"/>
      <c r="C106" s="465"/>
      <c r="D106" s="461"/>
      <c r="E106" s="461"/>
      <c r="F106" s="461"/>
      <c r="G106" s="461"/>
      <c r="H106" s="461"/>
      <c r="I106" s="461"/>
      <c r="J106" s="461"/>
    </row>
    <row r="107" spans="2:16" x14ac:dyDescent="0.35">
      <c r="B107" s="464"/>
      <c r="C107" s="465"/>
      <c r="D107" s="461"/>
      <c r="E107" s="461"/>
      <c r="F107" s="461"/>
      <c r="G107" s="461"/>
      <c r="H107" s="461"/>
      <c r="I107" s="461"/>
      <c r="J107" s="461"/>
    </row>
    <row r="108" spans="2:16" x14ac:dyDescent="0.35">
      <c r="B108" s="458"/>
      <c r="C108" s="458"/>
      <c r="D108" s="455"/>
      <c r="E108" s="455"/>
      <c r="F108" s="455"/>
      <c r="G108" s="455"/>
      <c r="H108" s="455"/>
      <c r="I108" s="455"/>
      <c r="J108" s="455"/>
    </row>
    <row r="109" spans="2:16" x14ac:dyDescent="0.35">
      <c r="B109" s="458"/>
      <c r="C109" s="458"/>
      <c r="D109" s="455"/>
      <c r="E109" s="455"/>
      <c r="F109" s="455"/>
      <c r="G109" s="455"/>
      <c r="H109" s="455"/>
      <c r="I109" s="455"/>
      <c r="J109" s="455"/>
    </row>
    <row r="110" spans="2:16" x14ac:dyDescent="0.35">
      <c r="B110" s="458"/>
      <c r="C110" s="458"/>
      <c r="D110" s="455"/>
      <c r="E110" s="455"/>
      <c r="F110" s="455"/>
      <c r="G110" s="455"/>
      <c r="H110" s="455"/>
      <c r="I110" s="455"/>
      <c r="J110" s="455"/>
    </row>
    <row r="111" spans="2:16" x14ac:dyDescent="0.35">
      <c r="B111" s="458"/>
      <c r="C111" s="458"/>
      <c r="D111" s="455"/>
      <c r="E111" s="455"/>
      <c r="F111" s="455"/>
      <c r="G111" s="455"/>
      <c r="H111" s="455"/>
      <c r="I111" s="455"/>
      <c r="J111" s="455"/>
    </row>
    <row r="112" spans="2:16" x14ac:dyDescent="0.35">
      <c r="B112" s="464"/>
      <c r="C112" s="465"/>
      <c r="D112" s="461"/>
      <c r="E112" s="461"/>
      <c r="F112" s="461"/>
      <c r="G112" s="461"/>
      <c r="H112" s="461"/>
      <c r="I112" s="461"/>
      <c r="J112" s="461"/>
    </row>
    <row r="113" spans="2:10" x14ac:dyDescent="0.35">
      <c r="B113" s="458"/>
      <c r="C113" s="458"/>
      <c r="D113" s="455"/>
      <c r="E113" s="455"/>
      <c r="F113" s="455"/>
      <c r="G113" s="455"/>
      <c r="H113" s="455"/>
      <c r="I113" s="455"/>
      <c r="J113" s="455"/>
    </row>
    <row r="114" spans="2:10" x14ac:dyDescent="0.35">
      <c r="B114" s="458"/>
      <c r="C114" s="466"/>
      <c r="D114" s="455"/>
      <c r="E114" s="455"/>
      <c r="F114" s="455"/>
      <c r="G114" s="455"/>
      <c r="H114" s="455"/>
      <c r="I114" s="455"/>
      <c r="J114" s="455"/>
    </row>
    <row r="115" spans="2:10" x14ac:dyDescent="0.35">
      <c r="B115" s="458"/>
      <c r="C115" s="458"/>
      <c r="D115" s="455"/>
      <c r="E115" s="455"/>
      <c r="F115" s="455"/>
      <c r="G115" s="455"/>
      <c r="H115" s="455"/>
      <c r="I115" s="455"/>
      <c r="J115" s="455"/>
    </row>
    <row r="116" spans="2:10" x14ac:dyDescent="0.35">
      <c r="B116" s="458"/>
      <c r="C116" s="458"/>
      <c r="D116" s="455"/>
      <c r="E116" s="455"/>
      <c r="F116" s="455"/>
      <c r="G116" s="455"/>
      <c r="H116" s="455"/>
      <c r="I116" s="455"/>
      <c r="J116" s="455"/>
    </row>
    <row r="117" spans="2:10" x14ac:dyDescent="0.35">
      <c r="B117" s="458"/>
      <c r="C117" s="458"/>
      <c r="D117" s="455"/>
      <c r="E117" s="455"/>
      <c r="F117" s="455"/>
      <c r="G117" s="455"/>
      <c r="H117" s="455"/>
      <c r="I117" s="455"/>
      <c r="J117" s="455"/>
    </row>
    <row r="118" spans="2:10" x14ac:dyDescent="0.35">
      <c r="B118" s="458"/>
      <c r="C118" s="466"/>
      <c r="D118" s="455"/>
      <c r="E118" s="455"/>
      <c r="F118" s="455"/>
      <c r="G118" s="455"/>
      <c r="H118" s="455"/>
      <c r="I118" s="455"/>
      <c r="J118" s="455"/>
    </row>
    <row r="119" spans="2:10" x14ac:dyDescent="0.35">
      <c r="B119" s="458"/>
      <c r="C119" s="458"/>
      <c r="D119" s="455"/>
      <c r="E119" s="455"/>
      <c r="F119" s="455"/>
      <c r="G119" s="455"/>
      <c r="H119" s="455"/>
      <c r="I119" s="455"/>
      <c r="J119" s="455"/>
    </row>
    <row r="120" spans="2:10" x14ac:dyDescent="0.35">
      <c r="B120" s="464"/>
      <c r="C120" s="465"/>
      <c r="D120" s="461"/>
      <c r="E120" s="461"/>
      <c r="F120" s="461"/>
      <c r="G120" s="461"/>
      <c r="H120" s="461"/>
      <c r="I120" s="461"/>
      <c r="J120" s="461"/>
    </row>
    <row r="121" spans="2:10" x14ac:dyDescent="0.35">
      <c r="B121" s="464"/>
      <c r="C121" s="465"/>
      <c r="D121" s="461"/>
      <c r="E121" s="461"/>
      <c r="F121" s="461"/>
      <c r="G121" s="461"/>
      <c r="H121" s="461"/>
      <c r="I121" s="461"/>
      <c r="J121" s="461"/>
    </row>
    <row r="122" spans="2:10" x14ac:dyDescent="0.35">
      <c r="B122" s="458"/>
      <c r="C122" s="458"/>
      <c r="D122" s="455"/>
      <c r="E122" s="455"/>
      <c r="F122" s="455"/>
      <c r="G122" s="455"/>
      <c r="H122" s="455"/>
      <c r="I122" s="455"/>
      <c r="J122" s="455"/>
    </row>
    <row r="123" spans="2:10" x14ac:dyDescent="0.35">
      <c r="B123" s="458"/>
      <c r="C123" s="458"/>
      <c r="D123" s="455"/>
      <c r="E123" s="455"/>
      <c r="F123" s="455"/>
      <c r="G123" s="455"/>
      <c r="H123" s="455"/>
      <c r="I123" s="455"/>
      <c r="J123" s="455"/>
    </row>
    <row r="124" spans="2:10" x14ac:dyDescent="0.35">
      <c r="B124" s="464"/>
      <c r="C124" s="465"/>
      <c r="D124" s="461"/>
      <c r="E124" s="461"/>
      <c r="F124" s="461"/>
      <c r="G124" s="461"/>
      <c r="H124" s="461"/>
      <c r="I124" s="461"/>
      <c r="J124" s="461"/>
    </row>
    <row r="125" spans="2:10" x14ac:dyDescent="0.35">
      <c r="B125" s="458"/>
      <c r="C125" s="458"/>
      <c r="D125" s="455"/>
      <c r="E125" s="455"/>
      <c r="F125" s="455"/>
      <c r="G125" s="455"/>
      <c r="H125" s="455"/>
      <c r="I125" s="455"/>
      <c r="J125" s="455"/>
    </row>
    <row r="126" spans="2:10" x14ac:dyDescent="0.35">
      <c r="B126" s="458"/>
      <c r="C126" s="458"/>
      <c r="D126" s="455"/>
      <c r="E126" s="455"/>
      <c r="F126" s="455"/>
      <c r="G126" s="455"/>
      <c r="H126" s="455"/>
      <c r="I126" s="455"/>
      <c r="J126" s="455"/>
    </row>
    <row r="127" spans="2:10" x14ac:dyDescent="0.35">
      <c r="B127" s="458"/>
      <c r="C127" s="458"/>
      <c r="D127" s="455"/>
      <c r="E127" s="455"/>
      <c r="F127" s="455"/>
      <c r="G127" s="455"/>
      <c r="H127" s="455"/>
      <c r="I127" s="455"/>
      <c r="J127" s="455"/>
    </row>
    <row r="128" spans="2:10" x14ac:dyDescent="0.35">
      <c r="B128" s="458"/>
      <c r="C128" s="466"/>
      <c r="D128" s="455"/>
      <c r="E128" s="455"/>
      <c r="F128" s="455"/>
      <c r="G128" s="455"/>
      <c r="H128" s="455"/>
      <c r="I128" s="455"/>
      <c r="J128" s="455"/>
    </row>
    <row r="129" spans="2:10" x14ac:dyDescent="0.35">
      <c r="B129" s="458"/>
      <c r="C129" s="458"/>
      <c r="D129" s="455"/>
      <c r="E129" s="455"/>
      <c r="F129" s="455"/>
      <c r="G129" s="455"/>
      <c r="H129" s="455"/>
      <c r="I129" s="455"/>
      <c r="J129" s="455"/>
    </row>
    <row r="130" spans="2:10" x14ac:dyDescent="0.35">
      <c r="B130" s="458"/>
      <c r="C130" s="458"/>
      <c r="D130" s="455"/>
      <c r="E130" s="455"/>
      <c r="F130" s="455"/>
      <c r="G130" s="455"/>
      <c r="H130" s="455"/>
      <c r="I130" s="455"/>
      <c r="J130" s="455"/>
    </row>
    <row r="131" spans="2:10" x14ac:dyDescent="0.35">
      <c r="B131" s="458"/>
      <c r="C131" s="458"/>
      <c r="D131" s="455"/>
      <c r="E131" s="455"/>
      <c r="F131" s="455"/>
      <c r="G131" s="455"/>
      <c r="H131" s="455"/>
      <c r="I131" s="455"/>
      <c r="J131" s="455"/>
    </row>
    <row r="132" spans="2:10" x14ac:dyDescent="0.35">
      <c r="B132" s="458"/>
      <c r="C132" s="467"/>
      <c r="D132" s="455"/>
      <c r="E132" s="455"/>
      <c r="F132" s="455"/>
      <c r="G132" s="455"/>
      <c r="H132" s="455"/>
      <c r="I132" s="455"/>
      <c r="J132" s="455"/>
    </row>
    <row r="133" spans="2:10" x14ac:dyDescent="0.35">
      <c r="B133" s="458"/>
      <c r="C133" s="279"/>
      <c r="D133" s="455"/>
      <c r="E133" s="455"/>
      <c r="F133" s="455"/>
      <c r="G133" s="455"/>
      <c r="H133" s="455"/>
      <c r="I133" s="455"/>
      <c r="J133" s="455"/>
    </row>
    <row r="134" spans="2:10" x14ac:dyDescent="0.35">
      <c r="B134" s="458"/>
      <c r="C134" s="468"/>
      <c r="D134" s="455"/>
      <c r="E134" s="455"/>
      <c r="F134" s="455"/>
      <c r="G134" s="455"/>
      <c r="H134" s="455"/>
      <c r="I134" s="455"/>
      <c r="J134" s="455"/>
    </row>
    <row r="135" spans="2:10" x14ac:dyDescent="0.35">
      <c r="B135" s="458"/>
      <c r="C135" s="468"/>
      <c r="D135" s="455"/>
      <c r="E135" s="455"/>
      <c r="F135" s="455"/>
      <c r="G135" s="455"/>
      <c r="H135" s="455"/>
      <c r="I135" s="455"/>
      <c r="J135" s="455"/>
    </row>
    <row r="136" spans="2:10" x14ac:dyDescent="0.35">
      <c r="B136" s="458"/>
      <c r="C136" s="468"/>
      <c r="D136" s="455"/>
      <c r="E136" s="455"/>
      <c r="F136" s="455"/>
      <c r="G136" s="455"/>
      <c r="H136" s="455"/>
      <c r="I136" s="455"/>
      <c r="J136" s="455"/>
    </row>
    <row r="137" spans="2:10" x14ac:dyDescent="0.35">
      <c r="B137" s="458"/>
      <c r="C137" s="458"/>
      <c r="D137" s="455"/>
      <c r="E137" s="455"/>
      <c r="F137" s="455"/>
      <c r="G137" s="455"/>
      <c r="H137" s="455"/>
      <c r="I137" s="455"/>
      <c r="J137" s="455"/>
    </row>
    <row r="138" spans="2:10" x14ac:dyDescent="0.35">
      <c r="B138" s="458"/>
      <c r="C138" s="458"/>
      <c r="D138" s="455"/>
      <c r="E138" s="455"/>
      <c r="F138" s="455"/>
      <c r="G138" s="455"/>
      <c r="H138" s="455"/>
      <c r="I138" s="455"/>
      <c r="J138" s="455"/>
    </row>
    <row r="139" spans="2:10" x14ac:dyDescent="0.35">
      <c r="B139" s="458"/>
      <c r="C139" s="467"/>
      <c r="D139" s="455"/>
      <c r="E139" s="455"/>
      <c r="F139" s="455"/>
      <c r="G139" s="455"/>
      <c r="H139" s="455"/>
      <c r="I139" s="455"/>
      <c r="J139" s="455"/>
    </row>
    <row r="140" spans="2:10" x14ac:dyDescent="0.35">
      <c r="B140" s="458"/>
      <c r="C140" s="279"/>
      <c r="D140" s="455"/>
      <c r="E140" s="455"/>
      <c r="F140" s="455"/>
      <c r="G140" s="455"/>
      <c r="H140" s="455"/>
      <c r="I140" s="455"/>
      <c r="J140" s="455"/>
    </row>
    <row r="141" spans="2:10" x14ac:dyDescent="0.35">
      <c r="B141" s="458"/>
      <c r="C141" s="279"/>
      <c r="D141" s="455"/>
      <c r="E141" s="455"/>
      <c r="F141" s="455"/>
      <c r="G141" s="455"/>
      <c r="H141" s="455"/>
      <c r="I141" s="455"/>
      <c r="J141" s="455"/>
    </row>
    <row r="142" spans="2:10" x14ac:dyDescent="0.35">
      <c r="B142" s="458"/>
      <c r="C142" s="458"/>
      <c r="D142" s="455"/>
      <c r="E142" s="455"/>
      <c r="F142" s="455"/>
      <c r="G142" s="455"/>
      <c r="H142" s="455"/>
      <c r="I142" s="455"/>
      <c r="J142" s="455"/>
    </row>
    <row r="143" spans="2:10" x14ac:dyDescent="0.35">
      <c r="B143" s="458"/>
      <c r="C143" s="458"/>
      <c r="D143" s="455"/>
      <c r="E143" s="455"/>
      <c r="F143" s="455"/>
      <c r="G143" s="455"/>
      <c r="H143" s="455"/>
      <c r="I143" s="455"/>
      <c r="J143" s="455"/>
    </row>
    <row r="144" spans="2:10" x14ac:dyDescent="0.35">
      <c r="B144" s="458"/>
      <c r="C144" s="458"/>
      <c r="D144" s="455"/>
      <c r="E144" s="455"/>
      <c r="F144" s="455"/>
      <c r="G144" s="455"/>
      <c r="H144" s="455"/>
      <c r="I144" s="455"/>
      <c r="J144" s="455"/>
    </row>
    <row r="145" spans="2:16" x14ac:dyDescent="0.35">
      <c r="B145" s="464"/>
      <c r="C145" s="465"/>
      <c r="D145" s="461"/>
      <c r="E145" s="461"/>
      <c r="F145" s="461"/>
      <c r="G145" s="461"/>
      <c r="H145" s="461"/>
      <c r="I145" s="461"/>
      <c r="J145" s="461"/>
    </row>
    <row r="146" spans="2:16" x14ac:dyDescent="0.35">
      <c r="B146" s="464"/>
      <c r="C146" s="465"/>
      <c r="D146" s="461"/>
      <c r="E146" s="461"/>
      <c r="F146" s="461"/>
      <c r="G146" s="461"/>
      <c r="H146" s="461"/>
      <c r="I146" s="461"/>
      <c r="J146" s="461"/>
    </row>
    <row r="147" spans="2:16" x14ac:dyDescent="0.35">
      <c r="B147" s="464"/>
      <c r="C147" s="465"/>
      <c r="D147" s="461"/>
      <c r="E147" s="461"/>
      <c r="F147" s="461"/>
      <c r="G147" s="461"/>
      <c r="H147" s="461"/>
      <c r="I147" s="461"/>
      <c r="J147" s="461"/>
    </row>
    <row r="148" spans="2:16" x14ac:dyDescent="0.35">
      <c r="B148" s="464"/>
      <c r="C148" s="465"/>
      <c r="D148" s="461"/>
      <c r="E148" s="461"/>
      <c r="F148" s="461"/>
      <c r="G148" s="461"/>
      <c r="H148" s="461"/>
      <c r="I148" s="461"/>
      <c r="J148" s="461"/>
    </row>
    <row r="149" spans="2:16" x14ac:dyDescent="0.35">
      <c r="B149" s="458"/>
      <c r="C149" s="458"/>
      <c r="D149" s="455"/>
      <c r="E149" s="455"/>
      <c r="F149" s="455"/>
      <c r="G149" s="455"/>
      <c r="H149" s="455"/>
      <c r="I149" s="455"/>
      <c r="J149" s="455"/>
    </row>
    <row r="150" spans="2:16" x14ac:dyDescent="0.35">
      <c r="B150" s="458"/>
      <c r="C150" s="458"/>
      <c r="D150" s="455"/>
      <c r="E150" s="455"/>
      <c r="F150" s="455"/>
      <c r="G150" s="455"/>
      <c r="H150" s="455"/>
      <c r="I150" s="455"/>
      <c r="J150" s="455"/>
    </row>
    <row r="151" spans="2:16" x14ac:dyDescent="0.35">
      <c r="B151" s="458"/>
      <c r="C151" s="469"/>
      <c r="D151" s="455"/>
      <c r="E151" s="455"/>
      <c r="F151" s="455"/>
      <c r="G151" s="455"/>
      <c r="H151" s="455"/>
      <c r="I151" s="455"/>
      <c r="J151" s="455"/>
    </row>
    <row r="152" spans="2:16" x14ac:dyDescent="0.35">
      <c r="B152" s="458"/>
      <c r="C152" s="468"/>
      <c r="D152" s="455"/>
      <c r="E152" s="455"/>
      <c r="F152" s="455"/>
      <c r="G152" s="455"/>
      <c r="H152" s="455"/>
      <c r="I152" s="455"/>
      <c r="J152" s="455"/>
    </row>
    <row r="153" spans="2:16" x14ac:dyDescent="0.35">
      <c r="B153" s="458"/>
      <c r="C153" s="458"/>
      <c r="D153" s="455"/>
      <c r="E153" s="455"/>
      <c r="F153" s="455"/>
      <c r="G153" s="455"/>
      <c r="H153" s="455"/>
      <c r="I153" s="455"/>
      <c r="J153" s="455"/>
    </row>
    <row r="154" spans="2:16" x14ac:dyDescent="0.35">
      <c r="B154" s="458"/>
      <c r="C154" s="458"/>
      <c r="D154" s="455"/>
      <c r="E154" s="455"/>
      <c r="F154" s="455"/>
      <c r="G154" s="455"/>
      <c r="H154" s="455"/>
      <c r="I154" s="455"/>
      <c r="J154" s="455"/>
    </row>
    <row r="155" spans="2:16" x14ac:dyDescent="0.35">
      <c r="B155" s="458"/>
      <c r="C155" s="458"/>
      <c r="D155" s="455"/>
      <c r="E155" s="455"/>
      <c r="F155" s="455"/>
      <c r="G155" s="455"/>
      <c r="H155" s="455"/>
      <c r="I155" s="455"/>
      <c r="J155" s="455"/>
    </row>
    <row r="156" spans="2:16" x14ac:dyDescent="0.35">
      <c r="B156" s="464"/>
      <c r="C156" s="465"/>
      <c r="D156" s="461"/>
      <c r="E156" s="461"/>
      <c r="F156" s="461"/>
      <c r="G156" s="461"/>
      <c r="H156" s="461"/>
      <c r="I156" s="461"/>
      <c r="J156" s="461"/>
    </row>
    <row r="157" spans="2:16" x14ac:dyDescent="0.35">
      <c r="B157" s="458"/>
      <c r="C157" s="458"/>
      <c r="D157" s="458"/>
      <c r="E157" s="458"/>
      <c r="F157" s="458"/>
      <c r="G157" s="458"/>
      <c r="H157" s="458"/>
      <c r="I157" s="458"/>
      <c r="J157" s="458"/>
      <c r="K157" s="458"/>
      <c r="L157" s="458"/>
      <c r="M157" s="458"/>
      <c r="N157" s="458"/>
      <c r="O157" s="458"/>
      <c r="P157" s="458"/>
    </row>
    <row r="158" spans="2:16" x14ac:dyDescent="0.35">
      <c r="B158" s="458"/>
      <c r="C158" s="470"/>
      <c r="D158" s="458"/>
      <c r="E158" s="458"/>
      <c r="F158" s="458"/>
      <c r="G158" s="458"/>
      <c r="H158" s="458"/>
      <c r="I158" s="458"/>
      <c r="J158" s="458"/>
      <c r="K158" s="458"/>
      <c r="L158" s="458"/>
      <c r="M158" s="458"/>
      <c r="N158" s="458"/>
      <c r="O158" s="458"/>
      <c r="P158" s="458"/>
    </row>
    <row r="159" spans="2:16" x14ac:dyDescent="0.35">
      <c r="B159" s="458"/>
      <c r="C159" s="458"/>
      <c r="D159" s="458"/>
      <c r="E159" s="458"/>
      <c r="F159" s="458"/>
      <c r="G159" s="458"/>
      <c r="H159" s="458"/>
      <c r="I159" s="458"/>
      <c r="J159" s="458"/>
      <c r="K159" s="458"/>
      <c r="L159" s="458"/>
      <c r="M159" s="458"/>
      <c r="N159" s="458"/>
      <c r="O159" s="458"/>
      <c r="P159" s="458"/>
    </row>
    <row r="160" spans="2:16" x14ac:dyDescent="0.35">
      <c r="B160" s="458"/>
      <c r="C160" s="458"/>
      <c r="D160" s="458"/>
      <c r="E160" s="458"/>
      <c r="F160" s="458"/>
      <c r="G160" s="458"/>
      <c r="H160" s="458"/>
      <c r="I160" s="458"/>
      <c r="J160" s="458"/>
      <c r="K160" s="458"/>
      <c r="L160" s="458"/>
      <c r="M160" s="458"/>
      <c r="N160" s="458"/>
      <c r="O160" s="458"/>
      <c r="P160" s="458"/>
    </row>
    <row r="161" spans="2:16" x14ac:dyDescent="0.35">
      <c r="B161" s="458"/>
      <c r="C161" s="458"/>
      <c r="D161" s="458"/>
      <c r="E161" s="458"/>
      <c r="F161" s="458"/>
      <c r="G161" s="458"/>
      <c r="H161" s="458"/>
      <c r="I161" s="458"/>
      <c r="J161" s="458"/>
      <c r="K161" s="458"/>
      <c r="L161" s="458"/>
      <c r="M161" s="458"/>
      <c r="N161" s="458"/>
      <c r="O161" s="458"/>
      <c r="P161" s="458"/>
    </row>
    <row r="162" spans="2:16" x14ac:dyDescent="0.35">
      <c r="B162" s="458"/>
      <c r="C162" s="458"/>
      <c r="D162" s="458"/>
      <c r="E162" s="458"/>
      <c r="F162" s="458"/>
      <c r="G162" s="458"/>
      <c r="H162" s="458"/>
      <c r="I162" s="458"/>
      <c r="J162" s="458"/>
      <c r="K162" s="458"/>
      <c r="L162" s="458"/>
      <c r="M162" s="458"/>
      <c r="N162" s="458"/>
      <c r="O162" s="458"/>
      <c r="P162" s="458"/>
    </row>
    <row r="163" spans="2:16" x14ac:dyDescent="0.35">
      <c r="B163" s="458"/>
      <c r="C163" s="458"/>
      <c r="D163" s="458"/>
      <c r="E163" s="458"/>
      <c r="F163" s="458"/>
      <c r="G163" s="458"/>
      <c r="H163" s="458"/>
      <c r="I163" s="458"/>
      <c r="J163" s="458"/>
      <c r="K163" s="458"/>
      <c r="L163" s="458"/>
      <c r="M163" s="458"/>
      <c r="N163" s="458"/>
      <c r="O163" s="458"/>
      <c r="P163" s="458"/>
    </row>
    <row r="164" spans="2:16" x14ac:dyDescent="0.35">
      <c r="B164" s="458"/>
      <c r="C164" s="458"/>
      <c r="D164" s="458"/>
      <c r="E164" s="458"/>
      <c r="F164" s="458"/>
      <c r="G164" s="458"/>
      <c r="H164" s="458"/>
      <c r="I164" s="458"/>
      <c r="J164" s="458"/>
      <c r="K164" s="458"/>
      <c r="L164" s="458"/>
      <c r="M164" s="458"/>
      <c r="N164" s="458"/>
      <c r="O164" s="458"/>
      <c r="P164" s="458"/>
    </row>
    <row r="165" spans="2:16" x14ac:dyDescent="0.35">
      <c r="B165" s="471"/>
      <c r="C165" s="471"/>
      <c r="D165" s="471"/>
      <c r="E165" s="471"/>
      <c r="F165" s="471"/>
      <c r="G165" s="471"/>
      <c r="H165" s="471"/>
      <c r="I165" s="471"/>
      <c r="J165" s="458"/>
      <c r="K165" s="458"/>
      <c r="L165" s="458"/>
      <c r="M165" s="458"/>
      <c r="N165" s="458"/>
      <c r="O165" s="458"/>
      <c r="P165" s="458"/>
    </row>
    <row r="166" spans="2:16" x14ac:dyDescent="0.35">
      <c r="B166" s="472"/>
      <c r="C166" s="470"/>
      <c r="D166" s="470"/>
      <c r="E166" s="470"/>
      <c r="F166" s="470"/>
      <c r="G166" s="470"/>
      <c r="H166" s="470"/>
      <c r="I166" s="470"/>
      <c r="J166" s="458"/>
      <c r="K166" s="458"/>
      <c r="L166" s="458"/>
      <c r="M166" s="458"/>
      <c r="N166" s="458"/>
      <c r="O166" s="458"/>
      <c r="P166" s="458"/>
    </row>
    <row r="167" spans="2:16" x14ac:dyDescent="0.35">
      <c r="B167" s="473"/>
      <c r="C167" s="471"/>
      <c r="D167" s="458"/>
      <c r="E167" s="458"/>
      <c r="F167" s="458"/>
      <c r="G167" s="458"/>
      <c r="H167" s="458"/>
      <c r="I167" s="458"/>
      <c r="J167" s="458"/>
      <c r="K167" s="458"/>
      <c r="L167" s="458"/>
      <c r="M167" s="458"/>
      <c r="N167" s="458"/>
      <c r="O167" s="458"/>
      <c r="P167" s="458"/>
    </row>
    <row r="168" spans="2:16" x14ac:dyDescent="0.35">
      <c r="B168" s="471"/>
      <c r="C168" s="471"/>
      <c r="D168" s="471"/>
      <c r="E168" s="471"/>
      <c r="F168" s="471"/>
      <c r="G168" s="471"/>
      <c r="H168" s="471"/>
      <c r="I168" s="471"/>
      <c r="J168" s="458"/>
      <c r="K168" s="458"/>
      <c r="L168" s="458"/>
      <c r="M168" s="458"/>
      <c r="N168" s="458"/>
      <c r="O168" s="458"/>
      <c r="P168" s="458"/>
    </row>
    <row r="169" spans="2:16" x14ac:dyDescent="0.35">
      <c r="B169" s="471"/>
      <c r="C169" s="471"/>
      <c r="D169" s="458"/>
      <c r="E169" s="458"/>
      <c r="F169" s="458"/>
      <c r="G169" s="458"/>
      <c r="H169" s="458"/>
      <c r="I169" s="458"/>
      <c r="J169" s="458"/>
      <c r="K169" s="458"/>
      <c r="L169" s="458"/>
      <c r="M169" s="458"/>
      <c r="N169" s="458"/>
      <c r="O169" s="458"/>
      <c r="P169" s="458"/>
    </row>
    <row r="170" spans="2:16" x14ac:dyDescent="0.35">
      <c r="B170" s="470"/>
      <c r="C170" s="470"/>
      <c r="D170" s="470"/>
      <c r="E170" s="470"/>
      <c r="F170" s="470"/>
      <c r="G170" s="470"/>
      <c r="H170" s="470"/>
      <c r="I170" s="470"/>
      <c r="J170" s="458"/>
      <c r="K170" s="458"/>
      <c r="L170" s="458"/>
      <c r="M170" s="458"/>
      <c r="N170" s="458"/>
      <c r="O170" s="458"/>
      <c r="P170" s="458"/>
    </row>
    <row r="171" spans="2:16" x14ac:dyDescent="0.35">
      <c r="B171" s="473"/>
      <c r="C171" s="474"/>
      <c r="D171" s="458"/>
      <c r="E171" s="458"/>
      <c r="F171" s="458"/>
      <c r="G171" s="458"/>
      <c r="H171" s="458"/>
      <c r="I171" s="458"/>
      <c r="J171" s="458"/>
      <c r="K171" s="458"/>
      <c r="L171" s="458"/>
      <c r="M171" s="458"/>
      <c r="N171" s="458"/>
      <c r="O171" s="458"/>
      <c r="P171" s="458"/>
    </row>
    <row r="172" spans="2:16" x14ac:dyDescent="0.35">
      <c r="B172" s="475"/>
      <c r="C172" s="475"/>
      <c r="D172" s="475"/>
      <c r="E172" s="475"/>
      <c r="F172" s="475"/>
      <c r="G172" s="475"/>
      <c r="H172" s="475"/>
      <c r="I172" s="475"/>
      <c r="J172" s="475"/>
      <c r="K172" s="458"/>
      <c r="L172" s="458"/>
      <c r="M172" s="458"/>
      <c r="N172" s="458"/>
      <c r="O172" s="458"/>
      <c r="P172" s="458"/>
    </row>
    <row r="173" spans="2:16" x14ac:dyDescent="0.35">
      <c r="B173" s="472"/>
      <c r="C173" s="476"/>
      <c r="D173" s="458"/>
      <c r="E173" s="458"/>
      <c r="F173" s="458"/>
      <c r="G173" s="458"/>
      <c r="H173" s="458"/>
      <c r="I173" s="458"/>
      <c r="J173" s="458"/>
      <c r="K173" s="458"/>
      <c r="L173" s="458"/>
      <c r="M173" s="458"/>
      <c r="N173" s="458"/>
      <c r="O173" s="458"/>
      <c r="P173" s="458"/>
    </row>
    <row r="174" spans="2:16" x14ac:dyDescent="0.35">
      <c r="B174" s="471"/>
      <c r="C174" s="471"/>
      <c r="D174" s="471"/>
      <c r="E174" s="471"/>
      <c r="F174" s="471"/>
      <c r="G174" s="471"/>
      <c r="H174" s="471"/>
      <c r="I174" s="471"/>
      <c r="J174" s="458"/>
      <c r="K174" s="458"/>
      <c r="L174" s="458"/>
      <c r="M174" s="458"/>
      <c r="N174" s="458"/>
      <c r="O174" s="458"/>
      <c r="P174" s="458"/>
    </row>
    <row r="175" spans="2:16" x14ac:dyDescent="0.35">
      <c r="B175" s="471"/>
      <c r="C175" s="471"/>
      <c r="D175" s="471"/>
      <c r="E175" s="471"/>
      <c r="F175" s="471"/>
      <c r="G175" s="471"/>
      <c r="H175" s="471"/>
      <c r="I175" s="471"/>
      <c r="J175" s="458"/>
      <c r="K175" s="458"/>
      <c r="L175" s="458"/>
      <c r="M175" s="458"/>
      <c r="N175" s="458"/>
      <c r="O175" s="458"/>
      <c r="P175" s="458"/>
    </row>
    <row r="176" spans="2:16" x14ac:dyDescent="0.35">
      <c r="B176" s="471"/>
      <c r="C176" s="471"/>
      <c r="D176" s="471"/>
      <c r="E176" s="471"/>
      <c r="F176" s="471"/>
      <c r="G176" s="471"/>
      <c r="H176" s="471"/>
      <c r="I176" s="471"/>
      <c r="J176" s="458"/>
      <c r="K176" s="458"/>
      <c r="L176" s="458"/>
      <c r="M176" s="458"/>
      <c r="N176" s="458"/>
      <c r="O176" s="458"/>
      <c r="P176" s="458"/>
    </row>
    <row r="177" spans="2:16" x14ac:dyDescent="0.35">
      <c r="B177" s="471"/>
      <c r="C177" s="471"/>
      <c r="D177" s="458"/>
      <c r="E177" s="458"/>
      <c r="F177" s="458"/>
      <c r="G177" s="458"/>
      <c r="H177" s="458"/>
      <c r="I177" s="458"/>
      <c r="J177" s="458"/>
      <c r="K177" s="458"/>
      <c r="L177" s="458"/>
      <c r="M177" s="458"/>
      <c r="N177" s="458"/>
      <c r="O177" s="458"/>
      <c r="P177" s="458"/>
    </row>
    <row r="178" spans="2:16" x14ac:dyDescent="0.35">
      <c r="B178" s="475"/>
      <c r="C178" s="475"/>
      <c r="D178" s="475"/>
      <c r="E178" s="475"/>
      <c r="F178" s="475"/>
      <c r="G178" s="475"/>
      <c r="H178" s="475"/>
      <c r="I178" s="475"/>
      <c r="J178" s="458"/>
      <c r="K178" s="458"/>
      <c r="L178" s="458"/>
      <c r="M178" s="458"/>
      <c r="N178" s="458"/>
      <c r="O178" s="458"/>
      <c r="P178" s="458"/>
    </row>
    <row r="179" spans="2:16" x14ac:dyDescent="0.35">
      <c r="B179" s="473"/>
      <c r="C179" s="477"/>
      <c r="D179" s="458"/>
      <c r="E179" s="458"/>
      <c r="F179" s="458"/>
      <c r="G179" s="458"/>
      <c r="H179" s="458"/>
      <c r="I179" s="458"/>
      <c r="J179" s="458"/>
      <c r="K179" s="458"/>
      <c r="L179" s="458"/>
      <c r="M179" s="458"/>
      <c r="N179" s="458"/>
      <c r="O179" s="458"/>
      <c r="P179" s="458"/>
    </row>
    <row r="180" spans="2:16" x14ac:dyDescent="0.35">
      <c r="B180" s="458"/>
      <c r="C180" s="458"/>
      <c r="D180" s="458"/>
      <c r="E180" s="458"/>
      <c r="F180" s="458"/>
      <c r="G180" s="458"/>
      <c r="H180" s="458"/>
      <c r="I180" s="458"/>
      <c r="J180" s="458"/>
      <c r="K180" s="458"/>
      <c r="L180" s="458"/>
      <c r="M180" s="458"/>
      <c r="N180" s="458"/>
      <c r="O180" s="458"/>
      <c r="P180" s="458"/>
    </row>
    <row r="181" spans="2:16" x14ac:dyDescent="0.35">
      <c r="B181" s="458"/>
      <c r="C181" s="458"/>
      <c r="D181" s="458"/>
      <c r="E181" s="458"/>
      <c r="F181" s="458"/>
      <c r="G181" s="458"/>
      <c r="H181" s="458"/>
      <c r="I181" s="458"/>
      <c r="J181" s="458"/>
      <c r="K181" s="458"/>
      <c r="L181" s="458"/>
      <c r="M181" s="458"/>
      <c r="N181" s="458"/>
      <c r="O181" s="458"/>
      <c r="P181" s="458"/>
    </row>
    <row r="182" spans="2:16" x14ac:dyDescent="0.35">
      <c r="B182" s="458"/>
      <c r="C182" s="458"/>
      <c r="D182" s="458"/>
      <c r="E182" s="458"/>
      <c r="F182" s="458"/>
      <c r="G182" s="458"/>
      <c r="H182" s="458"/>
      <c r="I182" s="458"/>
      <c r="J182" s="458"/>
      <c r="K182" s="458"/>
      <c r="L182" s="458"/>
      <c r="M182" s="458"/>
      <c r="N182" s="458"/>
      <c r="O182" s="458"/>
      <c r="P182" s="458"/>
    </row>
    <row r="183" spans="2:16" x14ac:dyDescent="0.35">
      <c r="B183" s="472"/>
      <c r="C183" s="470"/>
      <c r="D183" s="470"/>
      <c r="E183" s="470"/>
      <c r="F183" s="470"/>
      <c r="G183" s="470"/>
      <c r="H183" s="470"/>
      <c r="I183" s="470"/>
      <c r="J183" s="458"/>
      <c r="K183" s="458"/>
      <c r="L183" s="458"/>
      <c r="M183" s="458"/>
      <c r="N183" s="458"/>
      <c r="O183" s="458"/>
      <c r="P183" s="458"/>
    </row>
    <row r="184" spans="2:16" x14ac:dyDescent="0.35">
      <c r="B184" s="458"/>
      <c r="C184" s="458"/>
      <c r="D184" s="458"/>
      <c r="E184" s="458"/>
      <c r="F184" s="458"/>
      <c r="G184" s="458"/>
      <c r="H184" s="458"/>
      <c r="I184" s="458"/>
      <c r="J184" s="458"/>
      <c r="K184" s="458"/>
      <c r="L184" s="458"/>
      <c r="M184" s="458"/>
      <c r="N184" s="458"/>
      <c r="O184" s="458"/>
      <c r="P184" s="458"/>
    </row>
    <row r="185" spans="2:16" x14ac:dyDescent="0.35">
      <c r="B185" s="458"/>
      <c r="C185" s="458"/>
      <c r="D185" s="458"/>
      <c r="E185" s="458"/>
      <c r="F185" s="458"/>
      <c r="G185" s="458"/>
      <c r="H185" s="458"/>
      <c r="I185" s="458"/>
      <c r="J185" s="458"/>
      <c r="K185" s="458"/>
      <c r="L185" s="458"/>
      <c r="M185" s="458"/>
      <c r="N185" s="458"/>
      <c r="O185" s="458"/>
      <c r="P185" s="458"/>
    </row>
    <row r="186" spans="2:16" x14ac:dyDescent="0.35">
      <c r="B186" s="458"/>
      <c r="C186" s="458"/>
      <c r="D186" s="458"/>
      <c r="E186" s="458"/>
      <c r="F186" s="458"/>
      <c r="G186" s="458"/>
      <c r="H186" s="458"/>
      <c r="I186" s="458"/>
      <c r="J186" s="458"/>
      <c r="K186" s="458"/>
      <c r="L186" s="458"/>
      <c r="M186" s="458"/>
      <c r="N186" s="458"/>
      <c r="O186" s="458"/>
      <c r="P186" s="458"/>
    </row>
    <row r="187" spans="2:16" x14ac:dyDescent="0.35">
      <c r="B187" s="458"/>
      <c r="C187" s="458"/>
      <c r="D187" s="458"/>
      <c r="E187" s="458"/>
      <c r="F187" s="458"/>
      <c r="G187" s="458"/>
      <c r="H187" s="458"/>
      <c r="I187" s="458"/>
      <c r="J187" s="458"/>
      <c r="K187" s="458"/>
      <c r="L187" s="458"/>
      <c r="M187" s="458"/>
      <c r="N187" s="458"/>
      <c r="O187" s="458"/>
      <c r="P187" s="458"/>
    </row>
    <row r="188" spans="2:16" x14ac:dyDescent="0.35">
      <c r="B188" s="458"/>
      <c r="C188" s="458"/>
      <c r="D188" s="458"/>
      <c r="E188" s="458"/>
      <c r="F188" s="458"/>
      <c r="G188" s="458"/>
      <c r="H188" s="458"/>
      <c r="I188" s="458"/>
      <c r="J188" s="458"/>
      <c r="K188" s="458"/>
      <c r="L188" s="458"/>
      <c r="M188" s="458"/>
      <c r="N188" s="458"/>
      <c r="O188" s="458"/>
      <c r="P188" s="458"/>
    </row>
    <row r="189" spans="2:16" x14ac:dyDescent="0.35">
      <c r="B189" s="459"/>
      <c r="C189" s="458"/>
      <c r="D189" s="458"/>
      <c r="E189" s="458"/>
      <c r="F189" s="458"/>
      <c r="G189" s="458"/>
      <c r="H189" s="458"/>
      <c r="I189" s="458"/>
      <c r="J189" s="458"/>
      <c r="K189" s="458"/>
      <c r="L189" s="458"/>
      <c r="M189" s="458"/>
      <c r="N189" s="458"/>
      <c r="O189" s="458"/>
      <c r="P189" s="458"/>
    </row>
    <row r="190" spans="2:16" x14ac:dyDescent="0.35">
      <c r="B190" s="459"/>
      <c r="C190" s="458"/>
      <c r="D190" s="458"/>
      <c r="E190" s="458"/>
      <c r="F190" s="458"/>
      <c r="G190" s="458"/>
      <c r="H190" s="458"/>
      <c r="I190" s="458"/>
      <c r="J190" s="458"/>
      <c r="K190" s="458"/>
      <c r="L190" s="458"/>
      <c r="M190" s="458"/>
      <c r="N190" s="458"/>
      <c r="O190" s="458"/>
      <c r="P190" s="458"/>
    </row>
    <row r="191" spans="2:16" x14ac:dyDescent="0.35">
      <c r="B191" s="459"/>
      <c r="C191" s="458"/>
      <c r="D191" s="458"/>
      <c r="E191" s="458"/>
      <c r="F191" s="458"/>
      <c r="G191" s="458"/>
      <c r="H191" s="458"/>
      <c r="I191" s="458"/>
      <c r="J191" s="458"/>
      <c r="K191" s="458"/>
      <c r="L191" s="458"/>
      <c r="M191" s="458"/>
      <c r="N191" s="458"/>
      <c r="O191" s="458"/>
      <c r="P191" s="458"/>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new 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2021-11-23T22:54:52Z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