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m/data/"/>
    </mc:Choice>
  </mc:AlternateContent>
  <xr:revisionPtr revIDLastSave="0" documentId="13_ncr:1_{2D906FEA-ECB3-DC41-B3CE-8C40C2C0F076}" xr6:coauthVersionLast="47" xr6:coauthVersionMax="47" xr10:uidLastSave="{00000000-0000-0000-0000-000000000000}"/>
  <bookViews>
    <workbookView xWindow="1860" yWindow="760" windowWidth="33600" windowHeight="19720" xr2:uid="{BAFE3F49-3B7E-4387-938E-5F3D7AC6DAFE}"/>
  </bookViews>
  <sheets>
    <sheet name="main" sheetId="1" r:id="rId1"/>
    <sheet name="new ui" sheetId="18" r:id="rId2"/>
    <sheet name="PPP" sheetId="17" r:id="rId3"/>
    <sheet name="Stimulus Round 2" sheetId="16" r:id="rId4"/>
    <sheet name="add-ons calculations" sheetId="5" r:id="rId5"/>
    <sheet name="FIM Add Factors" sheetId="9" r:id="rId6"/>
    <sheet name="main_nipas" sheetId="10" r:id="rId7"/>
    <sheet name="add-ons calculations nipas" sheetId="11" r:id="rId8"/>
    <sheet name="NIPA Add Factors" sheetId="12" r:id="rId9"/>
    <sheet name="Haver NA" sheetId="14" r:id="rId10"/>
    <sheet name="ui" sheetId="13" r:id="rId11"/>
    <sheet name="MPC" sheetId="8" r:id="rId12"/>
    <sheet name="MPC - round (2)" sheetId="15" r:id="rId13"/>
    <sheet name="figuring out Medicaid" sheetId="7" r:id="rId14"/>
    <sheet name="add-ons - Kadija b4" sheetId="6" state="hidden" r:id="rId15"/>
    <sheet name="figuring out UI" sheetId="4" r:id="rId16"/>
    <sheet name="figuring NIPA tax changes" sheetId="3" r:id="rId17"/>
    <sheet name="figuring out social benefits" sheetId="2" r:id="rId18"/>
  </sheets>
  <externalReferences>
    <externalReference r:id="rId1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3" i="1" l="1"/>
  <c r="R43" i="1"/>
  <c r="S43" i="1"/>
  <c r="T43" i="1"/>
  <c r="U43" i="1"/>
  <c r="P43" i="1"/>
  <c r="V43" i="1"/>
  <c r="W43" i="1"/>
  <c r="X43" i="1"/>
  <c r="X46" i="1"/>
  <c r="W46" i="1"/>
  <c r="Q46" i="1"/>
  <c r="R46" i="1"/>
  <c r="S46" i="1"/>
  <c r="T46" i="1"/>
  <c r="U46" i="1"/>
  <c r="V46" i="1"/>
  <c r="P46" i="1"/>
  <c r="N46" i="18"/>
  <c r="M46" i="18"/>
  <c r="L46" i="18"/>
  <c r="K46" i="18"/>
  <c r="J46" i="18"/>
  <c r="I46" i="18"/>
  <c r="H46" i="18"/>
  <c r="G46" i="18"/>
  <c r="F46" i="18"/>
  <c r="E46" i="18"/>
  <c r="D46" i="18"/>
  <c r="C46" i="18"/>
  <c r="G30" i="18"/>
  <c r="G31" i="18" s="1"/>
  <c r="H31" i="18" s="1"/>
  <c r="I31" i="18" s="1"/>
  <c r="J31" i="18" s="1"/>
  <c r="K31" i="18" s="1"/>
  <c r="L31" i="18" s="1"/>
  <c r="M31" i="18" s="1"/>
  <c r="N31" i="18" s="1"/>
  <c r="O31" i="18" s="1"/>
  <c r="P31" i="18" s="1"/>
  <c r="G29" i="18"/>
  <c r="F29" i="18"/>
  <c r="F30" i="18" s="1"/>
  <c r="F31" i="18" s="1"/>
  <c r="E29" i="18"/>
  <c r="E30" i="18" s="1"/>
  <c r="E31" i="18" s="1"/>
  <c r="D29" i="18"/>
  <c r="D30" i="18" s="1"/>
  <c r="I28" i="18"/>
  <c r="J28" i="18" s="1"/>
  <c r="G28" i="18"/>
  <c r="F28" i="18"/>
  <c r="E28" i="18"/>
  <c r="G27" i="18"/>
  <c r="F27" i="18"/>
  <c r="E27" i="18"/>
  <c r="D27" i="18"/>
  <c r="D31" i="18" s="1"/>
  <c r="C27" i="18"/>
  <c r="C31" i="18" s="1"/>
  <c r="B27" i="18"/>
  <c r="B31" i="18" s="1"/>
  <c r="C13" i="18"/>
  <c r="C14" i="18" s="1"/>
  <c r="K28" i="18" l="1"/>
  <c r="J30" i="18"/>
  <c r="J27" i="18" s="1"/>
  <c r="I30" i="18"/>
  <c r="H30" i="18"/>
  <c r="H27" i="18" l="1"/>
  <c r="I27" i="18"/>
  <c r="L28" i="18"/>
  <c r="K30" i="18"/>
  <c r="K27" i="18" s="1"/>
  <c r="R36" i="18" l="1"/>
  <c r="L30" i="18"/>
  <c r="L27" i="18" s="1"/>
  <c r="M28" i="18"/>
  <c r="N28" i="18" l="1"/>
  <c r="M30" i="18"/>
  <c r="M27" i="18" s="1"/>
  <c r="N30" i="18" l="1"/>
  <c r="N27" i="18" s="1"/>
  <c r="O28" i="18"/>
  <c r="O30" i="18" s="1"/>
  <c r="O27" i="18" s="1"/>
  <c r="V54" i="1" l="1"/>
  <c r="P55" i="1"/>
  <c r="P64" i="1" l="1"/>
  <c r="Q63" i="1"/>
  <c r="P63" i="1"/>
  <c r="Q111" i="1" l="1"/>
  <c r="R111" i="1"/>
  <c r="S111" i="1"/>
  <c r="T111" i="1"/>
  <c r="U111" i="1"/>
  <c r="U113" i="1" s="1"/>
  <c r="V111" i="1"/>
  <c r="V113" i="1" s="1"/>
  <c r="Q113" i="1"/>
  <c r="R113" i="1"/>
  <c r="S113" i="1"/>
  <c r="T113" i="1"/>
  <c r="P111" i="1"/>
  <c r="P95" i="1"/>
  <c r="AA69" i="5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E62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E55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F48" i="5"/>
  <c r="G48" i="5"/>
  <c r="H48" i="5"/>
  <c r="I48" i="5"/>
  <c r="J48" i="5"/>
  <c r="K48" i="5"/>
  <c r="L48" i="5"/>
  <c r="E48" i="5"/>
  <c r="F42" i="5"/>
  <c r="G42" i="5"/>
  <c r="H42" i="5"/>
  <c r="I42" i="5"/>
  <c r="J42" i="5"/>
  <c r="K42" i="5"/>
  <c r="E42" i="5"/>
  <c r="F36" i="5"/>
  <c r="G36" i="5"/>
  <c r="H36" i="5"/>
  <c r="I36" i="5"/>
  <c r="J36" i="5"/>
  <c r="K36" i="5"/>
  <c r="E36" i="5"/>
  <c r="X29" i="5"/>
  <c r="Y29" i="5"/>
  <c r="Z29" i="5"/>
  <c r="AA29" i="5"/>
  <c r="M29" i="5"/>
  <c r="N29" i="5"/>
  <c r="O29" i="5"/>
  <c r="P29" i="5"/>
  <c r="Q29" i="5"/>
  <c r="R29" i="5"/>
  <c r="S29" i="5"/>
  <c r="T29" i="5"/>
  <c r="U29" i="5"/>
  <c r="V29" i="5"/>
  <c r="W29" i="5"/>
  <c r="F29" i="5"/>
  <c r="G29" i="5"/>
  <c r="H29" i="5"/>
  <c r="I29" i="5"/>
  <c r="J29" i="5"/>
  <c r="K29" i="5"/>
  <c r="L29" i="5"/>
  <c r="E29" i="5"/>
  <c r="X22" i="5"/>
  <c r="Y22" i="5"/>
  <c r="Z22" i="5"/>
  <c r="AA22" i="5"/>
  <c r="T22" i="5"/>
  <c r="U22" i="5"/>
  <c r="V22" i="5"/>
  <c r="W22" i="5"/>
  <c r="M22" i="5"/>
  <c r="N22" i="5"/>
  <c r="O22" i="5"/>
  <c r="P22" i="5"/>
  <c r="Q22" i="5"/>
  <c r="R22" i="5"/>
  <c r="S22" i="5"/>
  <c r="F22" i="5"/>
  <c r="G22" i="5"/>
  <c r="H22" i="5"/>
  <c r="I22" i="5"/>
  <c r="J22" i="5"/>
  <c r="K22" i="5"/>
  <c r="L22" i="5"/>
  <c r="E22" i="5"/>
  <c r="J16" i="9"/>
  <c r="J15" i="9"/>
  <c r="J14" i="9"/>
  <c r="F21" i="5"/>
  <c r="O106" i="1" l="1"/>
  <c r="O103" i="1"/>
  <c r="O100" i="1"/>
  <c r="O97" i="1"/>
  <c r="O93" i="1"/>
  <c r="O86" i="1"/>
  <c r="O85" i="1"/>
  <c r="O72" i="1"/>
  <c r="O68" i="1"/>
  <c r="O61" i="1"/>
  <c r="O60" i="1"/>
  <c r="O57" i="1"/>
  <c r="O54" i="1"/>
  <c r="O41" i="1"/>
  <c r="O35" i="1"/>
  <c r="O34" i="1"/>
  <c r="N34" i="1" l="1"/>
  <c r="N29" i="1"/>
  <c r="O29" i="1"/>
  <c r="O28" i="1"/>
  <c r="O27" i="1"/>
  <c r="O21" i="1"/>
  <c r="N18" i="1"/>
  <c r="O18" i="1"/>
  <c r="O15" i="1"/>
  <c r="O12" i="1"/>
  <c r="N12" i="1"/>
  <c r="O7" i="1"/>
  <c r="O8" i="1" s="1"/>
  <c r="O5" i="1"/>
  <c r="N5" i="1"/>
  <c r="F11" i="1"/>
  <c r="G11" i="1"/>
  <c r="H11" i="1"/>
  <c r="I11" i="1"/>
  <c r="J11" i="1"/>
  <c r="K11" i="1"/>
  <c r="L11" i="1"/>
  <c r="AC12" i="1"/>
  <c r="AD12" i="1"/>
  <c r="AG12" i="1"/>
  <c r="N15" i="1"/>
  <c r="AC15" i="1"/>
  <c r="AD15" i="1"/>
  <c r="AG15" i="1"/>
  <c r="AC18" i="1"/>
  <c r="AD18" i="1"/>
  <c r="AG18" i="1"/>
  <c r="N21" i="1"/>
  <c r="AC21" i="1"/>
  <c r="AD21" i="1"/>
  <c r="AG21" i="1"/>
  <c r="G6" i="1"/>
  <c r="H6" i="1"/>
  <c r="I6" i="1"/>
  <c r="J6" i="1"/>
  <c r="K6" i="1"/>
  <c r="L6" i="1"/>
  <c r="N7" i="1"/>
  <c r="G8" i="1"/>
  <c r="H8" i="1"/>
  <c r="I8" i="1"/>
  <c r="J8" i="1"/>
  <c r="K8" i="1"/>
  <c r="L8" i="1"/>
  <c r="F26" i="1"/>
  <c r="G26" i="1"/>
  <c r="H26" i="1"/>
  <c r="I26" i="1"/>
  <c r="J26" i="1"/>
  <c r="K26" i="1"/>
  <c r="L26" i="1"/>
  <c r="N27" i="1"/>
  <c r="N28" i="1"/>
  <c r="F31" i="1"/>
  <c r="G31" i="1"/>
  <c r="H31" i="1"/>
  <c r="I31" i="1"/>
  <c r="J31" i="1"/>
  <c r="K31" i="1"/>
  <c r="L31" i="1"/>
  <c r="O6" i="1" l="1"/>
  <c r="P21" i="1"/>
  <c r="Q21" i="1" s="1"/>
  <c r="R21" i="1" s="1"/>
  <c r="S21" i="1" s="1"/>
  <c r="P18" i="1"/>
  <c r="Q18" i="1" s="1"/>
  <c r="R18" i="1" s="1"/>
  <c r="S18" i="1" s="1"/>
  <c r="T18" i="1" s="1"/>
  <c r="U18" i="1" s="1"/>
  <c r="V18" i="1" s="1"/>
  <c r="P15" i="1"/>
  <c r="Q15" i="1" s="1"/>
  <c r="R15" i="1" s="1"/>
  <c r="S15" i="1" s="1"/>
  <c r="T15" i="1" s="1"/>
  <c r="U15" i="1" s="1"/>
  <c r="V15" i="1" s="1"/>
  <c r="P7" i="1"/>
  <c r="Q7" i="1" s="1"/>
  <c r="R7" i="1" s="1"/>
  <c r="S7" i="1" s="1"/>
  <c r="T7" i="1" s="1"/>
  <c r="U7" i="1" s="1"/>
  <c r="V7" i="1" s="1"/>
  <c r="W7" i="1" s="1"/>
  <c r="X7" i="1" s="1"/>
  <c r="Y7" i="1" s="1"/>
  <c r="Z7" i="1" s="1"/>
  <c r="P29" i="1"/>
  <c r="Q29" i="1" s="1"/>
  <c r="R29" i="1" s="1"/>
  <c r="S29" i="1" s="1"/>
  <c r="T29" i="1" s="1"/>
  <c r="U29" i="1" s="1"/>
  <c r="V29" i="1" s="1"/>
  <c r="P28" i="1"/>
  <c r="Q28" i="1" s="1"/>
  <c r="R28" i="1" s="1"/>
  <c r="S28" i="1" s="1"/>
  <c r="T28" i="1" s="1"/>
  <c r="U28" i="1" s="1"/>
  <c r="V28" i="1" s="1"/>
  <c r="P5" i="1"/>
  <c r="Q5" i="1" s="1"/>
  <c r="R5" i="1" s="1"/>
  <c r="S5" i="1" s="1"/>
  <c r="T5" i="1" s="1"/>
  <c r="U5" i="1" s="1"/>
  <c r="V5" i="1" s="1"/>
  <c r="W5" i="1" s="1"/>
  <c r="X5" i="1" s="1"/>
  <c r="Y5" i="1" s="1"/>
  <c r="Z5" i="1" s="1"/>
  <c r="O11" i="1"/>
  <c r="P12" i="1"/>
  <c r="N11" i="1"/>
  <c r="AE18" i="1"/>
  <c r="N8" i="1"/>
  <c r="N6" i="1"/>
  <c r="N30" i="1" s="1"/>
  <c r="N31" i="1" s="1"/>
  <c r="N26" i="1"/>
  <c r="T21" i="1" l="1"/>
  <c r="U21" i="1" s="1"/>
  <c r="V21" i="1" s="1"/>
  <c r="AF21" i="1"/>
  <c r="AE21" i="1"/>
  <c r="AE15" i="1"/>
  <c r="AF15" i="1"/>
  <c r="P11" i="1"/>
  <c r="Q12" i="1"/>
  <c r="AF18" i="1"/>
  <c r="O30" i="1"/>
  <c r="P30" i="1" s="1"/>
  <c r="Q30" i="1" s="1"/>
  <c r="R30" i="1" s="1"/>
  <c r="S30" i="1" s="1"/>
  <c r="T30" i="1" s="1"/>
  <c r="U30" i="1" s="1"/>
  <c r="V30" i="1" s="1"/>
  <c r="O26" i="1"/>
  <c r="P27" i="1"/>
  <c r="B14" i="17"/>
  <c r="B15" i="17" s="1"/>
  <c r="C9" i="17"/>
  <c r="H7" i="17"/>
  <c r="E6" i="17"/>
  <c r="F6" i="17"/>
  <c r="G6" i="17"/>
  <c r="H6" i="17"/>
  <c r="I6" i="17"/>
  <c r="D6" i="17"/>
  <c r="D5" i="17"/>
  <c r="E5" i="17"/>
  <c r="F5" i="17"/>
  <c r="G5" i="17"/>
  <c r="H5" i="17"/>
  <c r="H9" i="17" s="1"/>
  <c r="C5" i="17"/>
  <c r="C4" i="17"/>
  <c r="D4" i="17"/>
  <c r="D9" i="17" s="1"/>
  <c r="E4" i="17"/>
  <c r="F4" i="17"/>
  <c r="G4" i="17"/>
  <c r="B4" i="17"/>
  <c r="B9" i="17" s="1"/>
  <c r="B12" i="17" s="1"/>
  <c r="B13" i="17" s="1"/>
  <c r="E2" i="17"/>
  <c r="E7" i="17" s="1"/>
  <c r="E9" i="17" l="1"/>
  <c r="F9" i="17"/>
  <c r="G7" i="17"/>
  <c r="G9" i="17" s="1"/>
  <c r="J7" i="17"/>
  <c r="J9" i="17" s="1"/>
  <c r="I7" i="17"/>
  <c r="I9" i="17" s="1"/>
  <c r="D12" i="17" s="1"/>
  <c r="D13" i="17" s="1"/>
  <c r="F7" i="17"/>
  <c r="C14" i="17"/>
  <c r="C15" i="17" s="1"/>
  <c r="Q11" i="1"/>
  <c r="R12" i="1"/>
  <c r="AE12" i="1"/>
  <c r="P26" i="1"/>
  <c r="Q27" i="1"/>
  <c r="C12" i="17" l="1"/>
  <c r="C13" i="17" s="1"/>
  <c r="R11" i="1"/>
  <c r="S12" i="1"/>
  <c r="Q26" i="1"/>
  <c r="R27" i="1"/>
  <c r="M72" i="1"/>
  <c r="L72" i="1"/>
  <c r="O11" i="9"/>
  <c r="O12" i="9"/>
  <c r="O13" i="9"/>
  <c r="O10" i="9"/>
  <c r="O7" i="9"/>
  <c r="O8" i="9"/>
  <c r="O9" i="9"/>
  <c r="O6" i="9"/>
  <c r="T12" i="1" l="1"/>
  <c r="S11" i="1"/>
  <c r="S27" i="1"/>
  <c r="R26" i="1"/>
  <c r="L73" i="1"/>
  <c r="T11" i="1" l="1"/>
  <c r="U12" i="1"/>
  <c r="AF12" i="1" s="1"/>
  <c r="S26" i="1"/>
  <c r="T27" i="1"/>
  <c r="L69" i="1"/>
  <c r="V12" i="1" l="1"/>
  <c r="V11" i="1" s="1"/>
  <c r="U11" i="1"/>
  <c r="T26" i="1"/>
  <c r="U27" i="1"/>
  <c r="M3" i="9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V27" i="1" l="1"/>
  <c r="V26" i="1" s="1"/>
  <c r="U26" i="1"/>
  <c r="M73" i="1"/>
  <c r="M83" i="1" s="1"/>
  <c r="N73" i="1"/>
  <c r="D22" i="5"/>
  <c r="D29" i="5"/>
  <c r="D36" i="5"/>
  <c r="D42" i="5"/>
  <c r="D48" i="5"/>
  <c r="D55" i="5"/>
  <c r="O74" i="1"/>
  <c r="P74" i="1"/>
  <c r="Q74" i="1"/>
  <c r="R74" i="1"/>
  <c r="S74" i="1"/>
  <c r="M13" i="4" l="1"/>
  <c r="M12" i="4"/>
  <c r="M11" i="4"/>
  <c r="M10" i="4"/>
  <c r="T74" i="1"/>
  <c r="U74" i="1"/>
  <c r="V74" i="1"/>
  <c r="W74" i="1"/>
  <c r="X74" i="1"/>
  <c r="Y74" i="1"/>
  <c r="Z74" i="1"/>
  <c r="L12" i="9"/>
  <c r="L11" i="9"/>
  <c r="L10" i="9"/>
  <c r="L9" i="9"/>
  <c r="F28" i="5" l="1"/>
  <c r="F35" i="5"/>
  <c r="E41" i="5"/>
  <c r="F41" i="5"/>
  <c r="F47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L102" i="1"/>
  <c r="N104" i="1" l="1"/>
  <c r="N108" i="1"/>
  <c r="N95" i="1"/>
  <c r="G35" i="5"/>
  <c r="G37" i="5" s="1"/>
  <c r="N102" i="1"/>
  <c r="N98" i="1"/>
  <c r="O98" i="1" s="1"/>
  <c r="P98" i="1" s="1"/>
  <c r="Q98" i="1" s="1"/>
  <c r="R98" i="1" s="1"/>
  <c r="S98" i="1" s="1"/>
  <c r="N112" i="1"/>
  <c r="G21" i="5" s="1"/>
  <c r="N70" i="1"/>
  <c r="N71" i="1" s="1"/>
  <c r="N58" i="1"/>
  <c r="N47" i="1"/>
  <c r="N40" i="1"/>
  <c r="G41" i="5"/>
  <c r="G43" i="5" s="1"/>
  <c r="N88" i="1"/>
  <c r="O71" i="1" l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83" i="1"/>
  <c r="F24" i="5"/>
  <c r="G47" i="5"/>
  <c r="G50" i="5" s="1"/>
  <c r="N55" i="1"/>
  <c r="N50" i="1"/>
  <c r="O26" i="4"/>
  <c r="N26" i="4"/>
  <c r="L112" i="1"/>
  <c r="E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C8" i="16"/>
  <c r="C7" i="16"/>
  <c r="C14" i="16"/>
  <c r="C12" i="16"/>
  <c r="Q64" i="1" s="1"/>
  <c r="C11" i="16"/>
  <c r="C6" i="16"/>
  <c r="C5" i="16"/>
  <c r="C4" i="16"/>
  <c r="O37" i="1" s="1"/>
  <c r="P5" i="9" s="1"/>
  <c r="C3" i="16"/>
  <c r="O45" i="1" s="1"/>
  <c r="C2" i="16"/>
  <c r="AD93" i="1"/>
  <c r="AC93" i="1"/>
  <c r="AI93" i="1"/>
  <c r="AJ93" i="1"/>
  <c r="AK93" i="1"/>
  <c r="W94" i="1"/>
  <c r="X94" i="1"/>
  <c r="Y94" i="1"/>
  <c r="Z94" i="1"/>
  <c r="O92" i="1" l="1"/>
  <c r="P92" i="1"/>
  <c r="Q92" i="1"/>
  <c r="R92" i="1"/>
  <c r="P91" i="1"/>
  <c r="Q91" i="1"/>
  <c r="R91" i="1"/>
  <c r="O91" i="1"/>
  <c r="T80" i="1"/>
  <c r="O80" i="1"/>
  <c r="O90" i="1"/>
  <c r="P90" i="1"/>
  <c r="Q90" i="1"/>
  <c r="R90" i="1"/>
  <c r="P79" i="1"/>
  <c r="O79" i="1"/>
  <c r="W79" i="1"/>
  <c r="W80" i="1"/>
  <c r="T66" i="1"/>
  <c r="X80" i="1"/>
  <c r="Z80" i="1"/>
  <c r="X79" i="1"/>
  <c r="V81" i="1"/>
  <c r="Y79" i="1"/>
  <c r="W81" i="1"/>
  <c r="Z79" i="1"/>
  <c r="X81" i="1"/>
  <c r="Y80" i="1"/>
  <c r="Y81" i="1"/>
  <c r="P80" i="1"/>
  <c r="Z81" i="1"/>
  <c r="Q80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U66" i="1"/>
  <c r="V66" i="1"/>
  <c r="O39" i="1"/>
  <c r="O66" i="1"/>
  <c r="P39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O55" i="1" l="1"/>
  <c r="R89" i="1"/>
  <c r="Q89" i="1"/>
  <c r="P89" i="1"/>
  <c r="O89" i="1"/>
  <c r="V78" i="1"/>
  <c r="V73" i="1" s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L35" i="1"/>
  <c r="AK35" i="1"/>
  <c r="AJ35" i="1"/>
  <c r="AI35" i="1"/>
  <c r="H50" i="1"/>
  <c r="W56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35" i="1" l="1"/>
  <c r="Q35" i="1" s="1"/>
  <c r="R35" i="1" s="1"/>
  <c r="L4" i="10"/>
  <c r="G38" i="11" s="1"/>
  <c r="G41" i="11" s="1"/>
  <c r="Q70" i="5"/>
  <c r="R70" i="5"/>
  <c r="P57" i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M63" i="5"/>
  <c r="T17" i="4"/>
  <c r="U17" i="4"/>
  <c r="V17" i="4"/>
  <c r="W17" i="4"/>
  <c r="N4" i="10" l="1"/>
  <c r="I38" i="11" s="1"/>
  <c r="I41" i="11" s="1"/>
  <c r="N30" i="5"/>
  <c r="M30" i="5"/>
  <c r="W18" i="4"/>
  <c r="M12" i="9" s="1"/>
  <c r="K12" i="9" s="1"/>
  <c r="V18" i="4"/>
  <c r="M11" i="9" s="1"/>
  <c r="K11" i="9" s="1"/>
  <c r="U18" i="4"/>
  <c r="M10" i="9" s="1"/>
  <c r="K10" i="9" s="1"/>
  <c r="T18" i="4"/>
  <c r="M9" i="9" s="1"/>
  <c r="K9" i="9" s="1"/>
  <c r="F29" i="4"/>
  <c r="V33" i="4"/>
  <c r="V26" i="4" s="1"/>
  <c r="U33" i="4"/>
  <c r="U26" i="4" s="1"/>
  <c r="T33" i="4"/>
  <c r="T26" i="4" s="1"/>
  <c r="S33" i="4"/>
  <c r="S37" i="4" s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E35" i="5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U38" i="11" l="1"/>
  <c r="T41" i="11"/>
  <c r="X61" i="5"/>
  <c r="W64" i="5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P103" i="1"/>
  <c r="Q103" i="1" s="1"/>
  <c r="R103" i="1" s="1"/>
  <c r="S103" i="1" s="1"/>
  <c r="T103" i="1" s="1"/>
  <c r="U103" i="1" s="1"/>
  <c r="V103" i="1" s="1"/>
  <c r="AD100" i="1"/>
  <c r="F111" i="1"/>
  <c r="F113" i="1" s="1"/>
  <c r="L47" i="1"/>
  <c r="L15" i="7" l="1"/>
  <c r="L13" i="7" s="1"/>
  <c r="L6" i="10"/>
  <c r="G24" i="11" s="1"/>
  <c r="G27" i="1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O95" i="1" l="1"/>
  <c r="O70" i="1"/>
  <c r="M6" i="10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L71" i="5" l="1"/>
  <c r="J9" i="9"/>
  <c r="R6" i="10"/>
  <c r="M24" i="11" s="1"/>
  <c r="N24" i="11" s="1"/>
  <c r="T93" i="1"/>
  <c r="I56" i="6"/>
  <c r="I58" i="6" s="1"/>
  <c r="J54" i="6"/>
  <c r="U100" i="1"/>
  <c r="T83" i="1"/>
  <c r="M68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M71" i="5" l="1"/>
  <c r="J10" i="9"/>
  <c r="S6" i="10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O83" i="1"/>
  <c r="P83" i="1"/>
  <c r="Q83" i="1"/>
  <c r="R83" i="1"/>
  <c r="P54" i="1"/>
  <c r="Q54" i="1"/>
  <c r="R54" i="1"/>
  <c r="F71" i="5"/>
  <c r="D69" i="5"/>
  <c r="D62" i="5"/>
  <c r="L56" i="5"/>
  <c r="P36" i="1"/>
  <c r="O36" i="1"/>
  <c r="N71" i="5" l="1"/>
  <c r="J11" i="9"/>
  <c r="T6" i="10"/>
  <c r="V93" i="1"/>
  <c r="V112" i="1" s="1"/>
  <c r="O21" i="5" s="1"/>
  <c r="P21" i="5" s="1"/>
  <c r="Q21" i="5" s="1"/>
  <c r="R21" i="5" s="1"/>
  <c r="S21" i="5" s="1"/>
  <c r="T21" i="5" s="1"/>
  <c r="U21" i="5" s="1"/>
  <c r="V21" i="5" s="1"/>
  <c r="W21" i="5" s="1"/>
  <c r="X21" i="5" s="1"/>
  <c r="Y21" i="5" s="1"/>
  <c r="Z21" i="5" s="1"/>
  <c r="AA21" i="5" s="1"/>
  <c r="P24" i="11"/>
  <c r="O27" i="11"/>
  <c r="L49" i="5"/>
  <c r="V83" i="1"/>
  <c r="O68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O71" i="5" l="1"/>
  <c r="J12" i="9"/>
  <c r="W83" i="1"/>
  <c r="P68" i="5" s="1"/>
  <c r="H2" i="12" a="1"/>
  <c r="H12" i="12" s="1"/>
  <c r="Q24" i="11"/>
  <c r="P27" i="11"/>
  <c r="H3" i="9" a="1"/>
  <c r="P71" i="5" l="1"/>
  <c r="J13" i="9"/>
  <c r="X83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J17" i="9" s="1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J18" i="9" s="1"/>
  <c r="T71" i="5"/>
  <c r="AE47" i="1"/>
  <c r="AF47" i="1"/>
  <c r="X42" i="2"/>
  <c r="F47" i="2"/>
  <c r="X41" i="2"/>
  <c r="X40" i="2"/>
  <c r="X38" i="2"/>
  <c r="X37" i="2"/>
  <c r="X36" i="2"/>
  <c r="X35" i="2"/>
  <c r="X34" i="2"/>
  <c r="L50" i="1"/>
  <c r="K50" i="1"/>
  <c r="J50" i="1"/>
  <c r="AD47" i="1"/>
  <c r="G48" i="2"/>
  <c r="AI47" i="1" s="1"/>
  <c r="AI52" i="1" s="1"/>
  <c r="AD36" i="1"/>
  <c r="S18" i="4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J19" i="9" s="1"/>
  <c r="U71" i="5"/>
  <c r="G47" i="2"/>
  <c r="G32" i="4"/>
  <c r="G33" i="4" s="1"/>
  <c r="K38" i="4"/>
  <c r="K18" i="4" s="1"/>
  <c r="G49" i="2"/>
  <c r="G50" i="2" s="1"/>
  <c r="X43" i="2"/>
  <c r="AF46" i="1"/>
  <c r="Q18" i="4"/>
  <c r="M6" i="9" s="1"/>
  <c r="S17" i="4"/>
  <c r="L26" i="4"/>
  <c r="M26" i="4"/>
  <c r="M28" i="4"/>
  <c r="Q17" i="4" l="1"/>
  <c r="P42" i="1" s="1"/>
  <c r="L6" i="9" s="1"/>
  <c r="W24" i="11"/>
  <c r="V27" i="11"/>
  <c r="R17" i="4"/>
  <c r="Q42" i="1" s="1"/>
  <c r="L7" i="9" s="1"/>
  <c r="P17" i="4"/>
  <c r="O43" i="1" s="1"/>
  <c r="O42" i="1" s="1"/>
  <c r="O17" i="4"/>
  <c r="N43" i="1" s="1"/>
  <c r="W68" i="5"/>
  <c r="J20" i="9" s="1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M7" i="9" s="1"/>
  <c r="K7" i="9" l="1"/>
  <c r="N42" i="1"/>
  <c r="N94" i="1" s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J21" i="9" s="1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J22" i="9" s="1"/>
  <c r="X71" i="5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J23" i="9" s="1"/>
  <c r="Y71" i="5"/>
  <c r="AC68" i="1"/>
  <c r="AC54" i="1"/>
  <c r="AC35" i="1"/>
  <c r="AC34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Z71" i="5"/>
  <c r="AJ34" i="1"/>
  <c r="AJ50" i="1" s="1"/>
  <c r="AK34" i="1"/>
  <c r="AK50" i="1" s="1"/>
  <c r="AA71" i="5" l="1"/>
  <c r="J24" i="9"/>
  <c r="B2" i="12" a="1"/>
  <c r="B2" i="12" s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AD50" i="1"/>
  <c r="AO50" i="1" s="1"/>
  <c r="AE35" i="1"/>
  <c r="F54" i="5" l="1"/>
  <c r="F57" i="5" s="1"/>
  <c r="AN50" i="1"/>
  <c r="AF35" i="1"/>
  <c r="G68" i="5" l="1"/>
  <c r="G71" i="5" l="1"/>
  <c r="J4" i="9"/>
  <c r="O112" i="1"/>
  <c r="H68" i="5"/>
  <c r="H47" i="5"/>
  <c r="H50" i="5" s="1"/>
  <c r="G24" i="5" l="1"/>
  <c r="H21" i="5"/>
  <c r="H71" i="5"/>
  <c r="J5" i="9"/>
  <c r="I68" i="5"/>
  <c r="P112" i="1"/>
  <c r="I47" i="5"/>
  <c r="I50" i="5" s="1"/>
  <c r="I71" i="5" l="1"/>
  <c r="J6" i="9"/>
  <c r="H24" i="5"/>
  <c r="I21" i="5"/>
  <c r="J68" i="5"/>
  <c r="Q112" i="1"/>
  <c r="Q95" i="1"/>
  <c r="J47" i="5" s="1"/>
  <c r="J71" i="5" l="1"/>
  <c r="J7" i="9"/>
  <c r="I24" i="5"/>
  <c r="J21" i="5"/>
  <c r="K47" i="5"/>
  <c r="K50" i="5" s="1"/>
  <c r="J50" i="5"/>
  <c r="K68" i="5"/>
  <c r="R95" i="1"/>
  <c r="R112" i="1"/>
  <c r="K71" i="5" l="1"/>
  <c r="J8" i="9"/>
  <c r="J24" i="5"/>
  <c r="K21" i="5"/>
  <c r="L47" i="5"/>
  <c r="M47" i="5" s="1"/>
  <c r="N47" i="5" s="1"/>
  <c r="O47" i="5" s="1"/>
  <c r="P47" i="5" s="1"/>
  <c r="I3" i="9" a="1"/>
  <c r="I5" i="9" s="1"/>
  <c r="I2" i="12" a="1"/>
  <c r="S112" i="1"/>
  <c r="S95" i="1"/>
  <c r="K24" i="5" l="1"/>
  <c r="L21" i="5"/>
  <c r="O50" i="5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T95" i="1"/>
  <c r="M50" i="5" s="1"/>
  <c r="L24" i="5" l="1"/>
  <c r="M21" i="5"/>
  <c r="R47" i="5"/>
  <c r="Q50" i="5"/>
  <c r="U95" i="1"/>
  <c r="N50" i="5" s="1"/>
  <c r="U112" i="1"/>
  <c r="N21" i="5" s="1"/>
  <c r="M24" i="5" l="1"/>
  <c r="S47" i="5"/>
  <c r="R50" i="5"/>
  <c r="N24" i="5" l="1"/>
  <c r="S50" i="5"/>
  <c r="T47" i="5"/>
  <c r="O111" i="1" l="1"/>
  <c r="M5" i="10"/>
  <c r="H31" i="11" s="1"/>
  <c r="H34" i="11" s="1"/>
  <c r="L5" i="10"/>
  <c r="G31" i="11" s="1"/>
  <c r="G34" i="11" s="1"/>
  <c r="O24" i="5"/>
  <c r="T50" i="5"/>
  <c r="U47" i="5"/>
  <c r="P97" i="1"/>
  <c r="O113" i="1" l="1"/>
  <c r="H28" i="5" s="1"/>
  <c r="H31" i="5" s="1"/>
  <c r="N5" i="10"/>
  <c r="I31" i="11" s="1"/>
  <c r="I34" i="11" s="1"/>
  <c r="P24" i="5"/>
  <c r="U50" i="5"/>
  <c r="V47" i="5"/>
  <c r="Q97" i="1"/>
  <c r="P113" i="1" l="1"/>
  <c r="I28" i="5" s="1"/>
  <c r="I31" i="5" s="1"/>
  <c r="O5" i="10"/>
  <c r="J31" i="11" s="1"/>
  <c r="J34" i="11" s="1"/>
  <c r="Q24" i="5"/>
  <c r="W47" i="5"/>
  <c r="V50" i="5"/>
  <c r="R97" i="1"/>
  <c r="J28" i="5" l="1"/>
  <c r="J31" i="5" s="1"/>
  <c r="P5" i="10"/>
  <c r="K31" i="11" s="1"/>
  <c r="K34" i="11" s="1"/>
  <c r="R24" i="5"/>
  <c r="X47" i="5"/>
  <c r="W50" i="5"/>
  <c r="S97" i="1"/>
  <c r="T98" i="1"/>
  <c r="K28" i="5" l="1"/>
  <c r="K31" i="5" s="1"/>
  <c r="Q5" i="10"/>
  <c r="L31" i="11" s="1"/>
  <c r="S24" i="5"/>
  <c r="Y47" i="5"/>
  <c r="X50" i="5"/>
  <c r="T97" i="1"/>
  <c r="U98" i="1"/>
  <c r="L28" i="5" l="1"/>
  <c r="L34" i="11"/>
  <c r="M31" i="11"/>
  <c r="R5" i="10"/>
  <c r="U97" i="1"/>
  <c r="V98" i="1"/>
  <c r="V97" i="1" s="1"/>
  <c r="T24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T5" i="10"/>
  <c r="S5" i="10"/>
  <c r="U24" i="5"/>
  <c r="AA47" i="5"/>
  <c r="AA50" i="5" s="1"/>
  <c r="Z50" i="5"/>
  <c r="M31" i="5" l="1"/>
  <c r="N31" i="5"/>
  <c r="O31" i="5"/>
  <c r="O31" i="11"/>
  <c r="N34" i="11"/>
  <c r="V24" i="5"/>
  <c r="P31" i="5"/>
  <c r="F3" i="9" a="1"/>
  <c r="O34" i="11" l="1"/>
  <c r="P31" i="11"/>
  <c r="W24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R31" i="5"/>
  <c r="Q34" i="11" l="1"/>
  <c r="R31" i="11"/>
  <c r="Y24" i="5"/>
  <c r="S31" i="5"/>
  <c r="R34" i="11" l="1"/>
  <c r="S31" i="11"/>
  <c r="AA24" i="5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M3" i="10" l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H41" i="5" l="1"/>
  <c r="H43" i="5" s="1"/>
  <c r="H35" i="5" l="1"/>
  <c r="H37" i="5" s="1"/>
  <c r="I41" i="5" l="1"/>
  <c r="I43" i="5" s="1"/>
  <c r="I35" i="5"/>
  <c r="I37" i="5" s="1"/>
  <c r="J35" i="5"/>
  <c r="J37" i="5" s="1"/>
  <c r="K35" i="5" l="1"/>
  <c r="K37" i="5" s="1"/>
  <c r="D2" i="12" s="1" a="1"/>
  <c r="J41" i="5"/>
  <c r="J43" i="5" s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K41" i="5"/>
  <c r="K43" i="5" s="1"/>
  <c r="E3" i="9" s="1" a="1"/>
  <c r="D7" i="12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3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A3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<sst xmlns="http://schemas.openxmlformats.org/spreadsheetml/2006/main" count="1386" uniqueCount="708">
  <si>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</si>
  <si>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</si>
  <si>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</si>
  <si>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</si>
  <si>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</si>
  <si>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</si>
  <si>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</si>
  <si>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</si>
  <si>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</si>
  <si>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</si>
  <si>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</si>
  <si>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</si>
  <si>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</si>
  <si>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</si>
  <si>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</si>
  <si>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</si>
  <si>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</si>
  <si>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</si>
  <si>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</si>
  <si>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</si>
  <si>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</si>
  <si>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</si>
  <si>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</si>
  <si>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</si>
  <si>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</si>
  <si>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</si>
  <si>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</si>
  <si>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</si>
  <si>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</si>
  <si>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</si>
  <si>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</si>
  <si>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</si>
  <si>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</si>
  <si>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</si>
  <si>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</si>
  <si>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</si>
  <si>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</si>
  <si>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</si>
  <si>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</si>
  <si>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</si>
  <si>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</si>
  <si>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</si>
  <si>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</si>
  <si>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</si>
  <si>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</si>
  <si>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</si>
  <si>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</si>
  <si>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</si>
  <si>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</si>
  <si>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</si>
  <si>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</si>
  <si>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</si>
  <si>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</si>
  <si>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</si>
  <si>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</si>
  <si>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</si>
  <si>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</si>
  <si>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</si>
  <si>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</si>
  <si>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</si>
  <si>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</si>
  <si>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</si>
  <si>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</si>
  <si>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</si>
  <si>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</si>
  <si>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</si>
  <si>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</si>
  <si>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</si>
  <si>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</si>
  <si>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</si>
  <si>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</si>
  <si>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</si>
  <si>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</si>
  <si>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</si>
  <si>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</si>
  <si>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</si>
  <si>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</si>
  <si>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</si>
  <si>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</si>
  <si>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</si>
  <si>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</si>
  <si>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</si>
  <si>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</si>
  <si>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</si>
  <si>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</si>
  <si>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</si>
  <si>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</si>
  <si>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</si>
  <si>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</si>
  <si>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</si>
  <si>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</si>
  <si>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</si>
  <si>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</si>
  <si>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</si>
  <si>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</si>
  <si>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</si>
  <si>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</si>
  <si>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</si>
  <si>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</si>
  <si>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</si>
  <si>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</si>
  <si>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</si>
  <si>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</si>
  <si>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</si>
  <si>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</si>
  <si>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</si>
  <si>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</si>
  <si>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</si>
  <si>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</si>
  <si>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</si>
  <si>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</si>
  <si>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</si>
  <si>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</si>
  <si>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</si>
  <si>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</si>
  <si>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</si>
  <si>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</si>
  <si>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</si>
  <si>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</si>
  <si>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</si>
  <si>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</si>
  <si>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</si>
  <si>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</si>
  <si>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</si>
  <si>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</si>
  <si>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</si>
  <si>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</si>
  <si>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</si>
  <si>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</si>
  <si>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</si>
  <si>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</si>
  <si>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</si>
  <si>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</si>
  <si>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</si>
  <si>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</si>
  <si>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</si>
  <si>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</si>
  <si>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</si>
  <si>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</si>
  <si>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</si>
  <si>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</si>
  <si>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</si>
  <si>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</si>
  <si>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</si>
  <si>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</si>
  <si>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</si>
  <si>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</si>
  <si>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</si>
  <si>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</si>
  <si>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</si>
  <si>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</si>
  <si>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</si>
  <si>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</si>
  <si>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</si>
  <si>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</si>
  <si>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</si>
  <si>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</si>
  <si>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</si>
  <si>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</si>
  <si>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</si>
  <si>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</si>
  <si>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</si>
  <si>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</si>
  <si>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</si>
  <si>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</si>
  <si>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</si>
  <si>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</si>
  <si>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</si>
  <si>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</si>
  <si>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</si>
  <si>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</si>
  <si>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</si>
  <si>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</si>
  <si>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</si>
  <si>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</si>
  <si>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</si>
  <si>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</si>
  <si>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</si>
  <si>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</si>
  <si>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</si>
  <si>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</si>
  <si>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</si>
  <si>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</si>
  <si>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</si>
  <si>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</si>
  <si>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</si>
  <si>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</si>
  <si>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</si>
  <si>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</si>
  <si>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</si>
  <si>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</si>
  <si>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</si>
  <si>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</si>
  <si>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</si>
  <si>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</si>
  <si>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</si>
  <si>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</si>
  <si>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</si>
  <si>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</si>
  <si>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</si>
  <si>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</si>
  <si>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</si>
  <si>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</si>
  <si>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</si>
  <si>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</si>
  <si>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</si>
  <si>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</si>
  <si>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</si>
  <si>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</si>
  <si>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</si>
  <si>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</si>
  <si>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</si>
  <si>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</si>
  <si>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</si>
  <si>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</si>
  <si>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</si>
  <si>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</si>
  <si>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</si>
  <si>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</si>
  <si>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</si>
  <si>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</si>
  <si>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</si>
  <si>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</si>
  <si>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</si>
  <si>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</si>
  <si>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</si>
  <si>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</si>
  <si>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</si>
  <si>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</si>
  <si>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</si>
  <si>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</si>
  <si>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</si>
  <si>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</si>
  <si>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</si>
  <si>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</si>
  <si>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</si>
  <si>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</si>
  <si>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</si>
  <si>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</si>
  <si>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</si>
  <si>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</si>
  <si>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</si>
  <si>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</si>
  <si>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</si>
  <si>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</si>
  <si>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</si>
  <si>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</si>
  <si>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</si>
  <si>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</si>
  <si>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</si>
  <si>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</si>
  <si>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</si>
  <si>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</si>
  <si>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</si>
  <si>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</si>
  <si>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</si>
  <si>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</si>
  <si>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</si>
  <si>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</si>
  <si>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</si>
  <si>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</si>
  <si>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</si>
  <si>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</si>
  <si>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</si>
  <si>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</si>
  <si>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</si>
  <si>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</si>
  <si>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</si>
  <si>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</si>
  <si>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</si>
  <si>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</si>
  <si>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</si>
  <si>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</si>
  <si>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</si>
  <si>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</si>
  <si>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</si>
  <si>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</si>
  <si>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</si>
  <si>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</si>
  <si>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</si>
  <si>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</si>
  <si>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</si>
  <si>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</si>
  <si>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</si>
  <si>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</si>
  <si>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</si>
  <si>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</si>
  <si>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</si>
  <si>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</si>
  <si>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</si>
  <si>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</si>
  <si>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</si>
  <si>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</si>
  <si>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</si>
  <si>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</si>
  <si>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</si>
  <si>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</si>
  <si>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</si>
  <si>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</si>
  <si>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</si>
  <si>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</si>
  <si>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</si>
  <si>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</si>
  <si>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</si>
  <si>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</si>
  <si>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</si>
  <si>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</si>
  <si>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</si>
  <si>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</si>
  <si>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</si>
  <si>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</si>
  <si>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</si>
  <si>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</si>
  <si>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</si>
  <si>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</si>
  <si>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</si>
  <si>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</si>
  <si>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</si>
  <si>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</si>
  <si>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</si>
  <si>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</si>
  <si>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</si>
  <si>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</si>
  <si>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</si>
  <si>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</si>
  <si>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</si>
  <si>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</si>
  <si>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</si>
  <si>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</si>
  <si>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</si>
  <si>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</si>
  <si>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</si>
  <si>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</si>
  <si>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</si>
  <si>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</si>
  <si>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</si>
  <si>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</si>
  <si>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</si>
  <si>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</si>
  <si>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</si>
  <si>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</si>
  <si>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</si>
  <si>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</si>
  <si>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</si>
  <si>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</si>
  <si>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</si>
  <si>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</si>
  <si>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</si>
  <si>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</si>
  <si>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</si>
  <si>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</si>
  <si>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</si>
  <si>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</si>
  <si>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</si>
  <si>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</si>
  <si>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</si>
  <si>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</si>
  <si>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</si>
  <si>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</si>
  <si>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</si>
  <si>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</si>
  <si>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</si>
  <si>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</si>
  <si>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</si>
  <si>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</si>
  <si>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</si>
  <si>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</si>
  <si>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</si>
  <si>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</si>
  <si>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</si>
  <si>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</si>
  <si>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</si>
  <si>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</si>
  <si>
    <t>January</t>
  </si>
  <si>
    <t>February</t>
  </si>
  <si>
    <t>March</t>
  </si>
  <si>
    <t>April</t>
  </si>
  <si>
    <t>PPP disbursements</t>
  </si>
  <si>
    <t>June</t>
  </si>
  <si>
    <t>July</t>
  </si>
  <si>
    <t>August</t>
  </si>
  <si>
    <t>September</t>
  </si>
  <si>
    <t>Boosting BEA's PPP by 325/261 because BEA didn't include all the programs we include in PPP</t>
  </si>
  <si>
    <t>BEA's PPP</t>
  </si>
  <si>
    <t>Quarterly disbursements</t>
  </si>
  <si>
    <t>Boosting quarterly disbursements by 325/261</t>
  </si>
  <si>
    <t>^Going to keep the 650 in Q1 and Q2 instead so that we don't need to change our MPCs to account for monthly timing of PPP within the quarter</t>
  </si>
  <si>
    <t>Payroll for Airline Workers (aviation)</t>
  </si>
  <si>
    <t>Federal Purchases Stimulus doesn't matter</t>
  </si>
  <si>
    <t>Medicaid Grants matters</t>
  </si>
  <si>
    <t>State Purchases Real (matters?)</t>
  </si>
  <si>
    <t>State and local nom purchases (matters?)</t>
  </si>
  <si>
    <t>FIM State social benefits (matters?)</t>
  </si>
  <si>
    <t>all below matters-- have filled in new haver data for Q1 up until here</t>
  </si>
  <si>
    <t>consumption_grants_override</t>
  </si>
  <si>
    <t>ui_override</t>
  </si>
  <si>
    <t>federal_ui_override</t>
  </si>
  <si>
    <t>state_ui_override</t>
  </si>
  <si>
    <t>add_state_non_corporate_taxes</t>
  </si>
  <si>
    <t>add_consumption_grants</t>
  </si>
  <si>
    <t>2021-03-31</t>
  </si>
  <si>
    <t>20909.9</t>
  </si>
  <si>
    <t>21115.3</t>
  </si>
  <si>
    <t>21329.9</t>
  </si>
  <si>
    <t>21540.3</t>
  </si>
  <si>
    <t>21747.4</t>
  </si>
  <si>
    <t>21561.1</t>
  </si>
  <si>
    <t>19520.1</t>
  </si>
  <si>
    <t>21170.3</t>
  </si>
  <si>
    <t>21494.7</t>
  </si>
  <si>
    <t>22061.0</t>
  </si>
  <si>
    <t>18813.9</t>
  </si>
  <si>
    <t>18950.3</t>
  </si>
  <si>
    <t>19020.6</t>
  </si>
  <si>
    <t>19141.7</t>
  </si>
  <si>
    <t>19254.0</t>
  </si>
  <si>
    <t>19010.8</t>
  </si>
  <si>
    <t>17302.5</t>
  </si>
  <si>
    <t>18596.5</t>
  </si>
  <si>
    <t>18794.4</t>
  </si>
  <si>
    <t>19088.1</t>
  </si>
  <si>
    <t>1634.2</t>
  </si>
  <si>
    <t>1695.5</t>
  </si>
  <si>
    <t>1703.1</t>
  </si>
  <si>
    <t>1713.2</t>
  </si>
  <si>
    <t>1740.2</t>
  </si>
  <si>
    <t>1756.6</t>
  </si>
  <si>
    <t>1600.1</t>
  </si>
  <si>
    <t>1685.0</t>
  </si>
  <si>
    <t>1745.6</t>
  </si>
  <si>
    <t>1757.8</t>
  </si>
  <si>
    <t>183.5</t>
  </si>
  <si>
    <t>172.1</t>
  </si>
  <si>
    <t>168.3</t>
  </si>
  <si>
    <t>175.1</t>
  </si>
  <si>
    <t>179.2</t>
  </si>
  <si>
    <t>183.8</t>
  </si>
  <si>
    <t>131.4</t>
  </si>
  <si>
    <t>144.7</t>
  </si>
  <si>
    <t>150.8</t>
  </si>
  <si>
    <t>159.8</t>
  </si>
  <si>
    <t>1355.2</t>
  </si>
  <si>
    <t>1386.7</t>
  </si>
  <si>
    <t>1392.6</t>
  </si>
  <si>
    <t>1397.2</t>
  </si>
  <si>
    <t>1411.7</t>
  </si>
  <si>
    <t>1431.2</t>
  </si>
  <si>
    <t>1369.2</t>
  </si>
  <si>
    <t>1421.4</t>
  </si>
  <si>
    <t>1461.3</t>
  </si>
  <si>
    <t>1498.6</t>
  </si>
  <si>
    <t>234.7</t>
  </si>
  <si>
    <t>213.8</t>
  </si>
  <si>
    <t>224.2</t>
  </si>
  <si>
    <t>201.6</t>
  </si>
  <si>
    <t>229.7</t>
  </si>
  <si>
    <t>180.5</t>
  </si>
  <si>
    <t>171.5</t>
  </si>
  <si>
    <t>207.0</t>
  </si>
  <si>
    <t>236.9</t>
  </si>
  <si>
    <t>250.9</t>
  </si>
  <si>
    <t>456.5</t>
  </si>
  <si>
    <t>475.2</t>
  </si>
  <si>
    <t>519.4</t>
  </si>
  <si>
    <t>483.9</t>
  </si>
  <si>
    <t>480.9</t>
  </si>
  <si>
    <t>495.8</t>
  </si>
  <si>
    <t>496.4</t>
  </si>
  <si>
    <t>506.6</t>
  </si>
  <si>
    <t>524.5</t>
  </si>
  <si>
    <t>555.0</t>
  </si>
  <si>
    <t>1295.5</t>
  </si>
  <si>
    <t>1301.6</t>
  </si>
  <si>
    <t>1312.4</t>
  </si>
  <si>
    <t>1326.5</t>
  </si>
  <si>
    <t>1330.4</t>
  </si>
  <si>
    <t>1346.2</t>
  </si>
  <si>
    <t>1264.3</t>
  </si>
  <si>
    <t>1344.5</t>
  </si>
  <si>
    <t>1360.8</t>
  </si>
  <si>
    <t>1386.2</t>
  </si>
  <si>
    <t xml:space="preserve"> 8600</t>
  </si>
  <si>
    <t xml:space="preserve"> 8932</t>
  </si>
  <si>
    <t xml:space="preserve"> 8944</t>
  </si>
  <si>
    <t xml:space="preserve"> 8604</t>
  </si>
  <si>
    <t xml:space="preserve"> 7908</t>
  </si>
  <si>
    <t xml:space="preserve"> 7020</t>
  </si>
  <si>
    <t xml:space="preserve"> 6744</t>
  </si>
  <si>
    <t xml:space="preserve"> 7248</t>
  </si>
  <si>
    <t xml:space="preserve"> 8536</t>
  </si>
  <si>
    <t>10404</t>
  </si>
  <si>
    <t>12969</t>
  </si>
  <si>
    <t>13054</t>
  </si>
  <si>
    <t>13132</t>
  </si>
  <si>
    <t>13183</t>
  </si>
  <si>
    <t>13235</t>
  </si>
  <si>
    <t>13345</t>
  </si>
  <si>
    <t>12362</t>
  </si>
  <si>
    <t>13001</t>
  </si>
  <si>
    <t>13308</t>
  </si>
  <si>
    <t>13541</t>
  </si>
  <si>
    <t>63.5</t>
  </si>
  <si>
    <t>68.5</t>
  </si>
  <si>
    <t>68.7</t>
  </si>
  <si>
    <t>69.8</t>
  </si>
  <si>
    <t>71.0</t>
  </si>
  <si>
    <t>62.7</t>
  </si>
  <si>
    <t>54.2</t>
  </si>
  <si>
    <t>90.2</t>
  </si>
  <si>
    <t>95.9</t>
  </si>
  <si>
    <t>96.6</t>
  </si>
  <si>
    <t>2220523</t>
  </si>
  <si>
    <t>2298792</t>
  </si>
  <si>
    <t>2315842</t>
  </si>
  <si>
    <t>2331428</t>
  </si>
  <si>
    <t>2347737</t>
  </si>
  <si>
    <t>2422546</t>
  </si>
  <si>
    <t>4815254</t>
  </si>
  <si>
    <t>3494888</t>
  </si>
  <si>
    <t>2918239</t>
  </si>
  <si>
    <t>5163185</t>
  </si>
  <si>
    <t>753311</t>
  </si>
  <si>
    <t>767353</t>
  </si>
  <si>
    <t>779707</t>
  </si>
  <si>
    <t>789893</t>
  </si>
  <si>
    <t>797912</t>
  </si>
  <si>
    <t>804655</t>
  </si>
  <si>
    <t>824058</t>
  </si>
  <si>
    <t>842733</t>
  </si>
  <si>
    <t>860594</t>
  </si>
  <si>
    <t>880104</t>
  </si>
  <si>
    <t>1078100</t>
  </si>
  <si>
    <t xml:space="preserve">  15600</t>
  </si>
  <si>
    <t xml:space="preserve">   5000</t>
  </si>
  <si>
    <t>1933700</t>
  </si>
  <si>
    <t xml:space="preserve">  27025</t>
  </si>
  <si>
    <t xml:space="preserve">  28029</t>
  </si>
  <si>
    <t xml:space="preserve">  27483</t>
  </si>
  <si>
    <t xml:space="preserve">  27578</t>
  </si>
  <si>
    <t xml:space="preserve">  27884</t>
  </si>
  <si>
    <t xml:space="preserve">  43429</t>
  </si>
  <si>
    <t>1084572</t>
  </si>
  <si>
    <t xml:space="preserve"> 775154</t>
  </si>
  <si>
    <t xml:space="preserve"> 296443</t>
  </si>
  <si>
    <t xml:space="preserve"> 544313</t>
  </si>
  <si>
    <t>19100</t>
  </si>
  <si>
    <t>27000</t>
  </si>
  <si>
    <t>10800</t>
  </si>
  <si>
    <t>160900</t>
  </si>
  <si>
    <t xml:space="preserve"> 58400</t>
  </si>
  <si>
    <t xml:space="preserve"> 34500</t>
  </si>
  <si>
    <t xml:space="preserve"> 43000</t>
  </si>
  <si>
    <t xml:space="preserve">  79458</t>
  </si>
  <si>
    <t xml:space="preserve">  71318</t>
  </si>
  <si>
    <t xml:space="preserve">  61083</t>
  </si>
  <si>
    <t xml:space="preserve">  81998</t>
  </si>
  <si>
    <t xml:space="preserve">  81147</t>
  </si>
  <si>
    <t xml:space="preserve">  75093</t>
  </si>
  <si>
    <t>1086548</t>
  </si>
  <si>
    <t>1213480</t>
  </si>
  <si>
    <t xml:space="preserve"> 610407</t>
  </si>
  <si>
    <t xml:space="preserve"> 405269</t>
  </si>
  <si>
    <t>609300</t>
  </si>
  <si>
    <t>865600</t>
  </si>
  <si>
    <t>260300</t>
  </si>
  <si>
    <t>184600</t>
  </si>
  <si>
    <t>63800</t>
  </si>
  <si>
    <t>15000</t>
  </si>
  <si>
    <t xml:space="preserve">  100</t>
  </si>
  <si>
    <t>38000</t>
  </si>
  <si>
    <t>73300</t>
  </si>
  <si>
    <t>140000</t>
  </si>
  <si>
    <t xml:space="preserve">  8000</t>
  </si>
  <si>
    <t xml:space="preserve"> 586475</t>
  </si>
  <si>
    <t xml:space="preserve"> 594213</t>
  </si>
  <si>
    <t xml:space="preserve"> 612547</t>
  </si>
  <si>
    <t xml:space="preserve"> 610331</t>
  </si>
  <si>
    <t xml:space="preserve"> 615406</t>
  </si>
  <si>
    <t xml:space="preserve"> 627805</t>
  </si>
  <si>
    <t>1396890</t>
  </si>
  <si>
    <t xml:space="preserve"> 728172</t>
  </si>
  <si>
    <t xml:space="preserve"> 738142</t>
  </si>
  <si>
    <t xml:space="preserve"> 785624</t>
  </si>
  <si>
    <t>1368395</t>
  </si>
  <si>
    <t>1388750</t>
  </si>
  <si>
    <t>1410626</t>
  </si>
  <si>
    <t>1429281</t>
  </si>
  <si>
    <t>1447946</t>
  </si>
  <si>
    <t>1452551</t>
  </si>
  <si>
    <t>1504782</t>
  </si>
  <si>
    <t>1487035</t>
  </si>
  <si>
    <t>1493436</t>
  </si>
  <si>
    <t>1557175</t>
  </si>
  <si>
    <t>1241599</t>
  </si>
  <si>
    <t>1245767</t>
  </si>
  <si>
    <t>1273567</t>
  </si>
  <si>
    <t>1288518</t>
  </si>
  <si>
    <t>1301120</t>
  </si>
  <si>
    <t>1306142</t>
  </si>
  <si>
    <t>1356816</t>
  </si>
  <si>
    <t>1335133</t>
  </si>
  <si>
    <t>1332160</t>
  </si>
  <si>
    <t>1376156</t>
  </si>
  <si>
    <t>389624</t>
  </si>
  <si>
    <t>404529</t>
  </si>
  <si>
    <t>419672</t>
  </si>
  <si>
    <t>418824</t>
  </si>
  <si>
    <t>411409</t>
  </si>
  <si>
    <t>423429</t>
  </si>
  <si>
    <t>512640</t>
  </si>
  <si>
    <t>486072</t>
  </si>
  <si>
    <t>512193</t>
  </si>
  <si>
    <t>523163</t>
  </si>
  <si>
    <t>728844</t>
  </si>
  <si>
    <t>738714</t>
  </si>
  <si>
    <t>755204</t>
  </si>
  <si>
    <t>763370</t>
  </si>
  <si>
    <t>760967</t>
  </si>
  <si>
    <t>767087</t>
  </si>
  <si>
    <t>812158</t>
  </si>
  <si>
    <t>828480</t>
  </si>
  <si>
    <t>827577</t>
  </si>
  <si>
    <t>840323</t>
  </si>
  <si>
    <t>589819</t>
  </si>
  <si>
    <t>599372</t>
  </si>
  <si>
    <t>614976</t>
  </si>
  <si>
    <t>622265</t>
  </si>
  <si>
    <t>619362</t>
  </si>
  <si>
    <t>624096</t>
  </si>
  <si>
    <t>668823</t>
  </si>
  <si>
    <t>683703</t>
  </si>
  <si>
    <t>682428</t>
  </si>
  <si>
    <t>694419</t>
  </si>
  <si>
    <t>1997129</t>
  </si>
  <si>
    <t>2012720</t>
  </si>
  <si>
    <t>2025477</t>
  </si>
  <si>
    <t>2028275</t>
  </si>
  <si>
    <t>2035602</t>
  </si>
  <si>
    <t>2041017</t>
  </si>
  <si>
    <t>2013139</t>
  </si>
  <si>
    <t>1993051</t>
  </si>
  <si>
    <t>1989168</t>
  </si>
  <si>
    <t>1993271</t>
  </si>
  <si>
    <t>2279638</t>
  </si>
  <si>
    <t>2292717</t>
  </si>
  <si>
    <t>2327018</t>
  </si>
  <si>
    <t>2337774</t>
  </si>
  <si>
    <t>2357385</t>
  </si>
  <si>
    <t>2381563</t>
  </si>
  <si>
    <t>2334544</t>
  </si>
  <si>
    <t>2329605</t>
  </si>
  <si>
    <t>2341726</t>
  </si>
  <si>
    <t>2389366</t>
  </si>
  <si>
    <t>21.569</t>
  </si>
  <si>
    <t>21.986</t>
  </si>
  <si>
    <t>22.076</t>
  </si>
  <si>
    <t>21.787</t>
  </si>
  <si>
    <t>21.143</t>
  </si>
  <si>
    <t>20.365</t>
  </si>
  <si>
    <t>19.106</t>
  </si>
  <si>
    <t>20.249</t>
  </si>
  <si>
    <t>21.844</t>
  </si>
  <si>
    <t>23.945</t>
  </si>
  <si>
    <t>277100</t>
  </si>
  <si>
    <t>228300</t>
  </si>
  <si>
    <t>213400</t>
  </si>
  <si>
    <t>119300</t>
  </si>
  <si>
    <t>690700</t>
  </si>
  <si>
    <t xml:space="preserve"> 39200</t>
  </si>
  <si>
    <t xml:space="preserve"> 29000</t>
  </si>
  <si>
    <t xml:space="preserve"> 46000</t>
  </si>
  <si>
    <t>ARP Subsidies</t>
  </si>
  <si>
    <t>1. CBO calls of UI Federal, as does NIPA</t>
  </si>
  <si>
    <t>2. Usually, almost all UI comes out of state trust funds, and FIM calls it state</t>
  </si>
  <si>
    <t>3. In recessions, EUC (emergency unemployment compensation) kicks in; fed pays 1/2 also changes in law</t>
  </si>
  <si>
    <t>4. Laws usually change to increase Federal Share of UI during Recessions</t>
  </si>
  <si>
    <t>5. We need to split UI into federal and state</t>
  </si>
  <si>
    <t>Table 1-3. 
Mandatory Outlays Projected in CBO's Baseline</t>
  </si>
  <si>
    <t>2022-</t>
  </si>
  <si>
    <t>CBO</t>
  </si>
  <si>
    <t>Unemployment compensation (Doesn't Include ARP)</t>
  </si>
  <si>
    <t>ARP (ours)</t>
  </si>
  <si>
    <t xml:space="preserve">??? </t>
  </si>
  <si>
    <t>NIPA Data</t>
  </si>
  <si>
    <t xml:space="preserve"> Unemployment insurance</t>
  </si>
  <si>
    <t>Extended Unemployment Benefits</t>
  </si>
  <si>
    <t>...</t>
  </si>
  <si>
    <t>Pandemic Emergency Unemployment Compensation</t>
  </si>
  <si>
    <t>Pandemic Unemployment Assistance</t>
  </si>
  <si>
    <t>Pandemic Unemployment Compensation Payments</t>
  </si>
  <si>
    <r>
      <t xml:space="preserve">Trump: Lost wages supplemental payments </t>
    </r>
    <r>
      <rPr>
        <vertAlign val="superscript"/>
        <sz val="11"/>
        <color theme="1"/>
        <rFont val="Calibri"/>
        <family val="2"/>
        <scheme val="minor"/>
      </rPr>
      <t>6</t>
    </r>
  </si>
  <si>
    <t>PROJECTION</t>
  </si>
  <si>
    <t>Our Total UI</t>
  </si>
  <si>
    <t>Normal Federal</t>
  </si>
  <si>
    <t>Legislation Federal</t>
  </si>
  <si>
    <t>* Q2: With same UR and same legislation, keep same #s but take some off for states ending extra $</t>
  </si>
  <si>
    <t>Total Federal</t>
  </si>
  <si>
    <t>* Q3 - $ run out sep 6 -- assume 2/3 of the quarter. Plus UR lower, so adjust downward. Alos, take 20 off for states that end it.</t>
  </si>
  <si>
    <t>Total State</t>
  </si>
  <si>
    <t>*Q4 - PUA over.</t>
  </si>
  <si>
    <t>CBO Unemployment Rate</t>
  </si>
  <si>
    <t xml:space="preserve">** compare to CBO with our ARP </t>
  </si>
  <si>
    <t>* take off trump</t>
  </si>
  <si>
    <t>We get</t>
  </si>
  <si>
    <t>About right</t>
  </si>
  <si>
    <t>federal_ui</t>
  </si>
  <si>
    <t>federal_ui_arp</t>
  </si>
  <si>
    <t>state_ui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</si>
</sst>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/>
      </top>
      <bottom/>
      <diagonal/>
    </border>
  </borders>
  <cellStyleXfs count="1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" fillId="0" borderId="0"/>
    <xf numFmtId="0" fontId="9" fillId="0" borderId="0"/>
  </cellStyleXfs>
  <cellXfs count="4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0" fillId="16" borderId="0" xfId="0" applyFill="1"/>
    <xf numFmtId="170" fontId="0" fillId="16" borderId="0" xfId="0" applyNumberFormat="1" applyFill="1"/>
    <xf numFmtId="2" fontId="0" fillId="16" borderId="0" xfId="0" applyNumberFormat="1" applyFill="1"/>
    <xf numFmtId="10" fontId="25" fillId="16" borderId="0" xfId="7" applyNumberFormat="1" applyFont="1" applyFill="1"/>
    <xf numFmtId="169" fontId="0" fillId="16" borderId="0" xfId="1" applyNumberFormat="1" applyFont="1" applyFill="1"/>
    <xf numFmtId="169" fontId="27" fillId="16" borderId="0" xfId="0" applyNumberFormat="1" applyFont="1" applyFill="1"/>
    <xf numFmtId="1" fontId="0" fillId="16" borderId="0" xfId="0" applyNumberFormat="1" applyFill="1"/>
    <xf numFmtId="43" fontId="25" fillId="16" borderId="0" xfId="1" applyFont="1" applyFill="1"/>
    <xf numFmtId="43" fontId="0" fillId="16" borderId="0" xfId="0" applyNumberFormat="1" applyFill="1"/>
    <xf numFmtId="0" fontId="25" fillId="16" borderId="0" xfId="0" applyFont="1" applyFill="1" applyAlignment="1">
      <alignment horizontal="left" indent="2"/>
    </xf>
    <xf numFmtId="10" fontId="0" fillId="16" borderId="0" xfId="7" applyNumberFormat="1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3" applyFon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  <xf numFmtId="12" fontId="0" fillId="17" borderId="0" xfId="1" applyNumberFormat="1" applyFont="1" applyFill="1"/>
    <xf numFmtId="1" fontId="12" fillId="0" borderId="0" xfId="3" applyNumberFormat="1" applyFont="1" applyAlignment="1">
      <alignment horizontal="left" wrapText="1"/>
    </xf>
    <xf numFmtId="0" fontId="8" fillId="0" borderId="1" xfId="3" applyFont="1" applyBorder="1" applyAlignment="1">
      <alignment horizontal="left" wrapText="1"/>
    </xf>
    <xf numFmtId="0" fontId="12" fillId="0" borderId="1" xfId="3" applyFont="1" applyBorder="1" applyAlignment="1">
      <alignment horizontal="left" wrapText="1"/>
    </xf>
    <xf numFmtId="0" fontId="12" fillId="0" borderId="1" xfId="3" applyFont="1" applyBorder="1"/>
    <xf numFmtId="0" fontId="8" fillId="0" borderId="0" xfId="3" applyFont="1" applyAlignment="1">
      <alignment horizontal="left" wrapText="1"/>
    </xf>
    <xf numFmtId="0" fontId="12" fillId="0" borderId="0" xfId="3" applyFont="1" applyAlignment="1">
      <alignment horizontal="left" wrapText="1"/>
    </xf>
    <xf numFmtId="0" fontId="12" fillId="0" borderId="0" xfId="3" applyFont="1"/>
    <xf numFmtId="0" fontId="12" fillId="0" borderId="0" xfId="3" applyFont="1" applyAlignment="1">
      <alignment horizontal="center"/>
    </xf>
    <xf numFmtId="0" fontId="8" fillId="2" borderId="0" xfId="3" applyFont="1" applyFill="1" applyAlignment="1">
      <alignment horizontal="left" wrapText="1"/>
    </xf>
    <xf numFmtId="0" fontId="8" fillId="2" borderId="0" xfId="3" applyFont="1" applyFill="1" applyAlignment="1">
      <alignment horizontal="right" wrapText="1"/>
    </xf>
    <xf numFmtId="0" fontId="12" fillId="2" borderId="0" xfId="3" applyFont="1" applyFill="1" applyAlignment="1">
      <alignment horizontal="right" wrapText="1"/>
    </xf>
    <xf numFmtId="0" fontId="12" fillId="2" borderId="0" xfId="3" applyFont="1" applyFill="1" applyAlignment="1">
      <alignment horizontal="right"/>
    </xf>
    <xf numFmtId="0" fontId="8" fillId="2" borderId="0" xfId="3" applyFont="1" applyFill="1" applyAlignment="1">
      <alignment horizontal="right"/>
    </xf>
    <xf numFmtId="0" fontId="8" fillId="2" borderId="1" xfId="3" applyFont="1" applyFill="1" applyBorder="1" applyAlignment="1">
      <alignment horizontal="center"/>
    </xf>
    <xf numFmtId="0" fontId="8" fillId="2" borderId="1" xfId="3" applyFont="1" applyFill="1" applyBorder="1" applyAlignment="1">
      <alignment horizontal="right"/>
    </xf>
    <xf numFmtId="0" fontId="8" fillId="0" borderId="0" xfId="3" applyFont="1" applyAlignment="1">
      <alignment horizontal="left" wrapText="1" indent="1"/>
    </xf>
    <xf numFmtId="0" fontId="8" fillId="0" borderId="0" xfId="3" applyFont="1" applyAlignment="1">
      <alignment horizontal="left" indent="1"/>
    </xf>
    <xf numFmtId="3" fontId="34" fillId="0" borderId="0" xfId="3" applyNumberFormat="1" applyFont="1" applyAlignment="1">
      <alignment horizontal="right"/>
    </xf>
    <xf numFmtId="0" fontId="0" fillId="19" borderId="0" xfId="0" applyFill="1" applyAlignment="1">
      <alignment horizontal="center"/>
    </xf>
    <xf numFmtId="0" fontId="0" fillId="19" borderId="0" xfId="0" applyFill="1"/>
    <xf numFmtId="0" fontId="0" fillId="19" borderId="0" xfId="0" applyFill="1" applyAlignment="1">
      <alignment horizontal="center"/>
    </xf>
    <xf numFmtId="0" fontId="0" fillId="0" borderId="0" xfId="0" applyAlignment="1">
      <alignment horizontal="left"/>
    </xf>
    <xf numFmtId="167" fontId="0" fillId="0" borderId="0" xfId="0" quotePrefix="1" applyNumberFormat="1" applyAlignment="1">
      <alignment horizontal="center"/>
    </xf>
    <xf numFmtId="167" fontId="0" fillId="0" borderId="0" xfId="0" applyNumberFormat="1"/>
    <xf numFmtId="0" fontId="20" fillId="0" borderId="0" xfId="11" quotePrefix="1" applyFont="1" applyAlignment="1">
      <alignment horizontal="left" wrapText="1" indent="1"/>
    </xf>
    <xf numFmtId="0" fontId="20" fillId="0" borderId="0" xfId="11" quotePrefix="1" applyFont="1" applyAlignment="1">
      <alignment horizontal="center"/>
    </xf>
    <xf numFmtId="0" fontId="0" fillId="0" borderId="0" xfId="0" applyAlignment="1">
      <alignment horizontal="left" wrapText="1"/>
    </xf>
    <xf numFmtId="170" fontId="8" fillId="0" borderId="0" xfId="12" applyNumberFormat="1" applyFont="1"/>
    <xf numFmtId="43" fontId="2" fillId="0" borderId="37" xfId="1" applyFont="1" applyBorder="1"/>
  </cellXfs>
  <cellStyles count="13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14 3" xfId="11" xr:uid="{282F9B89-4716-BF49-BEEF-B9F5CD91FCE8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2 3 2" xfId="12" xr:uid="{11B7CE03-8D00-784C-B68F-2D0220F50FDE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tabSelected="1" zoomScale="150" zoomScaleNormal="110" workbookViewId="0">
      <pane xSplit="2" ySplit="3" topLeftCell="N30" activePane="bottomRight" state="frozen"/>
      <selection pane="topRight" activeCell="C1" sqref="C1"/>
      <selection pane="bottomLeft" activeCell="A4" sqref="A4"/>
      <selection pane="bottomRight" activeCell="P46" sqref="P46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55" t="s">
        <v>360</v>
      </c>
      <c r="B1" s="355"/>
      <c r="C1" s="268"/>
      <c r="D1" s="268"/>
      <c r="E1" s="35"/>
      <c r="N1" t="s">
        <v>362</v>
      </c>
      <c r="AC1" s="361" t="s">
        <v>242</v>
      </c>
      <c r="AD1" s="361"/>
      <c r="AE1" s="359" t="s">
        <v>240</v>
      </c>
      <c r="AF1" s="360"/>
      <c r="AG1" t="s">
        <v>27</v>
      </c>
      <c r="AI1" s="357" t="s">
        <v>272</v>
      </c>
      <c r="AJ1" s="357"/>
      <c r="AK1" s="357"/>
      <c r="AL1" s="357"/>
      <c r="AM1" s="356" t="s">
        <v>270</v>
      </c>
      <c r="AN1" s="356"/>
      <c r="AO1" s="356"/>
      <c r="AP1" s="356"/>
    </row>
    <row r="2" spans="1:43" ht="23" customHeight="1" x14ac:dyDescent="0.2">
      <c r="F2" s="354" t="s">
        <v>20</v>
      </c>
      <c r="G2" s="354"/>
      <c r="H2" s="354"/>
      <c r="I2" s="354"/>
      <c r="J2" s="354" t="s">
        <v>9</v>
      </c>
      <c r="K2" s="354"/>
      <c r="L2" s="354"/>
      <c r="M2" s="354"/>
      <c r="N2" s="354" t="s">
        <v>10</v>
      </c>
      <c r="O2" s="354"/>
      <c r="P2" s="354"/>
      <c r="Q2" s="354"/>
      <c r="R2" s="354" t="s">
        <v>11</v>
      </c>
      <c r="S2" s="354"/>
      <c r="T2" s="354"/>
      <c r="U2" s="354"/>
      <c r="V2" s="354" t="s">
        <v>260</v>
      </c>
      <c r="W2" s="354"/>
      <c r="X2" s="354"/>
      <c r="Y2" s="354"/>
      <c r="Z2" s="221"/>
      <c r="AA2" s="283"/>
      <c r="AB2" s="221"/>
      <c r="AC2" s="354" t="s">
        <v>101</v>
      </c>
      <c r="AD2" s="354"/>
      <c r="AE2" s="354"/>
      <c r="AF2" s="354"/>
      <c r="AG2" s="354"/>
      <c r="AH2" s="354"/>
      <c r="AI2" s="354"/>
      <c r="AJ2" s="354"/>
      <c r="AK2" s="354"/>
      <c r="AL2" s="358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s="339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20</v>
      </c>
      <c r="AD3" s="317" t="s">
        <v>9</v>
      </c>
      <c r="AE3" s="178" t="s">
        <v>12</v>
      </c>
      <c r="AF3" s="132" t="s">
        <v>11</v>
      </c>
      <c r="AG3" s="2" t="s">
        <v>241</v>
      </c>
      <c r="AH3" s="2" t="s">
        <v>158</v>
      </c>
      <c r="AI3" s="181" t="s">
        <v>9</v>
      </c>
      <c r="AJ3" s="181" t="s">
        <v>12</v>
      </c>
      <c r="AK3" s="97" t="s">
        <v>11</v>
      </c>
      <c r="AL3" s="97" t="s">
        <v>260</v>
      </c>
      <c r="AN3" s="97" t="s">
        <v>12</v>
      </c>
      <c r="AO3" s="97" t="s">
        <v>11</v>
      </c>
      <c r="AP3" s="97" t="s">
        <v>260</v>
      </c>
    </row>
    <row r="4" spans="1:43" ht="19" x14ac:dyDescent="0.25">
      <c r="A4" s="353" t="s">
        <v>256</v>
      </c>
      <c r="B4" s="353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O4" s="339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254</v>
      </c>
      <c r="B5" t="s">
        <v>274</v>
      </c>
      <c r="C5" s="35" t="s">
        <v>282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 t="str">
        <f>VLOOKUP($C$5,'Haver NA'!$A$1:$J$34,10,0)</f>
        <v>21494.7</v>
      </c>
      <c r="O5" s="301" t="str">
        <f>VLOOKUP($C$5,'Haver NA'!$A$1:$K$34,11,0)</f>
        <v>22061.0</v>
      </c>
      <c r="P5">
        <f t="shared" ref="P5:Z5" si="0">O5*(1+P6)</f>
        <v>22287.153796868781</v>
      </c>
      <c r="Q5">
        <f t="shared" si="0"/>
        <v>22609.826803472628</v>
      </c>
      <c r="R5">
        <f t="shared" si="0"/>
        <v>22910.389237971893</v>
      </c>
      <c r="S5">
        <f t="shared" si="0"/>
        <v>23194.797829837673</v>
      </c>
      <c r="T5">
        <f t="shared" si="0"/>
        <v>23429.634317121945</v>
      </c>
      <c r="U5">
        <f t="shared" si="0"/>
        <v>23681.73522372076</v>
      </c>
      <c r="V5">
        <f t="shared" si="0"/>
        <v>23930.504400276415</v>
      </c>
      <c r="W5">
        <f t="shared" si="0"/>
        <v>24159.485119606059</v>
      </c>
      <c r="X5">
        <f t="shared" si="0"/>
        <v>24415.725448379704</v>
      </c>
      <c r="Y5">
        <f t="shared" si="0"/>
        <v>24685.191735809509</v>
      </c>
      <c r="Z5">
        <f t="shared" si="0"/>
        <v>24962.936867588978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210</v>
      </c>
      <c r="C6" s="269"/>
      <c r="D6" s="269"/>
      <c r="F6" s="199"/>
      <c r="G6" s="200">
        <f>G5/F5-1</f>
        <v>9.8230981496802983E-3</v>
      </c>
      <c r="H6" s="200">
        <f t="shared" ref="H6:O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1.5323353943968776E-2</v>
      </c>
      <c r="O6" s="302">
        <f t="shared" si="1"/>
        <v>2.6346029486338463E-2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255</v>
      </c>
      <c r="B7" t="s">
        <v>274</v>
      </c>
      <c r="C7" s="35" t="s">
        <v>283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 t="str">
        <f>VLOOKUP($C$7,'Haver NA'!$A$1:$J$34,10,0)</f>
        <v>18794.4</v>
      </c>
      <c r="O7" s="301" t="str">
        <f>VLOOKUP($C$7,'Haver NA'!$A$1:$K$34,11,0)</f>
        <v>19088.1</v>
      </c>
      <c r="P7">
        <f t="shared" ref="P7:Z7" si="2">O7*(1+P8)</f>
        <v>19206.272106420147</v>
      </c>
      <c r="Q7">
        <f t="shared" si="2"/>
        <v>19386.534641637325</v>
      </c>
      <c r="R7">
        <f t="shared" si="2"/>
        <v>19559.286237887121</v>
      </c>
      <c r="S7">
        <f t="shared" si="2"/>
        <v>19700.692182179708</v>
      </c>
      <c r="T7">
        <f t="shared" si="2"/>
        <v>19807.147223810738</v>
      </c>
      <c r="U7">
        <f t="shared" si="2"/>
        <v>19925.419476083789</v>
      </c>
      <c r="V7">
        <f t="shared" si="2"/>
        <v>20035.980497683657</v>
      </c>
      <c r="W7">
        <f t="shared" si="2"/>
        <v>20129.316432584998</v>
      </c>
      <c r="X7">
        <f t="shared" si="2"/>
        <v>20242.180808801531</v>
      </c>
      <c r="Y7">
        <f t="shared" si="2"/>
        <v>20363.156999102837</v>
      </c>
      <c r="Z7">
        <f t="shared" si="2"/>
        <v>20486.837127432402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210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:O8" si="8">N7/M7-1</f>
        <v>1.0641787433119276E-2</v>
      </c>
      <c r="O8" s="302">
        <f t="shared" si="8"/>
        <v>1.5626995275188182E-2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O9" s="339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O10" s="339"/>
      <c r="AD10" s="95"/>
      <c r="AE10" s="146"/>
      <c r="AI10" s="146"/>
      <c r="AJ10" s="146"/>
    </row>
    <row r="11" spans="1:43" x14ac:dyDescent="0.2">
      <c r="A11" s="176" t="s">
        <v>251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3395</v>
      </c>
      <c r="O11" s="340">
        <f t="shared" si="9"/>
        <v>3378.8999999999996</v>
      </c>
      <c r="P11" s="167">
        <f t="shared" si="9"/>
        <v>3411.0447999999997</v>
      </c>
      <c r="Q11" s="167">
        <f t="shared" si="9"/>
        <v>3443.6513024000001</v>
      </c>
      <c r="R11" s="167">
        <f t="shared" si="9"/>
        <v>3505.5446206719998</v>
      </c>
      <c r="S11" s="167">
        <f t="shared" si="9"/>
        <v>3545.9926648947198</v>
      </c>
      <c r="T11" s="167">
        <f t="shared" si="9"/>
        <v>3587.0608934803072</v>
      </c>
      <c r="U11" s="167">
        <f t="shared" si="9"/>
        <v>3628.7641364292158</v>
      </c>
      <c r="V11" s="167">
        <f t="shared" si="9"/>
        <v>3701.3394191578009</v>
      </c>
      <c r="W11" s="168"/>
      <c r="AD11" s="95"/>
      <c r="AE11" s="146"/>
      <c r="AI11" s="146"/>
      <c r="AJ11" s="146"/>
    </row>
    <row r="12" spans="1:43" x14ac:dyDescent="0.2">
      <c r="A12" s="211" t="s">
        <v>24</v>
      </c>
      <c r="B12" t="s">
        <v>274</v>
      </c>
      <c r="C12" t="s">
        <v>284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 t="str">
        <f>VLOOKUP($C$12,'Haver NA'!$A$1:$K$34,10,0)</f>
        <v>1745.6</v>
      </c>
      <c r="O12" s="319" t="str">
        <f>VLOOKUP($C$12,'Haver NA'!$A$1:$K$34,11,0)</f>
        <v>1757.8</v>
      </c>
      <c r="P12" s="168">
        <f t="shared" ref="P12:U12" si="11">O12*(1+P14)</f>
        <v>1771.8624</v>
      </c>
      <c r="Q12" s="168">
        <f t="shared" si="11"/>
        <v>1786.0372992</v>
      </c>
      <c r="R12" s="168">
        <f t="shared" si="11"/>
        <v>1803.8976721920001</v>
      </c>
      <c r="S12" s="168">
        <f t="shared" si="11"/>
        <v>1821.9366489139202</v>
      </c>
      <c r="T12" s="168">
        <f t="shared" si="11"/>
        <v>1840.1560154030594</v>
      </c>
      <c r="U12" s="168">
        <f t="shared" si="11"/>
        <v>1858.5575755570901</v>
      </c>
      <c r="V12" s="168">
        <f>U12*(1+V14)</f>
        <v>1895.728727068232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1778.9498496000001</v>
      </c>
      <c r="AF12" s="45">
        <f>AVERAGE(R12:U12)</f>
        <v>1831.1369780165173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365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323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361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323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25</v>
      </c>
      <c r="B15" t="s">
        <v>274</v>
      </c>
      <c r="C15" t="s">
        <v>285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 t="str">
        <f>VLOOKUP($C$15,'Haver NA'!$A$1:$J$34,10,0)</f>
        <v>150.8</v>
      </c>
      <c r="O15" s="319" t="str">
        <f>VLOOKUP($C$15,'Haver NA'!$A$1:$K$34,11,0)</f>
        <v>159.8</v>
      </c>
      <c r="P15" s="168">
        <f t="shared" ref="P15:V15" si="12">O15*(1+P17)</f>
        <v>166.19200000000001</v>
      </c>
      <c r="Q15" s="168">
        <f t="shared" si="12"/>
        <v>172.83968000000002</v>
      </c>
      <c r="R15" s="168">
        <f t="shared" si="12"/>
        <v>179.75326720000001</v>
      </c>
      <c r="S15" s="168">
        <f t="shared" si="12"/>
        <v>186.94339788800002</v>
      </c>
      <c r="T15" s="168">
        <f t="shared" si="12"/>
        <v>194.42113380352004</v>
      </c>
      <c r="U15" s="168">
        <f t="shared" si="12"/>
        <v>202.19797915566085</v>
      </c>
      <c r="V15" s="168">
        <f t="shared" si="12"/>
        <v>206.24193873877405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169.51584000000003</v>
      </c>
      <c r="AF15" s="45">
        <f>AVERAGE(R15:U15)</f>
        <v>190.82894451179524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365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 s="339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210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323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26</v>
      </c>
      <c r="B18" t="s">
        <v>274</v>
      </c>
      <c r="C18" t="s">
        <v>286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 t="str">
        <f>VLOOKUP($C$18,'Haver NA'!$A$1:$K$34,11,0)</f>
        <v>1498.6</v>
      </c>
      <c r="O18" s="319" t="str">
        <f>VLOOKUP($C$18,'Haver NA'!$A$1:$J$34,10,0)</f>
        <v>1461.3</v>
      </c>
      <c r="P18" s="168">
        <f t="shared" ref="P18:V18" si="13">O18*(1+P20)</f>
        <v>1472.9903999999999</v>
      </c>
      <c r="Q18" s="168">
        <f t="shared" si="13"/>
        <v>1484.7743232</v>
      </c>
      <c r="R18" s="168">
        <f t="shared" si="13"/>
        <v>1521.8936812799998</v>
      </c>
      <c r="S18" s="168">
        <f t="shared" si="13"/>
        <v>1537.1126180927997</v>
      </c>
      <c r="T18" s="168">
        <f t="shared" si="13"/>
        <v>1552.4837442737278</v>
      </c>
      <c r="U18" s="168">
        <f t="shared" si="13"/>
        <v>1568.008581716465</v>
      </c>
      <c r="V18" s="168">
        <f t="shared" si="13"/>
        <v>1599.3687533507943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1478.8823616</v>
      </c>
      <c r="AF18" s="45">
        <f>AVERAGE(R18:U18)</f>
        <v>1544.8746563407481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365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323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210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323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274</v>
      </c>
      <c r="C21" t="s">
        <v>287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t="str">
        <f>VLOOKUP($C$21,'Haver NA'!$A$1:$K$34,11,0)</f>
        <v>250.9</v>
      </c>
      <c r="P21" s="168">
        <f t="shared" ref="P21" si="14">O21*(1+P23)</f>
        <v>254.66349999999997</v>
      </c>
      <c r="Q21" s="168">
        <f t="shared" ref="Q21" si="15">P21*(1+Q23)</f>
        <v>258.48345249999994</v>
      </c>
      <c r="R21" s="168">
        <f t="shared" ref="R21" si="16">Q21*(1+R23)</f>
        <v>273.99245964999994</v>
      </c>
      <c r="S21" s="168">
        <f t="shared" ref="S21" si="17">R21*(1+S23)</f>
        <v>290.43200722899996</v>
      </c>
      <c r="T21" s="168">
        <f t="shared" ref="T21" si="18">S21*(1+T23)</f>
        <v>307.85792766274</v>
      </c>
      <c r="U21" s="168">
        <f t="shared" ref="U21:V21" si="19">T21*(1+U23)</f>
        <v>326.32940332250439</v>
      </c>
      <c r="V21" s="168">
        <f t="shared" si="19"/>
        <v>345.90916752185467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241.77398416666665</v>
      </c>
      <c r="AF21" s="45">
        <f>AVERAGE(R21:U21)</f>
        <v>299.65294946606105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365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323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210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323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323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257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323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258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0</v>
      </c>
      <c r="O26" s="341">
        <f t="shared" si="20"/>
        <v>0</v>
      </c>
      <c r="P26" s="102">
        <f t="shared" si="20"/>
        <v>1957.5073583056076</v>
      </c>
      <c r="Q26" s="102">
        <f t="shared" si="20"/>
        <v>1985.8481141737871</v>
      </c>
      <c r="R26" s="102">
        <f t="shared" si="20"/>
        <v>2012.2468720647662</v>
      </c>
      <c r="S26" s="102">
        <f t="shared" si="20"/>
        <v>2037.2268186482022</v>
      </c>
      <c r="T26" s="102">
        <f t="shared" si="20"/>
        <v>2057.8527880316142</v>
      </c>
      <c r="U26" s="102">
        <f t="shared" si="20"/>
        <v>2079.9951119999637</v>
      </c>
      <c r="V26" s="102">
        <f t="shared" ref="V26" si="22">SUM(V27:V29)</f>
        <v>2101.8448061361319</v>
      </c>
    </row>
    <row r="27" spans="1:39" x14ac:dyDescent="0.2">
      <c r="A27" s="211" t="s">
        <v>21</v>
      </c>
      <c r="C27" t="s">
        <v>288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 t="str">
        <f>VLOOKUP($C$27,'Haver NA'!$A$1:$I$34,9,0)</f>
        <v>506.6</v>
      </c>
      <c r="O27" s="318" t="str">
        <f>VLOOKUP($C$27,'Haver NA'!$A$1:$K$34,11,0)</f>
        <v>555.0</v>
      </c>
      <c r="P27" s="102">
        <f t="shared" ref="P27:V29" si="23">O27*(1+P$6)</f>
        <v>560.68946816835921</v>
      </c>
      <c r="Q27" s="102">
        <f t="shared" si="23"/>
        <v>568.8071200728574</v>
      </c>
      <c r="R27" s="102">
        <f t="shared" si="23"/>
        <v>576.36852486625264</v>
      </c>
      <c r="S27" s="102">
        <f t="shared" si="23"/>
        <v>583.52353907619363</v>
      </c>
      <c r="T27" s="102">
        <f t="shared" si="23"/>
        <v>589.43144218315945</v>
      </c>
      <c r="U27" s="102">
        <f t="shared" si="23"/>
        <v>595.77367522619204</v>
      </c>
      <c r="V27" s="102">
        <f t="shared" si="23"/>
        <v>602.03209021138707</v>
      </c>
    </row>
    <row r="28" spans="1:39" x14ac:dyDescent="0.2">
      <c r="A28" s="211" t="s">
        <v>22</v>
      </c>
      <c r="C28" t="s">
        <v>289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 t="str">
        <f>VLOOKUP($C$28,'Haver NA'!$A$1:$I$34,9,0)</f>
        <v>1344.5</v>
      </c>
      <c r="O28" s="318" t="str">
        <f>VLOOKUP($C$28,'Haver NA'!$A$1:$K$34,10,0)</f>
        <v>1360.8</v>
      </c>
      <c r="P28" s="102">
        <f t="shared" si="23"/>
        <v>1374.7499608711769</v>
      </c>
      <c r="Q28" s="102">
        <f t="shared" si="23"/>
        <v>1394.6535657570168</v>
      </c>
      <c r="R28" s="102">
        <f t="shared" si="23"/>
        <v>1413.1933128612552</v>
      </c>
      <c r="S28" s="102">
        <f t="shared" si="23"/>
        <v>1430.7366341889808</v>
      </c>
      <c r="T28" s="102">
        <f t="shared" si="23"/>
        <v>1445.2221739150332</v>
      </c>
      <c r="U28" s="102">
        <f t="shared" si="23"/>
        <v>1460.7726436897337</v>
      </c>
      <c r="V28" s="102">
        <f t="shared" si="23"/>
        <v>1476.1176006480282</v>
      </c>
    </row>
    <row r="29" spans="1:39" x14ac:dyDescent="0.2">
      <c r="A29" s="211" t="s">
        <v>23</v>
      </c>
      <c r="C29" t="s">
        <v>290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 t="str">
        <f>VLOOKUP($C$29,'Haver NA'!$A$1:$J$34,10,0)</f>
        <v>21.844</v>
      </c>
      <c r="O29" s="318" t="str">
        <f>VLOOKUP($C$29,'Haver NA'!$A$1:$K$34,10,0)</f>
        <v>21.844</v>
      </c>
      <c r="P29" s="102">
        <f t="shared" si="23"/>
        <v>22.06792926607142</v>
      </c>
      <c r="Q29" s="102">
        <f t="shared" si="23"/>
        <v>22.387428343912607</v>
      </c>
      <c r="R29" s="102">
        <f t="shared" si="23"/>
        <v>22.685034337258418</v>
      </c>
      <c r="S29" s="102">
        <f t="shared" si="23"/>
        <v>22.9666453830277</v>
      </c>
      <c r="T29" s="102">
        <f t="shared" si="23"/>
        <v>23.199171933421503</v>
      </c>
      <c r="U29" s="102">
        <f t="shared" si="23"/>
        <v>23.448793084037728</v>
      </c>
      <c r="V29" s="102">
        <f t="shared" si="23"/>
        <v>23.695115276716287</v>
      </c>
    </row>
    <row r="30" spans="1:39" x14ac:dyDescent="0.2">
      <c r="A30" s="176" t="s">
        <v>0</v>
      </c>
      <c r="C30" t="s">
        <v>291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 t="shared" ref="N30:V30" si="24">M30*(1+N6)</f>
        <v>91.58216652574599</v>
      </c>
      <c r="O30" s="341">
        <f t="shared" si="24"/>
        <v>93.994992985456051</v>
      </c>
      <c r="P30" s="102">
        <f t="shared" si="24"/>
        <v>94.958563292800008</v>
      </c>
      <c r="Q30" s="102">
        <f t="shared" si="24"/>
        <v>96.333371642028268</v>
      </c>
      <c r="R30" s="102">
        <f t="shared" si="24"/>
        <v>97.613973787101031</v>
      </c>
      <c r="S30" s="102">
        <f t="shared" si="24"/>
        <v>98.825749481649211</v>
      </c>
      <c r="T30" s="102">
        <f t="shared" si="24"/>
        <v>99.826314006150113</v>
      </c>
      <c r="U30" s="102">
        <f t="shared" si="24"/>
        <v>100.90043679964917</v>
      </c>
      <c r="V30" s="102">
        <f t="shared" si="24"/>
        <v>101.96036413772752</v>
      </c>
    </row>
    <row r="31" spans="1:39" s="185" customFormat="1" ht="12" x14ac:dyDescent="0.15">
      <c r="A31" s="177" t="s">
        <v>259</v>
      </c>
      <c r="F31" s="209">
        <f t="shared" ref="F31:L31" si="25">F30/F21</f>
        <v>0.27055815935236471</v>
      </c>
      <c r="G31" s="209">
        <f t="shared" si="25"/>
        <v>0.32039289055191766</v>
      </c>
      <c r="H31" s="209">
        <f t="shared" si="25"/>
        <v>0.30642283675289922</v>
      </c>
      <c r="I31" s="209">
        <f t="shared" si="25"/>
        <v>0.34623015873015872</v>
      </c>
      <c r="J31" s="209">
        <f t="shared" si="25"/>
        <v>0.30909882455376581</v>
      </c>
      <c r="K31" s="209">
        <f t="shared" si="25"/>
        <v>0.3473684210526316</v>
      </c>
      <c r="L31" s="209">
        <f t="shared" si="25"/>
        <v>0.31603498542274056</v>
      </c>
      <c r="M31" s="209">
        <v>0.43574879227053143</v>
      </c>
      <c r="N31" s="209">
        <f>N30/N21</f>
        <v>0.43163504901965827</v>
      </c>
      <c r="O31" s="342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323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A33" t="s">
        <v>393</v>
      </c>
      <c r="F33" s="197"/>
      <c r="G33" s="197"/>
      <c r="H33" s="197"/>
      <c r="I33" s="197"/>
      <c r="J33" s="197"/>
      <c r="K33" s="197"/>
      <c r="L33" s="201"/>
      <c r="M33" s="301"/>
      <c r="N33" s="306"/>
      <c r="O33" s="29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274</v>
      </c>
      <c r="C34" t="s">
        <v>292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 t="str">
        <f>VLOOKUP($C$34,'Haver NA'!$A$1:$J$34,10,0)</f>
        <v>2918239</v>
      </c>
      <c r="O34" s="303" t="str">
        <f>VLOOKUP($C$34,'Haver NA'!$A$1:$K$34,11,0)</f>
        <v>5163185</v>
      </c>
      <c r="P34" s="133">
        <f t="shared" ref="P34:U34" si="26">P35+P40+P50</f>
        <v>2669676.0727414307</v>
      </c>
      <c r="Q34" s="133">
        <f t="shared" si="26"/>
        <v>2675644.7174458168</v>
      </c>
      <c r="R34" s="133">
        <f t="shared" si="26"/>
        <v>2739277.3218034385</v>
      </c>
      <c r="S34" s="133">
        <f t="shared" si="26"/>
        <v>2777012.4671825636</v>
      </c>
      <c r="T34" s="133">
        <f t="shared" si="26"/>
        <v>2835194.3460776829</v>
      </c>
      <c r="U34" s="133">
        <f t="shared" si="26"/>
        <v>2894400.3604423674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28</v>
      </c>
    </row>
    <row r="35" spans="1:39" ht="16" x14ac:dyDescent="0.2">
      <c r="A35" s="86" t="s">
        <v>3</v>
      </c>
      <c r="B35" t="s">
        <v>274</v>
      </c>
      <c r="C35" t="s">
        <v>293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 t="str">
        <f>VLOOKUP($C$35,'Haver NA'!$A$1:$J$34,10,0)</f>
        <v>860594</v>
      </c>
      <c r="O35" s="303" t="str">
        <f>VLOOKUP($C$35,'Haver NA'!$A$1:$K$34,11,0)</f>
        <v>880104</v>
      </c>
      <c r="P35" s="87">
        <f>O35*((($AJ$35/$AI$35)^0.25))+12000</f>
        <v>902881.83575393062</v>
      </c>
      <c r="Q35" s="87">
        <f>P35*((($AJ$35/$AI$35)^0.25))+12000</f>
        <v>925938.6110111312</v>
      </c>
      <c r="R35" s="87">
        <f>Q35*((($AK$35/$AJ$35)^0.25))+12000</f>
        <v>968216.38585153921</v>
      </c>
      <c r="S35" s="87">
        <f>R35*((($AK$35/$AJ$35)^0.25))</f>
        <v>999876.62485549843</v>
      </c>
      <c r="T35" s="87">
        <f>S35*((($AK$35/$AJ$35)^0.25))</f>
        <v>1032572.1393912865</v>
      </c>
      <c r="U35" s="87">
        <f>T35*((($AK$35/$AJ$35)^0.25))</f>
        <v>1066336.7825017269</v>
      </c>
      <c r="V35" s="87">
        <f>U35*((($AL$35/$AK$35)^0.25))</f>
        <v>1077082.3559680069</v>
      </c>
      <c r="W35" s="87">
        <f>V35*((($AL$35/$AK$35)^0.25))</f>
        <v>1087936.2135627293</v>
      </c>
      <c r="X35" s="87">
        <f>W35*((($AL$35/$AK$35)^0.25))</f>
        <v>1098899.4464749785</v>
      </c>
      <c r="Y35" s="87">
        <f>X35*((($AL$35/$AK$35)^0.25))</f>
        <v>1109973.1568898512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914.41022338253094</v>
      </c>
      <c r="AF35" s="45">
        <f>AVERAGE(R35:U35)/1000</f>
        <v>1016.7504831500127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18</v>
      </c>
    </row>
    <row r="36" spans="1:39" ht="16" x14ac:dyDescent="0.2">
      <c r="A36" s="93" t="s">
        <v>329</v>
      </c>
      <c r="B36" t="s">
        <v>274</v>
      </c>
      <c r="C36" t="s">
        <v>294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343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ht="16" x14ac:dyDescent="0.2">
      <c r="A37" s="281" t="s">
        <v>330</v>
      </c>
      <c r="F37" s="202"/>
      <c r="G37" s="202"/>
      <c r="H37" s="202"/>
      <c r="I37" s="202"/>
      <c r="J37" s="202"/>
      <c r="K37" s="202"/>
      <c r="L37" s="202"/>
      <c r="M37" s="301"/>
      <c r="N37" s="315" t="str">
        <f>VLOOKUP($C$36,'Haver NA'!$A$1:$J$34,10,0)</f>
        <v xml:space="preserve">   5000</v>
      </c>
      <c r="O37" s="343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337</v>
      </c>
      <c r="F38" s="202"/>
      <c r="G38" s="202"/>
      <c r="H38" s="202"/>
      <c r="I38" s="202"/>
      <c r="J38" s="202"/>
      <c r="K38" s="202"/>
      <c r="L38" s="202"/>
      <c r="M38" s="301"/>
      <c r="N38" s="303"/>
      <c r="O38" s="343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340</v>
      </c>
      <c r="F39" s="202"/>
      <c r="G39" s="202"/>
      <c r="H39" s="202"/>
      <c r="I39" s="202"/>
      <c r="J39" s="202"/>
      <c r="K39" s="202"/>
      <c r="L39" s="202"/>
      <c r="M39" s="301"/>
      <c r="N39" s="303"/>
      <c r="O39" s="343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ht="16" x14ac:dyDescent="0.2">
      <c r="A40" s="86" t="s">
        <v>140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332343</v>
      </c>
      <c r="O40" s="343">
        <f t="shared" ref="O40:V40" si="27">O42+O46</f>
        <v>724000</v>
      </c>
      <c r="P40" s="87">
        <f t="shared" si="27"/>
        <v>72199.999999999942</v>
      </c>
      <c r="Q40" s="87">
        <f t="shared" si="27"/>
        <v>67821.326224591743</v>
      </c>
      <c r="R40" s="87">
        <f t="shared" si="27"/>
        <v>63947.884038653719</v>
      </c>
      <c r="S40" s="87">
        <f t="shared" si="27"/>
        <v>44416.094635121575</v>
      </c>
      <c r="T40" s="87">
        <f t="shared" si="27"/>
        <v>43911.662779073587</v>
      </c>
      <c r="U40" s="87">
        <f t="shared" si="27"/>
        <v>42972.375874708378</v>
      </c>
      <c r="V40" s="87">
        <f t="shared" si="27"/>
        <v>42259.213595468129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299.09108155614797</v>
      </c>
      <c r="AF40" s="45">
        <f t="shared" ref="AF40:AF50" si="28">AVERAGE(R40:U40)/1000</f>
        <v>48.812004331889312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ht="16" x14ac:dyDescent="0.2">
      <c r="A41" s="115" t="s">
        <v>323</v>
      </c>
      <c r="B41" t="s">
        <v>274</v>
      </c>
      <c r="C41" t="s">
        <v>295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 t="str">
        <f>VLOOKUP($C$41,'Haver NA'!$A$1:$J$34,10,0)</f>
        <v xml:space="preserve"> 296443</v>
      </c>
      <c r="O41" s="303" t="str">
        <f>VLOOKUP($C$41,'Haver NA'!$A$1:$K$34,11,0)</f>
        <v xml:space="preserve"> 544313</v>
      </c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ht="16" x14ac:dyDescent="0.2">
      <c r="A42" s="117" t="s">
        <v>207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343">
        <f>SUM(O43:O45)</f>
        <v>664000</v>
      </c>
      <c r="P42" s="87">
        <f>SUM(P43:P45)</f>
        <v>20000</v>
      </c>
      <c r="Q42" s="87">
        <f t="shared" ref="Q42" si="29">Q43+Q44+Q45</f>
        <v>18787.07097634122</v>
      </c>
      <c r="R42" s="87">
        <f t="shared" ref="R42" si="30">R43+R44</f>
        <v>17714.095301566143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ht="16" x14ac:dyDescent="0.2">
      <c r="A43" s="270" t="s">
        <v>137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343">
        <f>1000*'figuring out UI'!P17</f>
        <v>184000</v>
      </c>
      <c r="P43" s="87">
        <f>'new ui'!H28*1000</f>
        <v>20000</v>
      </c>
      <c r="Q43" s="87">
        <f>'new ui'!I28*1000</f>
        <v>18787.07097634122</v>
      </c>
      <c r="R43" s="87">
        <f>'new ui'!J28*1000</f>
        <v>17714.095301566143</v>
      </c>
      <c r="S43" s="87">
        <f>'new ui'!K28*1000</f>
        <v>17017.660779740083</v>
      </c>
      <c r="T43" s="87">
        <f>'new ui'!L28*1000</f>
        <v>16824.391869376872</v>
      </c>
      <c r="U43" s="87">
        <f>'new ui'!M28*1000</f>
        <v>16464.511829390198</v>
      </c>
      <c r="V43" s="87">
        <f>'new ui'!N30*1000</f>
        <v>16191.269576807726</v>
      </c>
      <c r="W43" s="87">
        <f>'new ui'!O30*1000</f>
        <v>16151.282905698099</v>
      </c>
      <c r="X43" s="87">
        <f>'new ui'!P30*1000</f>
        <v>0</v>
      </c>
      <c r="Y43" s="87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122.1217677440853</v>
      </c>
      <c r="AF43" s="45">
        <f t="shared" si="28"/>
        <v>17.005164945018326</v>
      </c>
      <c r="AG43" s="3"/>
      <c r="AI43" s="3"/>
      <c r="AJ43" s="3"/>
      <c r="AK43" s="3"/>
      <c r="AL43" s="3"/>
      <c r="AM43" s="182"/>
    </row>
    <row r="44" spans="1:39" ht="16" x14ac:dyDescent="0.2">
      <c r="A44" s="270" t="s">
        <v>161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343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2">
      <c r="A45" s="273" t="s">
        <v>335</v>
      </c>
      <c r="F45" s="202"/>
      <c r="G45" s="202"/>
      <c r="H45" s="202"/>
      <c r="I45" s="202"/>
      <c r="J45" s="202"/>
      <c r="K45" s="202"/>
      <c r="L45" s="202"/>
      <c r="M45" s="301"/>
      <c r="N45" s="303"/>
      <c r="O45" s="343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ht="16" x14ac:dyDescent="0.2">
      <c r="A46" s="117" t="s">
        <v>138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343">
        <f>1000*'figuring out UI'!P18</f>
        <v>60000</v>
      </c>
      <c r="P46" s="87">
        <f>'new ui'!H31*1000</f>
        <v>52199.999999999935</v>
      </c>
      <c r="Q46" s="87">
        <f>'new ui'!I31*1000</f>
        <v>49034.255248250527</v>
      </c>
      <c r="R46" s="87">
        <f>'new ui'!J31*1000</f>
        <v>46233.788737087576</v>
      </c>
      <c r="S46" s="87">
        <f>'new ui'!K31*1000</f>
        <v>44416.094635121575</v>
      </c>
      <c r="T46" s="87">
        <f>'new ui'!L31*1000</f>
        <v>43911.662779073587</v>
      </c>
      <c r="U46" s="87">
        <f>'new ui'!M31*1000</f>
        <v>42972.375874708378</v>
      </c>
      <c r="V46" s="87">
        <f>'new ui'!N31*1000</f>
        <v>42259.213595468129</v>
      </c>
      <c r="W46" s="87">
        <f>'new ui'!O31*1000</f>
        <v>42154.848383871991</v>
      </c>
      <c r="X46" s="87">
        <f>'new ui'!P31*1000</f>
        <v>41519.96001332884</v>
      </c>
      <c r="Y46" s="87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49.483563812062613</v>
      </c>
      <c r="AF46" s="45">
        <f t="shared" si="28"/>
        <v>44.383480506497776</v>
      </c>
      <c r="AG46" s="3"/>
      <c r="AI46" s="3"/>
      <c r="AJ46" s="3"/>
      <c r="AK46" s="3"/>
      <c r="AL46" s="3"/>
      <c r="AM46" s="182"/>
    </row>
    <row r="47" spans="1:39" s="107" customFormat="1" ht="32" x14ac:dyDescent="0.2">
      <c r="A47" s="325" t="s">
        <v>146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34.950000000000003</v>
      </c>
      <c r="AF47" s="331">
        <f t="shared" ref="AF47" si="31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ht="16" x14ac:dyDescent="0.2">
      <c r="A48" s="333" t="s">
        <v>202</v>
      </c>
      <c r="B48" s="107" t="s">
        <v>274</v>
      </c>
      <c r="C48" s="107" t="s">
        <v>296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 t="str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ht="16" x14ac:dyDescent="0.2">
      <c r="A49" s="333" t="s">
        <v>371</v>
      </c>
      <c r="B49" s="107" t="s">
        <v>274</v>
      </c>
      <c r="C49" s="107" t="s">
        <v>297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 t="str">
        <f>VLOOKUP($C$49,'Haver NA'!$A$1:$J$34,10,0)</f>
        <v xml:space="preserve"> 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32" x14ac:dyDescent="0.2">
      <c r="A50" s="86" t="s">
        <v>148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1720302</v>
      </c>
      <c r="O50" s="298">
        <f>N50*(1+O52)</f>
        <v>1707399.7350000001</v>
      </c>
      <c r="P50" s="88">
        <f t="shared" ref="P50:Q50" si="32">O50*(1+P52)</f>
        <v>1694594.2369875002</v>
      </c>
      <c r="Q50" s="88">
        <f t="shared" si="32"/>
        <v>1681884.7802100941</v>
      </c>
      <c r="R50" s="88">
        <f>Q50*(1+R52)</f>
        <v>1707113.0519132453</v>
      </c>
      <c r="S50" s="88">
        <f t="shared" ref="S50:U50" si="33">R50*(1+S52)</f>
        <v>1732719.7476919438</v>
      </c>
      <c r="T50" s="88">
        <f t="shared" si="33"/>
        <v>1758710.5439073227</v>
      </c>
      <c r="U50" s="88">
        <f t="shared" si="33"/>
        <v>1785091.2020659323</v>
      </c>
      <c r="V50" s="88">
        <f>U50*(1+V52)</f>
        <v>1802942.1140865916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1701.0451880493988</v>
      </c>
      <c r="AF50" s="45">
        <f t="shared" si="28"/>
        <v>1745.908636394611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15">
      <c r="A51" s="169" t="s">
        <v>210</v>
      </c>
      <c r="C51" s="269"/>
      <c r="D51" s="269"/>
      <c r="F51" s="225"/>
      <c r="G51" s="227">
        <f>G50/F50-1</f>
        <v>4.3899160317375507E-2</v>
      </c>
      <c r="H51" s="227">
        <f t="shared" ref="H51:L51" si="34">H50/G50-1</f>
        <v>3.4867401440725754E-3</v>
      </c>
      <c r="I51" s="227">
        <f t="shared" si="34"/>
        <v>3.5163841628156334E-3</v>
      </c>
      <c r="J51" s="227">
        <f t="shared" si="34"/>
        <v>5.2735975988749129E-3</v>
      </c>
      <c r="K51" s="227">
        <f t="shared" si="34"/>
        <v>3.4509222105193249E-2</v>
      </c>
      <c r="L51" s="227">
        <f t="shared" si="34"/>
        <v>4.7166587697893059E-2</v>
      </c>
      <c r="M51" s="227">
        <v>1.2783825552366457E-2</v>
      </c>
      <c r="N51" s="227">
        <f t="shared" ref="N51" si="35">N50/M50-1</f>
        <v>3.0243723653297527E-2</v>
      </c>
      <c r="O51" s="344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2">
      <c r="A52" s="169" t="s">
        <v>263</v>
      </c>
      <c r="F52" s="207"/>
      <c r="G52" s="207"/>
      <c r="H52" s="207"/>
      <c r="I52" s="207"/>
      <c r="J52" s="200"/>
      <c r="K52" s="200"/>
      <c r="L52" s="200"/>
      <c r="M52" s="301"/>
      <c r="N52" s="302"/>
      <c r="O52" s="323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2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45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2">
      <c r="A54" s="141" t="s">
        <v>4</v>
      </c>
      <c r="B54" s="141" t="s">
        <v>274</v>
      </c>
      <c r="C54" t="s">
        <v>298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 t="str">
        <f>VLOOKUP($C$54,'Haver NA'!$A$1:$J$34,10,0)</f>
        <v xml:space="preserve"> 610407</v>
      </c>
      <c r="O54" s="308" t="str">
        <f>VLOOKUP($C$54,'Haver NA'!$A$1:$K$34,11,0)</f>
        <v xml:space="preserve"> 405269</v>
      </c>
      <c r="P54" s="144">
        <f t="shared" ref="P54:Z54" si="36">P55+AVERAGE($H$54:$K$54)</f>
        <v>813630.25</v>
      </c>
      <c r="Q54" s="144">
        <f t="shared" si="36"/>
        <v>813630.25</v>
      </c>
      <c r="R54" s="144">
        <f t="shared" si="36"/>
        <v>77330.25</v>
      </c>
      <c r="S54" s="144">
        <f t="shared" si="36"/>
        <v>77330.25</v>
      </c>
      <c r="T54" s="144">
        <f t="shared" si="36"/>
        <v>77330.25</v>
      </c>
      <c r="U54" s="144">
        <f t="shared" si="36"/>
        <v>77330.25</v>
      </c>
      <c r="V54" s="144">
        <f>V55+AVERAGE($H$54:$K$54)</f>
        <v>77330.25</v>
      </c>
      <c r="W54" s="144">
        <f t="shared" si="36"/>
        <v>74830.25</v>
      </c>
      <c r="X54" s="144">
        <f t="shared" si="36"/>
        <v>74830.25</v>
      </c>
      <c r="Y54" s="144">
        <f t="shared" si="36"/>
        <v>74830.25</v>
      </c>
      <c r="Z54" s="144">
        <f t="shared" si="36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ht="16" x14ac:dyDescent="0.2">
      <c r="A55" s="134" t="s">
        <v>198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37">N57+N58+N63</f>
        <v>260300</v>
      </c>
      <c r="O55" s="299">
        <f>O57+O58+SUM(O63:O66)</f>
        <v>250520</v>
      </c>
      <c r="P55" s="116">
        <f>P57+P58+SUM(P63:P66)</f>
        <v>738800</v>
      </c>
      <c r="Q55" s="116">
        <f t="shared" ref="P55:V55" si="38">Q57+Q58+SUM(Q63:Q66)</f>
        <v>738800</v>
      </c>
      <c r="R55" s="116">
        <f t="shared" si="38"/>
        <v>2500</v>
      </c>
      <c r="S55" s="116">
        <f t="shared" si="38"/>
        <v>2500</v>
      </c>
      <c r="T55" s="116">
        <f t="shared" si="38"/>
        <v>2500</v>
      </c>
      <c r="U55" s="116">
        <f t="shared" si="38"/>
        <v>2500</v>
      </c>
      <c r="V55" s="116">
        <f t="shared" si="38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19" t="s">
        <v>327</v>
      </c>
      <c r="F56" s="197"/>
      <c r="G56" s="197"/>
      <c r="H56" s="197"/>
      <c r="I56" s="202"/>
      <c r="J56" s="202"/>
      <c r="K56" s="202"/>
      <c r="L56" s="202"/>
      <c r="M56" s="303"/>
      <c r="N56" s="308"/>
      <c r="O56" s="299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71" t="s">
        <v>325</v>
      </c>
      <c r="C57" t="s">
        <v>299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 t="str">
        <f>VLOOKUP($C$57,'Haver NA'!$A$1:$J$34,10,0)</f>
        <v>260300</v>
      </c>
      <c r="O57" s="308" t="str">
        <f>VLOOKUP($C$57,'Haver NA'!$A$1:$K$34,11,0)</f>
        <v>184600</v>
      </c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2">
      <c r="A58" s="113" t="s">
        <v>266</v>
      </c>
      <c r="C58" t="s">
        <v>324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0</v>
      </c>
      <c r="O58" s="299">
        <v>25420</v>
      </c>
      <c r="P58" s="116"/>
      <c r="Q58" s="116"/>
      <c r="R58" s="116"/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2">
      <c r="A59" s="272" t="s">
        <v>275</v>
      </c>
      <c r="B59" s="185" t="s">
        <v>274</v>
      </c>
      <c r="C59" t="s">
        <v>300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 t="str">
        <f>VLOOKUP($C$59,'Haver NA'!$A$1:$J$34,10,0)</f>
        <v xml:space="preserve">  100</v>
      </c>
      <c r="O59" s="309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276</v>
      </c>
      <c r="B60" s="185" t="s">
        <v>274</v>
      </c>
      <c r="C60" t="s">
        <v>301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 t="str">
        <f>VLOOKUP($C$60,'Haver NA'!$A$1:$J$34,10,0)</f>
        <v>73300</v>
      </c>
      <c r="O60" s="309" t="str">
        <f>VLOOKUP($C$60,'Haver NA'!$A$1:$K$34,11,0)</f>
        <v>73300</v>
      </c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277</v>
      </c>
      <c r="B61" s="185" t="s">
        <v>274</v>
      </c>
      <c r="C61" t="s">
        <v>302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 t="str">
        <f>VLOOKUP($C$61,'Haver NA'!$A$1:$J$34,10,0)</f>
        <v>140000</v>
      </c>
      <c r="O61" s="309" t="str">
        <f>VLOOKUP($C$61,'Haver NA'!$A$1:$K$34,11,0)</f>
        <v xml:space="preserve">  8000</v>
      </c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ht="16" x14ac:dyDescent="0.2">
      <c r="A62" s="219" t="s">
        <v>328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346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ht="16" x14ac:dyDescent="0.2">
      <c r="A63" s="273" t="s">
        <v>326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99"/>
      <c r="P63" s="299">
        <f>'Stimulus Round 2'!$C$2*4/2 -P48</f>
        <v>650000</v>
      </c>
      <c r="Q63" s="299">
        <f>'Stimulus Round 2'!$C$2*4/2 -Q48</f>
        <v>650000</v>
      </c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387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99">
        <v>38000</v>
      </c>
      <c r="P64" s="279">
        <f>('Stimulus Round 2'!$C$12*4-O64)/2</f>
        <v>13000</v>
      </c>
      <c r="Q64" s="279">
        <f>('Stimulus Round 2'!$C$12*4-SUM(O64:P64))</f>
        <v>13000</v>
      </c>
      <c r="R64" s="396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276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99"/>
      <c r="P65" s="279">
        <v>73300</v>
      </c>
      <c r="Q65" s="279">
        <v>73300</v>
      </c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341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9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ht="16" x14ac:dyDescent="0.2">
      <c r="A67" s="134" t="s">
        <v>671</v>
      </c>
      <c r="F67" s="197"/>
      <c r="G67" s="197"/>
      <c r="H67" s="197"/>
      <c r="I67" s="202"/>
      <c r="J67" s="202"/>
      <c r="K67" s="202"/>
      <c r="L67" s="202"/>
      <c r="M67" s="301"/>
      <c r="N67" s="308"/>
      <c r="O67" s="299"/>
      <c r="P67">
        <v>163.68600000000001</v>
      </c>
      <c r="Q67">
        <v>163.68600000000001</v>
      </c>
      <c r="R67">
        <v>110.248</v>
      </c>
      <c r="S67">
        <v>110.248</v>
      </c>
      <c r="T67">
        <v>110.248</v>
      </c>
      <c r="U67">
        <v>110.248</v>
      </c>
      <c r="V67">
        <v>12.726000000000001</v>
      </c>
      <c r="W67">
        <v>12.726000000000001</v>
      </c>
      <c r="X67">
        <v>12.726000000000001</v>
      </c>
      <c r="Y67">
        <v>12.726000000000001</v>
      </c>
      <c r="Z67">
        <v>1.365</v>
      </c>
      <c r="AA67">
        <v>1.365</v>
      </c>
      <c r="AB67">
        <v>1.365</v>
      </c>
      <c r="AC67">
        <v>1.365</v>
      </c>
      <c r="AD67">
        <v>-0.90100000000000002</v>
      </c>
      <c r="AE67">
        <v>-0.90100000000000002</v>
      </c>
      <c r="AF67">
        <v>-0.90100000000000002</v>
      </c>
      <c r="AG67">
        <v>-0.90100000000000002</v>
      </c>
      <c r="AH67">
        <v>-2.15</v>
      </c>
      <c r="AM67" s="233"/>
    </row>
    <row r="68" spans="1:39" s="35" customFormat="1" x14ac:dyDescent="0.2">
      <c r="A68" s="35" t="s">
        <v>16</v>
      </c>
      <c r="B68" s="35" t="s">
        <v>274</v>
      </c>
      <c r="C68" t="s">
        <v>303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 t="str">
        <f>VLOOKUP($C$68,'Haver NA'!$A$1:$J$34,10,0)</f>
        <v xml:space="preserve"> 738142</v>
      </c>
      <c r="O68" s="308" t="str">
        <f>VLOOKUP($C$68,'Haver NA'!$A$1:$K$34,11,0)</f>
        <v xml:space="preserve"> 785624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2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299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2">
      <c r="A70" s="35" t="s">
        <v>222</v>
      </c>
      <c r="F70" s="203">
        <f t="shared" ref="F70:L70" si="39">F68-F93</f>
        <v>196851</v>
      </c>
      <c r="G70" s="203">
        <f t="shared" si="39"/>
        <v>189684</v>
      </c>
      <c r="H70" s="203">
        <f t="shared" si="39"/>
        <v>192875</v>
      </c>
      <c r="I70" s="203">
        <f t="shared" si="39"/>
        <v>191507</v>
      </c>
      <c r="J70" s="203">
        <f t="shared" si="39"/>
        <v>203997</v>
      </c>
      <c r="K70" s="203">
        <f t="shared" si="39"/>
        <v>204376</v>
      </c>
      <c r="L70" s="203">
        <f t="shared" si="39"/>
        <v>884250</v>
      </c>
      <c r="M70" s="301">
        <v>242100</v>
      </c>
      <c r="N70" s="308">
        <f>N68-N93</f>
        <v>225949</v>
      </c>
      <c r="O70" s="308">
        <f>O68-O93</f>
        <v>262461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2">
      <c r="A71" s="136" t="s">
        <v>223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196949</v>
      </c>
      <c r="O71" s="299">
        <f t="shared" ref="O71:Z71" si="40">N71*(1+O87)</f>
        <v>197736.796</v>
      </c>
      <c r="P71" s="116">
        <f t="shared" si="40"/>
        <v>198527.74318399999</v>
      </c>
      <c r="Q71" s="116">
        <f t="shared" si="40"/>
        <v>199321.85415673599</v>
      </c>
      <c r="R71" s="116">
        <f t="shared" si="40"/>
        <v>200119.14157336293</v>
      </c>
      <c r="S71" s="116">
        <f t="shared" si="40"/>
        <v>200919.61813965638</v>
      </c>
      <c r="T71" s="116">
        <f t="shared" si="40"/>
        <v>201723.296612215</v>
      </c>
      <c r="U71" s="116">
        <f t="shared" si="40"/>
        <v>202530.18979866387</v>
      </c>
      <c r="V71" s="116">
        <f t="shared" si="40"/>
        <v>203340.31055785852</v>
      </c>
      <c r="W71" s="116">
        <f t="shared" si="40"/>
        <v>204153.67180008997</v>
      </c>
      <c r="X71" s="116">
        <f t="shared" si="40"/>
        <v>204970.28648729034</v>
      </c>
      <c r="Y71" s="116">
        <f t="shared" si="40"/>
        <v>205790.1676332395</v>
      </c>
      <c r="Z71" s="116">
        <f t="shared" si="40"/>
        <v>206613.32830377246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2">
      <c r="A72" s="137" t="s">
        <v>205</v>
      </c>
      <c r="B72" s="138" t="s">
        <v>274</v>
      </c>
      <c r="C72" t="s">
        <v>304</v>
      </c>
      <c r="D72"/>
      <c r="F72" s="204"/>
      <c r="G72" s="204"/>
      <c r="H72" s="204"/>
      <c r="I72" s="205"/>
      <c r="J72" s="205"/>
      <c r="K72" s="205"/>
      <c r="L72" s="205" t="str">
        <f>'Haver NA'!H34</f>
        <v>690700</v>
      </c>
      <c r="M72" s="205" t="str">
        <f>'Haver NA'!I34</f>
        <v xml:space="preserve"> 39200</v>
      </c>
      <c r="N72" s="205" t="str">
        <f>VLOOKUP($C$72,'Haver NA'!$A$1:$J$34,10,0)</f>
        <v xml:space="preserve"> 29000</v>
      </c>
      <c r="O72" s="205" t="str">
        <f>VLOOKUP($C$72,'Haver NA'!$A$1:$J$34,10,0)</f>
        <v xml:space="preserve"> 29000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16" x14ac:dyDescent="0.2">
      <c r="A73" s="134" t="s">
        <v>372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97200</v>
      </c>
      <c r="O73" s="299">
        <f t="shared" ref="O73:Z73" si="41">O74+O78</f>
        <v>124900</v>
      </c>
      <c r="P73" s="116">
        <f t="shared" si="41"/>
        <v>126000</v>
      </c>
      <c r="Q73" s="116">
        <f t="shared" si="41"/>
        <v>120000</v>
      </c>
      <c r="R73" s="116">
        <f t="shared" si="41"/>
        <v>119000</v>
      </c>
      <c r="S73" s="116">
        <f t="shared" si="41"/>
        <v>109000</v>
      </c>
      <c r="T73" s="116">
        <f t="shared" si="41"/>
        <v>109000</v>
      </c>
      <c r="U73" s="116">
        <f t="shared" si="41"/>
        <v>109000</v>
      </c>
      <c r="V73" s="116">
        <f t="shared" si="41"/>
        <v>109000</v>
      </c>
      <c r="W73" s="116">
        <f t="shared" si="41"/>
        <v>109000</v>
      </c>
      <c r="X73" s="116">
        <f t="shared" si="41"/>
        <v>69000</v>
      </c>
      <c r="Y73" s="116">
        <f t="shared" si="41"/>
        <v>59000</v>
      </c>
      <c r="Z73" s="116">
        <f t="shared" si="41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ht="16" x14ac:dyDescent="0.2">
      <c r="A74" s="219" t="s">
        <v>331</v>
      </c>
      <c r="F74" s="197"/>
      <c r="G74" s="197"/>
      <c r="H74" s="197"/>
      <c r="I74" s="202"/>
      <c r="J74" s="202"/>
      <c r="K74" s="202"/>
      <c r="L74" s="206"/>
      <c r="M74" s="301"/>
      <c r="N74" s="308"/>
      <c r="O74" s="299">
        <f t="shared" ref="O74:Z74" si="42">SUM(O75:O77)</f>
        <v>72900</v>
      </c>
      <c r="P74" s="116">
        <f t="shared" si="42"/>
        <v>67000</v>
      </c>
      <c r="Q74" s="116">
        <f t="shared" si="42"/>
        <v>61000</v>
      </c>
      <c r="R74" s="116">
        <f t="shared" si="42"/>
        <v>60000</v>
      </c>
      <c r="S74" s="116">
        <f t="shared" si="42"/>
        <v>50000</v>
      </c>
      <c r="T74" s="116">
        <f t="shared" si="42"/>
        <v>50000</v>
      </c>
      <c r="U74" s="116">
        <f t="shared" si="42"/>
        <v>50000</v>
      </c>
      <c r="V74" s="116">
        <f t="shared" si="42"/>
        <v>50000</v>
      </c>
      <c r="W74" s="116">
        <f t="shared" si="42"/>
        <v>50000</v>
      </c>
      <c r="X74" s="116">
        <f t="shared" si="42"/>
        <v>10000</v>
      </c>
      <c r="Y74" s="116">
        <f t="shared" si="42"/>
        <v>0</v>
      </c>
      <c r="Z74" s="116">
        <f t="shared" si="42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195</v>
      </c>
      <c r="B75" s="35" t="s">
        <v>274</v>
      </c>
      <c r="C75" s="35" t="s">
        <v>366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299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2">
      <c r="A76" s="334" t="s">
        <v>370</v>
      </c>
      <c r="B76" s="107" t="s">
        <v>274</v>
      </c>
      <c r="C76" s="107" t="s">
        <v>367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299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2">
      <c r="A77" s="334" t="s">
        <v>199</v>
      </c>
      <c r="B77" s="107" t="s">
        <v>274</v>
      </c>
      <c r="C77" s="107" t="s">
        <v>368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22000</v>
      </c>
      <c r="O77" s="299">
        <v>12000</v>
      </c>
      <c r="P77" s="337">
        <v>7000</v>
      </c>
      <c r="Q77" s="337">
        <v>7000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2">
      <c r="A78" s="220" t="s">
        <v>332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99">
        <f>SUM(O79:O82)</f>
        <v>52000</v>
      </c>
      <c r="P78" s="116">
        <f t="shared" ref="P78:Z78" si="43">SUM(P79:P82)</f>
        <v>59000</v>
      </c>
      <c r="Q78" s="116">
        <f t="shared" si="43"/>
        <v>59000</v>
      </c>
      <c r="R78" s="116">
        <f t="shared" si="43"/>
        <v>59000</v>
      </c>
      <c r="S78" s="116">
        <f t="shared" si="43"/>
        <v>59000</v>
      </c>
      <c r="T78" s="116">
        <f t="shared" si="43"/>
        <v>59000</v>
      </c>
      <c r="U78" s="116">
        <f t="shared" si="43"/>
        <v>59000</v>
      </c>
      <c r="V78" s="116">
        <f t="shared" si="43"/>
        <v>59000</v>
      </c>
      <c r="W78" s="116">
        <f t="shared" si="43"/>
        <v>59000</v>
      </c>
      <c r="X78" s="116">
        <f t="shared" si="43"/>
        <v>59000</v>
      </c>
      <c r="Y78" s="116">
        <f t="shared" si="43"/>
        <v>59000</v>
      </c>
      <c r="Z78" s="116">
        <f t="shared" si="43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2">
      <c r="A79" s="282" t="s">
        <v>333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9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334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9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2">
      <c r="A81" s="282" t="s">
        <v>338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9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2">
      <c r="A82" s="282" t="s">
        <v>339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9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2">
      <c r="A83" s="145" t="s">
        <v>211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4">L71+L73</f>
        <v>283950</v>
      </c>
      <c r="M83" s="206">
        <f t="shared" si="44"/>
        <v>291400</v>
      </c>
      <c r="N83" s="308">
        <f t="shared" si="44"/>
        <v>294149</v>
      </c>
      <c r="O83" s="299">
        <f t="shared" si="44"/>
        <v>322636.79599999997</v>
      </c>
      <c r="P83" s="144">
        <f t="shared" si="44"/>
        <v>324527.74318400002</v>
      </c>
      <c r="Q83" s="144">
        <f t="shared" si="44"/>
        <v>319321.85415673599</v>
      </c>
      <c r="R83" s="144">
        <f t="shared" si="44"/>
        <v>319119.14157336293</v>
      </c>
      <c r="S83" s="144">
        <f t="shared" si="44"/>
        <v>309919.61813965638</v>
      </c>
      <c r="T83" s="144">
        <f t="shared" si="44"/>
        <v>310723.296612215</v>
      </c>
      <c r="U83" s="144">
        <f t="shared" si="44"/>
        <v>311530.18979866384</v>
      </c>
      <c r="V83" s="144">
        <f t="shared" si="44"/>
        <v>312340.31055785855</v>
      </c>
      <c r="W83" s="144">
        <f t="shared" si="44"/>
        <v>313153.67180009</v>
      </c>
      <c r="X83" s="144">
        <f t="shared" si="44"/>
        <v>273970.28648729034</v>
      </c>
      <c r="Y83" s="144">
        <f t="shared" si="44"/>
        <v>264790.16763323953</v>
      </c>
      <c r="Z83" s="144">
        <f t="shared" si="44"/>
        <v>265613.32830377249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2">
      <c r="F84" s="197"/>
      <c r="G84" s="197"/>
      <c r="H84" s="197"/>
      <c r="I84" s="197"/>
      <c r="J84" s="197"/>
      <c r="K84" s="197"/>
      <c r="L84" s="203"/>
      <c r="M84" s="301"/>
      <c r="N84" s="310"/>
      <c r="O84" s="347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2">
      <c r="A85" s="35" t="s">
        <v>17</v>
      </c>
      <c r="B85" s="35" t="s">
        <v>274</v>
      </c>
      <c r="C85" t="s">
        <v>305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1332.16</v>
      </c>
      <c r="O85" s="308">
        <f>VLOOKUP($C$85,'Haver NA'!$A$1:$K$34,11,0)/1000</f>
        <v>1376.1559999999999</v>
      </c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2">
      <c r="A86" s="114" t="s">
        <v>201</v>
      </c>
      <c r="B86" s="35" t="s">
        <v>274</v>
      </c>
      <c r="C86" t="s">
        <v>306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1493.4359999999999</v>
      </c>
      <c r="O86" s="301">
        <f>VLOOKUP($C$86,'Haver NA'!$A$1:$K$34,11,0)/1000</f>
        <v>1557.175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2">
      <c r="A87" s="114" t="s">
        <v>369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-2.2267444516763657E-3</v>
      </c>
      <c r="O87" s="323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15">
      <c r="A88" s="169" t="s">
        <v>200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4.3045388978737442E-3</v>
      </c>
      <c r="O88" s="323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2">
      <c r="A89" s="114" t="s">
        <v>388</v>
      </c>
      <c r="F89" s="207"/>
      <c r="G89" s="207"/>
      <c r="H89" s="207"/>
      <c r="I89" s="207"/>
      <c r="J89" s="207"/>
      <c r="K89" s="207"/>
      <c r="L89" s="207"/>
      <c r="M89" s="302"/>
      <c r="N89" s="311"/>
      <c r="O89" s="341">
        <f>SUM(O90:O92)</f>
        <v>71400</v>
      </c>
      <c r="P89" s="102">
        <f t="shared" ref="P89:R89" si="45">SUM(P90:P92)</f>
        <v>71400</v>
      </c>
      <c r="Q89" s="102">
        <f t="shared" si="45"/>
        <v>30600</v>
      </c>
      <c r="R89" s="102">
        <f t="shared" si="45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2">
      <c r="A90" s="284" t="s">
        <v>342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9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2">
      <c r="A91" s="284" t="s">
        <v>343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9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2">
      <c r="A92" s="284" t="s">
        <v>344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9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2">
      <c r="A93" s="35" t="s">
        <v>389</v>
      </c>
      <c r="B93" s="35" t="s">
        <v>274</v>
      </c>
      <c r="C93" t="s">
        <v>307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 t="str">
        <f>VLOOKUP($C$93,'Haver NA'!$A$1:$J$34,10,0)</f>
        <v>512193</v>
      </c>
      <c r="O93" s="308" t="str">
        <f>VLOOKUP($C$93,'Haver NA'!$A$1:$K$34,11,0)</f>
        <v>523163</v>
      </c>
      <c r="P93" s="116">
        <f t="shared" ref="P93:S93" si="46">P100*0.74</f>
        <v>518997.92154021468</v>
      </c>
      <c r="Q93" s="116">
        <f t="shared" si="46"/>
        <v>518997.92154021468</v>
      </c>
      <c r="R93" s="116">
        <f t="shared" si="46"/>
        <v>518997.92154021468</v>
      </c>
      <c r="S93" s="116">
        <f t="shared" si="46"/>
        <v>518997.92154021468</v>
      </c>
      <c r="T93" s="116">
        <f>T100*0.68</f>
        <v>476917.00898290001</v>
      </c>
      <c r="U93" s="116">
        <f>U100*0.68</f>
        <v>476917.00898290001</v>
      </c>
      <c r="V93" s="116">
        <f>V100*0.68</f>
        <v>476917.00898290001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518997.92154021468</v>
      </c>
      <c r="AF93" s="45">
        <f>AVERAGE(R93:U93)</f>
        <v>497957.46526155737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2">
      <c r="A94" s="141" t="s">
        <v>160</v>
      </c>
      <c r="B94" s="141"/>
      <c r="E94" s="141"/>
      <c r="F94" s="201">
        <f t="shared" ref="F94:L94" si="47">F50+F47+F36+F42</f>
        <v>1440187</v>
      </c>
      <c r="G94" s="201">
        <f t="shared" si="47"/>
        <v>1503410</v>
      </c>
      <c r="H94" s="201">
        <f t="shared" si="47"/>
        <v>1508652</v>
      </c>
      <c r="I94" s="201">
        <f t="shared" si="47"/>
        <v>1513957</v>
      </c>
      <c r="J94" s="201">
        <f t="shared" si="47"/>
        <v>1521941</v>
      </c>
      <c r="K94" s="201">
        <f t="shared" si="47"/>
        <v>1574462</v>
      </c>
      <c r="L94" s="201">
        <f t="shared" si="47"/>
        <v>3729557.333333333</v>
      </c>
      <c r="M94" s="301">
        <v>2466001</v>
      </c>
      <c r="N94" s="306">
        <f>N50+N47+N36+N42+N37</f>
        <v>2026902</v>
      </c>
      <c r="O94" s="298">
        <f t="shared" ref="O94:Z94" si="48">O50+O47+O36+O42+O37+O38+O39</f>
        <v>3162199.7350000003</v>
      </c>
      <c r="P94" s="142">
        <f t="shared" si="48"/>
        <v>1830594.2369875002</v>
      </c>
      <c r="Q94" s="142">
        <f t="shared" si="48"/>
        <v>1748671.8511864352</v>
      </c>
      <c r="R94" s="142">
        <f t="shared" si="48"/>
        <v>1744827.1472148115</v>
      </c>
      <c r="S94" s="142">
        <f t="shared" si="48"/>
        <v>1732719.7476919438</v>
      </c>
      <c r="T94" s="142">
        <f t="shared" si="48"/>
        <v>1758710.5439073227</v>
      </c>
      <c r="U94" s="142">
        <f t="shared" si="48"/>
        <v>1785091.2020659323</v>
      </c>
      <c r="V94" s="142">
        <f t="shared" si="48"/>
        <v>1802942.1140865916</v>
      </c>
      <c r="W94" s="142">
        <f t="shared" si="48"/>
        <v>0</v>
      </c>
      <c r="X94" s="142">
        <f t="shared" si="48"/>
        <v>0</v>
      </c>
      <c r="Y94" s="142">
        <f t="shared" si="48"/>
        <v>0</v>
      </c>
      <c r="Z94" s="142">
        <f t="shared" si="48"/>
        <v>0</v>
      </c>
      <c r="AM94" s="233"/>
    </row>
    <row r="95" spans="1:39" s="35" customFormat="1" x14ac:dyDescent="0.2">
      <c r="A95" s="141" t="s">
        <v>209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49">N93+N35</f>
        <v>1372787</v>
      </c>
      <c r="O95" s="347">
        <f t="shared" si="49"/>
        <v>1403267</v>
      </c>
      <c r="P95" s="143">
        <f>P93+P35</f>
        <v>1421879.7572941454</v>
      </c>
      <c r="Q95" s="143">
        <f t="shared" si="49"/>
        <v>1444936.5325513459</v>
      </c>
      <c r="R95" s="143">
        <f t="shared" si="49"/>
        <v>1487214.3073917539</v>
      </c>
      <c r="S95" s="143">
        <f t="shared" si="49"/>
        <v>1518874.546395713</v>
      </c>
      <c r="T95" s="143">
        <f t="shared" si="49"/>
        <v>1509489.1483741866</v>
      </c>
      <c r="U95" s="143">
        <f t="shared" si="49"/>
        <v>1543253.7914846269</v>
      </c>
      <c r="V95" s="143">
        <f t="shared" si="49"/>
        <v>1553999.364950907</v>
      </c>
      <c r="W95" s="143">
        <f t="shared" si="49"/>
        <v>1087936.2135627293</v>
      </c>
      <c r="X95" s="143">
        <f t="shared" si="49"/>
        <v>1098899.4464749785</v>
      </c>
      <c r="Y95" s="143">
        <f t="shared" si="49"/>
        <v>1109973.1568898512</v>
      </c>
      <c r="Z95" s="143">
        <f t="shared" si="49"/>
        <v>0</v>
      </c>
      <c r="AM95" s="233"/>
    </row>
    <row r="96" spans="1:39" s="35" customFormat="1" x14ac:dyDescent="0.2">
      <c r="F96" s="197"/>
      <c r="G96" s="197"/>
      <c r="H96" s="197"/>
      <c r="I96" s="197"/>
      <c r="J96" s="197"/>
      <c r="K96" s="197"/>
      <c r="L96" s="197"/>
      <c r="M96" s="301"/>
      <c r="N96" s="301"/>
      <c r="O96" s="339"/>
      <c r="AM96" s="233"/>
    </row>
    <row r="97" spans="1:39" s="35" customFormat="1" x14ac:dyDescent="0.2">
      <c r="A97" s="35" t="s">
        <v>15</v>
      </c>
      <c r="B97" s="35" t="s">
        <v>274</v>
      </c>
      <c r="C97" t="s">
        <v>308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 t="str">
        <f>VLOOKUP($C$97,'Haver NA'!$A$1:$J$34,10,0)</f>
        <v>827577</v>
      </c>
      <c r="O97" s="303" t="str">
        <f>VLOOKUP($C$97,'Haver NA'!$A$1:$K$34,11,0)</f>
        <v>840323</v>
      </c>
      <c r="P97" s="133">
        <f t="shared" ref="P97:U97" si="50">P98+P100</f>
        <v>847224.19480316178</v>
      </c>
      <c r="Q97" s="133">
        <f t="shared" si="50"/>
        <v>847953.57306406798</v>
      </c>
      <c r="R97" s="133">
        <f t="shared" si="50"/>
        <v>849053.11079238413</v>
      </c>
      <c r="S97" s="133">
        <f t="shared" si="50"/>
        <v>850530.1564740889</v>
      </c>
      <c r="T97" s="133">
        <f t="shared" si="50"/>
        <v>851875.63625646336</v>
      </c>
      <c r="U97" s="133">
        <f t="shared" si="50"/>
        <v>853307.52299733902</v>
      </c>
      <c r="V97" s="133">
        <f t="shared" ref="V97" si="51">V98+V100</f>
        <v>854801.12899428688</v>
      </c>
      <c r="AM97" s="233"/>
    </row>
    <row r="98" spans="1:39" s="35" customFormat="1" x14ac:dyDescent="0.2">
      <c r="A98" s="35" t="s">
        <v>224</v>
      </c>
      <c r="F98" s="203">
        <f t="shared" ref="F98:K98" si="52">F97-F100</f>
        <v>139025</v>
      </c>
      <c r="G98" s="203">
        <f t="shared" si="52"/>
        <v>139342</v>
      </c>
      <c r="H98" s="203">
        <f t="shared" si="52"/>
        <v>140228</v>
      </c>
      <c r="I98" s="203">
        <f t="shared" si="52"/>
        <v>141105</v>
      </c>
      <c r="J98" s="203">
        <f t="shared" si="52"/>
        <v>141335</v>
      </c>
      <c r="K98" s="203">
        <f t="shared" si="52"/>
        <v>142991</v>
      </c>
      <c r="L98" s="203">
        <f>L97-L100</f>
        <v>143335</v>
      </c>
      <c r="M98" s="301">
        <v>144777</v>
      </c>
      <c r="N98" s="303">
        <f>N97-N100</f>
        <v>145149</v>
      </c>
      <c r="O98" s="343">
        <f>N98*(1+O110)</f>
        <v>145511.8725</v>
      </c>
      <c r="P98" s="133">
        <f t="shared" ref="P98:S98" si="53">O98*(1+P110)</f>
        <v>145875.65218124999</v>
      </c>
      <c r="Q98" s="133">
        <f t="shared" si="53"/>
        <v>146605.03044215622</v>
      </c>
      <c r="R98" s="133">
        <f t="shared" si="53"/>
        <v>147704.5681704724</v>
      </c>
      <c r="S98" s="133">
        <f t="shared" si="53"/>
        <v>149181.61385217714</v>
      </c>
      <c r="T98" s="133">
        <f t="shared" ref="T98:V98" si="54">S98*(1+T109)</f>
        <v>150527.09363455165</v>
      </c>
      <c r="U98" s="133">
        <f t="shared" si="54"/>
        <v>151958.98037542729</v>
      </c>
      <c r="V98" s="133">
        <f t="shared" si="54"/>
        <v>153452.58637237517</v>
      </c>
      <c r="AM98" s="233"/>
    </row>
    <row r="99" spans="1:39" s="35" customFormat="1" x14ac:dyDescent="0.2">
      <c r="F99" s="203"/>
      <c r="G99" s="197"/>
      <c r="H99" s="197"/>
      <c r="I99" s="197"/>
      <c r="J99" s="197"/>
      <c r="K99" s="197"/>
      <c r="L99" s="197"/>
      <c r="M99" s="301"/>
      <c r="N99" s="301"/>
      <c r="O99" s="339"/>
      <c r="AM99" s="233"/>
    </row>
    <row r="100" spans="1:39" s="35" customFormat="1" x14ac:dyDescent="0.2">
      <c r="A100" s="35" t="s">
        <v>221</v>
      </c>
      <c r="B100" s="35" t="s">
        <v>274</v>
      </c>
      <c r="C100" t="s">
        <v>309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 t="str">
        <f>VLOOKUP($C$100,'Haver NA'!$A$1:$J$34,10,0)</f>
        <v>682428</v>
      </c>
      <c r="O100" s="310" t="str">
        <f>VLOOKUP($C$100,'Haver NA'!$A$1:$K$34,11,0)</f>
        <v>694419</v>
      </c>
      <c r="P100" s="135">
        <f>O100*(($AJ$100/$AI$100)^0.1)</f>
        <v>701348.54262191174</v>
      </c>
      <c r="Q100" s="135">
        <f>P100*(1+Q101)</f>
        <v>701348.54262191174</v>
      </c>
      <c r="R100" s="135">
        <f t="shared" ref="R100:V100" si="55">Q100*(1+R101)</f>
        <v>701348.54262191174</v>
      </c>
      <c r="S100" s="135">
        <f t="shared" si="55"/>
        <v>701348.54262191174</v>
      </c>
      <c r="T100" s="135">
        <f t="shared" si="55"/>
        <v>701348.54262191174</v>
      </c>
      <c r="U100" s="135">
        <f t="shared" si="55"/>
        <v>701348.54262191174</v>
      </c>
      <c r="V100" s="135">
        <f t="shared" si="55"/>
        <v>701348.54262191174</v>
      </c>
      <c r="AD100" s="45">
        <f>AVERAGE(J100:M100)/1000</f>
        <v>649.06349999999998</v>
      </c>
      <c r="AE100" s="45">
        <f>AVERAGE(N100:Q100)/1000</f>
        <v>701.34854262191175</v>
      </c>
      <c r="AF100" s="45">
        <f>AVERAGE(R100:U100)/1000</f>
        <v>701.34854262191175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2">
      <c r="A101" s="169" t="s">
        <v>263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323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15">
      <c r="A102" s="153" t="s">
        <v>216</v>
      </c>
      <c r="F102" s="208">
        <f t="shared" ref="F102:L102" si="56">F93/F100</f>
        <v>0.66058231423538405</v>
      </c>
      <c r="G102" s="208">
        <f t="shared" si="56"/>
        <v>0.6749214177505789</v>
      </c>
      <c r="H102" s="208">
        <f t="shared" si="56"/>
        <v>0.68242012696430432</v>
      </c>
      <c r="I102" s="208">
        <f t="shared" si="56"/>
        <v>0.6730637268687778</v>
      </c>
      <c r="J102" s="208">
        <f t="shared" si="56"/>
        <v>0.66395699382859508</v>
      </c>
      <c r="K102" s="208">
        <f t="shared" si="56"/>
        <v>0.67846773573296415</v>
      </c>
      <c r="L102" s="208">
        <f t="shared" si="56"/>
        <v>0.76648081779484256</v>
      </c>
      <c r="M102" s="208">
        <v>0.71094027669909299</v>
      </c>
      <c r="N102" s="208">
        <f t="shared" ref="N102" si="57">N93/N100</f>
        <v>0.75054511245142341</v>
      </c>
      <c r="O102" s="348"/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2">
      <c r="A103" s="35" t="s">
        <v>390</v>
      </c>
      <c r="B103" s="35" t="s">
        <v>274</v>
      </c>
      <c r="C103" t="s">
        <v>310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1989.1679999999999</v>
      </c>
      <c r="O103" s="301">
        <f>VLOOKUP($C$103,'Haver NA'!$A$1:$K$34,11,0)/1000</f>
        <v>1993.271</v>
      </c>
      <c r="P103" s="35">
        <f t="shared" ref="P103:V103" si="58">O103*(1+P105)</f>
        <v>2015.0262230230642</v>
      </c>
      <c r="Q103" s="35">
        <f t="shared" si="58"/>
        <v>2029.3928797364085</v>
      </c>
      <c r="R103" s="35">
        <f t="shared" si="58"/>
        <v>2039.3469204592257</v>
      </c>
      <c r="S103" s="35">
        <f t="shared" si="58"/>
        <v>2049.1983422055191</v>
      </c>
      <c r="T103" s="35">
        <f t="shared" si="58"/>
        <v>2056.3816705621916</v>
      </c>
      <c r="U103" s="35">
        <f t="shared" si="58"/>
        <v>2060.7942865527189</v>
      </c>
      <c r="V103" s="35">
        <f t="shared" si="58"/>
        <v>2062.4361901771008</v>
      </c>
      <c r="AM103" s="233"/>
    </row>
    <row r="104" spans="1:39" s="185" customFormat="1" x14ac:dyDescent="0.2">
      <c r="A104" s="169" t="s">
        <v>278</v>
      </c>
      <c r="B104" s="35"/>
      <c r="C104" s="35"/>
      <c r="D104" s="35"/>
      <c r="F104" s="200"/>
      <c r="G104" s="200">
        <f t="shared" ref="G104:L104" si="59">(G103/F103)-1</f>
        <v>7.8113264233139468E-3</v>
      </c>
      <c r="H104" s="200">
        <f t="shared" si="59"/>
        <v>6.3596164356336526E-3</v>
      </c>
      <c r="I104" s="200">
        <f t="shared" si="59"/>
        <v>1.3823747222907468E-3</v>
      </c>
      <c r="J104" s="200">
        <f t="shared" si="59"/>
        <v>3.5990731154167399E-3</v>
      </c>
      <c r="K104" s="200">
        <f t="shared" si="59"/>
        <v>2.6527805069758159E-3</v>
      </c>
      <c r="L104" s="200">
        <f t="shared" si="59"/>
        <v>-1.36697697207252E-2</v>
      </c>
      <c r="M104" s="302">
        <v>-9.9592668024439668E-3</v>
      </c>
      <c r="N104" s="323">
        <f>(N103/M103)-1</f>
        <v>-1.9482692615492292E-3</v>
      </c>
      <c r="O104" s="349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2">
      <c r="A105" s="169" t="s">
        <v>279</v>
      </c>
      <c r="B105" s="35" t="s">
        <v>274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323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2">
      <c r="A106" s="35" t="s">
        <v>391</v>
      </c>
      <c r="B106" s="35" t="s">
        <v>274</v>
      </c>
      <c r="C106" t="s">
        <v>311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2341.7260000000001</v>
      </c>
      <c r="O106" s="301">
        <f>VLOOKUP($C$106,'Haver NA'!$A$1:$K$34,11,0)/1000</f>
        <v>2389.366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2">
      <c r="F107" s="197"/>
      <c r="G107" s="197"/>
      <c r="H107" s="197"/>
      <c r="I107" s="197"/>
      <c r="J107" s="197"/>
      <c r="K107" s="197"/>
      <c r="L107" s="197"/>
      <c r="M107" s="301"/>
      <c r="N107" s="301"/>
      <c r="O107" s="339">
        <f>N107*(1+O110)</f>
        <v>0</v>
      </c>
      <c r="P107">
        <f t="shared" ref="P107:S107" si="60">O107*(1+P110)</f>
        <v>0</v>
      </c>
      <c r="Q107">
        <f t="shared" si="60"/>
        <v>0</v>
      </c>
      <c r="R107">
        <f t="shared" si="60"/>
        <v>0</v>
      </c>
      <c r="S107">
        <f t="shared" si="60"/>
        <v>0</v>
      </c>
      <c r="T107">
        <f>S107*(1+T109)</f>
        <v>0</v>
      </c>
      <c r="U107">
        <f t="shared" ref="U107:V107" si="61">T107*(1+U109)</f>
        <v>0</v>
      </c>
      <c r="V107">
        <f t="shared" si="61"/>
        <v>0</v>
      </c>
      <c r="W107"/>
      <c r="X107"/>
      <c r="Y107"/>
      <c r="AM107" s="233"/>
    </row>
    <row r="108" spans="1:39" s="185" customFormat="1" x14ac:dyDescent="0.2">
      <c r="A108" s="169" t="s">
        <v>278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2">(K106/J106)-1</f>
        <v>1.0265546788835067E-2</v>
      </c>
      <c r="L108" s="200">
        <f t="shared" ref="L108" si="63">(L106/K106)-1</f>
        <v>-1.9776620759153429E-2</v>
      </c>
      <c r="M108" s="302">
        <v>-8.3608921686818549E-3</v>
      </c>
      <c r="N108" s="323">
        <f>(((N106/M106))^4)-1</f>
        <v>2.0975105073546052E-2</v>
      </c>
      <c r="O108" s="349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2">
      <c r="A109" s="169" t="s">
        <v>279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323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2">
      <c r="A110" s="169" t="s">
        <v>361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323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2">
      <c r="A111" s="35" t="s">
        <v>392</v>
      </c>
      <c r="F111" s="201">
        <f t="shared" ref="F111:L111" si="64">F97+F46-F93</f>
        <v>339220</v>
      </c>
      <c r="G111" s="201">
        <f t="shared" si="64"/>
        <v>334185</v>
      </c>
      <c r="H111" s="201">
        <f t="shared" si="64"/>
        <v>335532</v>
      </c>
      <c r="I111" s="201">
        <f t="shared" si="64"/>
        <v>344546</v>
      </c>
      <c r="J111" s="201">
        <f t="shared" si="64"/>
        <v>349558</v>
      </c>
      <c r="K111" s="201">
        <f t="shared" si="64"/>
        <v>343658</v>
      </c>
      <c r="L111" s="201">
        <f t="shared" si="64"/>
        <v>560584.66666666674</v>
      </c>
      <c r="M111" s="301">
        <v>528408</v>
      </c>
      <c r="N111" s="306">
        <f t="shared" ref="N111:Y111" si="65">N97+N46-N93</f>
        <v>352084</v>
      </c>
      <c r="O111" s="298">
        <f t="shared" si="65"/>
        <v>377160</v>
      </c>
      <c r="P111" s="215">
        <f>P97-P93</f>
        <v>328226.2732629471</v>
      </c>
      <c r="Q111" s="215">
        <f t="shared" ref="Q111:V111" si="66">Q97-Q93</f>
        <v>328955.6515238533</v>
      </c>
      <c r="R111" s="215">
        <f t="shared" si="66"/>
        <v>330055.18925216945</v>
      </c>
      <c r="S111" s="215">
        <f t="shared" si="66"/>
        <v>331532.23493387422</v>
      </c>
      <c r="T111" s="215">
        <f t="shared" si="66"/>
        <v>374958.62727356335</v>
      </c>
      <c r="U111" s="215">
        <f t="shared" si="66"/>
        <v>376390.51401443902</v>
      </c>
      <c r="V111" s="215">
        <f t="shared" si="66"/>
        <v>377884.12001138687</v>
      </c>
      <c r="W111" s="215">
        <f t="shared" si="65"/>
        <v>42154.848383871991</v>
      </c>
      <c r="X111" s="215">
        <f t="shared" si="65"/>
        <v>41519.96001332884</v>
      </c>
      <c r="Y111" s="215">
        <f t="shared" si="65"/>
        <v>0</v>
      </c>
      <c r="AM111" s="233"/>
    </row>
    <row r="112" spans="1:39" s="35" customFormat="1" x14ac:dyDescent="0.2">
      <c r="A112" s="141" t="s">
        <v>208</v>
      </c>
      <c r="B112" s="141"/>
      <c r="E112" s="141"/>
      <c r="F112" s="201">
        <f t="shared" ref="F112:L112" si="67">F100-F93</f>
        <v>200195</v>
      </c>
      <c r="G112" s="201">
        <f t="shared" si="67"/>
        <v>194843</v>
      </c>
      <c r="H112" s="201">
        <f t="shared" si="67"/>
        <v>195304</v>
      </c>
      <c r="I112" s="201">
        <f t="shared" si="67"/>
        <v>203441</v>
      </c>
      <c r="J112" s="201">
        <f t="shared" si="67"/>
        <v>208223</v>
      </c>
      <c r="K112" s="201">
        <f t="shared" si="67"/>
        <v>200667</v>
      </c>
      <c r="L112" s="201">
        <f t="shared" si="67"/>
        <v>156183</v>
      </c>
      <c r="M112" s="301">
        <v>197631</v>
      </c>
      <c r="N112" s="306">
        <f>N100-N93</f>
        <v>170235</v>
      </c>
      <c r="O112" s="298">
        <f t="shared" ref="O112:Y112" si="68">O100-O93</f>
        <v>171256</v>
      </c>
      <c r="P112" s="142">
        <f t="shared" si="68"/>
        <v>182350.62108169706</v>
      </c>
      <c r="Q112" s="142">
        <f t="shared" si="68"/>
        <v>182350.62108169706</v>
      </c>
      <c r="R112" s="142">
        <f t="shared" si="68"/>
        <v>182350.62108169706</v>
      </c>
      <c r="S112" s="142">
        <f t="shared" si="68"/>
        <v>182350.62108169706</v>
      </c>
      <c r="T112" s="142">
        <f t="shared" si="68"/>
        <v>224431.53363901173</v>
      </c>
      <c r="U112" s="142">
        <f t="shared" si="68"/>
        <v>224431.53363901173</v>
      </c>
      <c r="V112" s="142">
        <f t="shared" si="68"/>
        <v>224431.53363901173</v>
      </c>
      <c r="W112" s="142">
        <f t="shared" si="68"/>
        <v>0</v>
      </c>
      <c r="X112" s="142">
        <f t="shared" si="68"/>
        <v>0</v>
      </c>
      <c r="Y112" s="142">
        <f t="shared" si="68"/>
        <v>0</v>
      </c>
      <c r="AM112" s="233"/>
    </row>
    <row r="113" spans="1:39" s="141" customFormat="1" x14ac:dyDescent="0.2">
      <c r="A113" s="141" t="s">
        <v>225</v>
      </c>
      <c r="C113" s="35"/>
      <c r="D113" s="35"/>
      <c r="F113" s="201">
        <f t="shared" ref="F113:K113" si="69">F111-F112</f>
        <v>139025</v>
      </c>
      <c r="G113" s="201">
        <f t="shared" si="69"/>
        <v>139342</v>
      </c>
      <c r="H113" s="201">
        <f t="shared" si="69"/>
        <v>140228</v>
      </c>
      <c r="I113" s="201">
        <f t="shared" si="69"/>
        <v>141105</v>
      </c>
      <c r="J113" s="201">
        <f t="shared" si="69"/>
        <v>141335</v>
      </c>
      <c r="K113" s="201">
        <f t="shared" si="69"/>
        <v>142991</v>
      </c>
      <c r="L113" s="201">
        <f>L111-L112</f>
        <v>404401.66666666674</v>
      </c>
      <c r="M113" s="306">
        <v>330777</v>
      </c>
      <c r="N113" s="306">
        <f>N111-N112</f>
        <v>181849</v>
      </c>
      <c r="O113" s="298">
        <f t="shared" ref="O113:Y113" si="70">O111-O112</f>
        <v>205904</v>
      </c>
      <c r="P113" s="142">
        <f t="shared" si="70"/>
        <v>145875.65218125004</v>
      </c>
      <c r="Q113" s="142">
        <f t="shared" si="70"/>
        <v>146605.03044215625</v>
      </c>
      <c r="R113" s="142">
        <f t="shared" si="70"/>
        <v>147704.5681704724</v>
      </c>
      <c r="S113" s="142">
        <f t="shared" si="70"/>
        <v>149181.61385217716</v>
      </c>
      <c r="T113" s="142">
        <f t="shared" si="70"/>
        <v>150527.09363455162</v>
      </c>
      <c r="U113" s="142">
        <f t="shared" si="70"/>
        <v>151958.98037542729</v>
      </c>
      <c r="V113" s="142">
        <f t="shared" si="70"/>
        <v>153452.58637237514</v>
      </c>
      <c r="W113" s="142">
        <f t="shared" si="70"/>
        <v>42154.848383871991</v>
      </c>
      <c r="X113" s="142">
        <f t="shared" si="70"/>
        <v>41519.96001332884</v>
      </c>
      <c r="Y113" s="142">
        <f t="shared" si="70"/>
        <v>0</v>
      </c>
      <c r="AM113" s="256"/>
    </row>
    <row r="114" spans="1:39" s="35" customFormat="1" x14ac:dyDescent="0.2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2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2">
      <c r="A116" t="s">
        <v>157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2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0C27-49DC-3443-9865-714EC3B80B84}">
  <dimension ref="A1:Z46"/>
  <sheetViews>
    <sheetView topLeftCell="A7" workbookViewId="0">
      <selection activeCell="I30" sqref="I30"/>
    </sheetView>
  </sheetViews>
  <sheetFormatPr baseColWidth="10" defaultColWidth="8.6640625" defaultRowHeight="15" x14ac:dyDescent="0.2"/>
  <cols>
    <col min="1" max="1" width="45.1640625" customWidth="1"/>
    <col min="2" max="2" width="12" bestFit="1" customWidth="1"/>
    <col min="4" max="4" width="9.1640625" bestFit="1" customWidth="1"/>
    <col min="6" max="6" width="11.1640625" bestFit="1" customWidth="1"/>
    <col min="7" max="22" width="9.6640625" customWidth="1"/>
  </cols>
  <sheetData>
    <row r="1" spans="1:15" x14ac:dyDescent="0.2">
      <c r="A1" t="s">
        <v>672</v>
      </c>
    </row>
    <row r="2" spans="1:15" x14ac:dyDescent="0.2">
      <c r="A2" t="s">
        <v>673</v>
      </c>
    </row>
    <row r="3" spans="1:15" x14ac:dyDescent="0.2">
      <c r="A3" t="s">
        <v>674</v>
      </c>
    </row>
    <row r="4" spans="1:15" x14ac:dyDescent="0.2">
      <c r="A4" t="s">
        <v>675</v>
      </c>
    </row>
    <row r="5" spans="1:15" x14ac:dyDescent="0.2">
      <c r="A5" t="s">
        <v>676</v>
      </c>
    </row>
    <row r="6" spans="1:15" x14ac:dyDescent="0.2">
      <c r="A6" s="397" t="s">
        <v>677</v>
      </c>
      <c r="B6" s="397"/>
      <c r="C6" s="397"/>
      <c r="D6" s="397"/>
      <c r="E6" s="397"/>
      <c r="F6" s="397"/>
      <c r="G6" s="397"/>
      <c r="H6" s="397"/>
      <c r="I6" s="397"/>
      <c r="J6" s="397"/>
      <c r="K6" s="397"/>
      <c r="L6" s="397"/>
      <c r="M6" s="397"/>
      <c r="N6" s="352"/>
      <c r="O6" s="352"/>
    </row>
    <row r="7" spans="1:15" ht="16" x14ac:dyDescent="0.2">
      <c r="A7" s="398" t="s">
        <v>32</v>
      </c>
      <c r="B7" s="399"/>
      <c r="C7" s="399"/>
      <c r="D7" s="399"/>
      <c r="E7" s="400"/>
      <c r="F7" s="400"/>
      <c r="G7" s="400"/>
      <c r="H7" s="400"/>
      <c r="I7" s="400"/>
      <c r="J7" s="400"/>
      <c r="K7" s="400"/>
      <c r="L7" s="400"/>
      <c r="M7" s="400"/>
      <c r="N7" s="400"/>
      <c r="O7" s="400"/>
    </row>
    <row r="8" spans="1:15" x14ac:dyDescent="0.2">
      <c r="A8" s="401"/>
      <c r="B8" s="402"/>
      <c r="C8" s="402"/>
      <c r="D8" s="402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</row>
    <row r="9" spans="1:15" x14ac:dyDescent="0.2">
      <c r="A9" s="401"/>
      <c r="B9" s="402"/>
      <c r="C9" s="402"/>
      <c r="D9" s="402"/>
      <c r="E9" s="403"/>
      <c r="F9" s="403"/>
      <c r="G9" s="403"/>
      <c r="H9" s="403"/>
      <c r="I9" s="403"/>
      <c r="J9" s="403"/>
      <c r="K9" s="403"/>
      <c r="L9" s="403"/>
      <c r="M9" s="403"/>
      <c r="N9" s="404" t="s">
        <v>33</v>
      </c>
      <c r="O9" s="404"/>
    </row>
    <row r="10" spans="1:15" ht="16" x14ac:dyDescent="0.2">
      <c r="A10" s="405"/>
      <c r="B10" s="406" t="s">
        <v>34</v>
      </c>
      <c r="C10" s="407"/>
      <c r="D10" s="407"/>
      <c r="E10" s="408"/>
      <c r="F10" s="408"/>
      <c r="G10" s="408"/>
      <c r="H10" s="408"/>
      <c r="I10" s="408"/>
      <c r="J10" s="408"/>
      <c r="K10" s="408"/>
      <c r="L10" s="408"/>
      <c r="M10" s="408"/>
      <c r="N10" s="409" t="s">
        <v>678</v>
      </c>
      <c r="O10" s="409" t="s">
        <v>678</v>
      </c>
    </row>
    <row r="11" spans="1:15" x14ac:dyDescent="0.2">
      <c r="A11" s="410" t="s">
        <v>679</v>
      </c>
      <c r="B11" s="411">
        <v>2020</v>
      </c>
      <c r="C11" s="411">
        <v>2021</v>
      </c>
      <c r="D11" s="411">
        <v>2022</v>
      </c>
      <c r="E11" s="411">
        <v>2023</v>
      </c>
      <c r="F11" s="411">
        <v>2024</v>
      </c>
      <c r="G11" s="411">
        <v>2025</v>
      </c>
      <c r="H11" s="411">
        <v>2026</v>
      </c>
      <c r="I11" s="411">
        <v>2027</v>
      </c>
      <c r="J11" s="411">
        <v>2028</v>
      </c>
      <c r="K11" s="411">
        <v>2029</v>
      </c>
      <c r="L11" s="411">
        <v>2030</v>
      </c>
      <c r="M11" s="411">
        <v>2031</v>
      </c>
      <c r="N11" s="411">
        <v>2026</v>
      </c>
      <c r="O11" s="411">
        <v>2031</v>
      </c>
    </row>
    <row r="12" spans="1:15" ht="31" x14ac:dyDescent="0.2">
      <c r="A12" s="412" t="s">
        <v>680</v>
      </c>
      <c r="B12" s="43">
        <v>473.16500000000002</v>
      </c>
      <c r="C12" s="43">
        <v>242.08699999999999</v>
      </c>
      <c r="D12" s="43">
        <v>40.164000000000001</v>
      </c>
      <c r="E12" s="43">
        <v>37.088999999999999</v>
      </c>
      <c r="F12" s="43">
        <v>36.167000000000002</v>
      </c>
      <c r="G12" s="43">
        <v>34.216999999999999</v>
      </c>
      <c r="H12" s="43">
        <v>33.183999999999997</v>
      </c>
      <c r="I12" s="43">
        <v>33.901000000000003</v>
      </c>
      <c r="J12" s="43">
        <v>35.832000000000001</v>
      </c>
      <c r="K12" s="43">
        <v>37.915999999999997</v>
      </c>
      <c r="L12" s="43">
        <v>40.545000000000002</v>
      </c>
      <c r="M12" s="43">
        <v>45.503</v>
      </c>
      <c r="N12" s="43">
        <v>180.821</v>
      </c>
      <c r="O12" s="43">
        <v>374.51799999999997</v>
      </c>
    </row>
    <row r="13" spans="1:15" x14ac:dyDescent="0.2">
      <c r="A13" s="413" t="s">
        <v>681</v>
      </c>
      <c r="B13" s="43"/>
      <c r="C13" s="414">
        <f>(425+350)/4</f>
        <v>193.75</v>
      </c>
      <c r="D13" s="43" t="s">
        <v>682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</row>
    <row r="14" spans="1:15" x14ac:dyDescent="0.2">
      <c r="A14" s="413"/>
      <c r="B14" s="43"/>
      <c r="C14" s="43">
        <f>C13+C12</f>
        <v>435.83699999999999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</row>
    <row r="15" spans="1:15" x14ac:dyDescent="0.2">
      <c r="A15" s="41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</row>
    <row r="16" spans="1:15" x14ac:dyDescent="0.2">
      <c r="A16" t="s">
        <v>683</v>
      </c>
      <c r="B16" s="415" t="s">
        <v>105</v>
      </c>
      <c r="C16" s="415"/>
      <c r="D16" s="415"/>
      <c r="E16" s="415"/>
      <c r="F16" s="415"/>
      <c r="G16" s="415"/>
      <c r="H16" s="416"/>
      <c r="I16" s="416"/>
      <c r="J16" s="416"/>
      <c r="K16" s="416"/>
      <c r="L16" s="416"/>
      <c r="M16" s="416"/>
      <c r="N16" s="416"/>
      <c r="O16" s="416"/>
    </row>
    <row r="17" spans="1:17" ht="12.5" customHeight="1" x14ac:dyDescent="0.2">
      <c r="B17" s="417">
        <v>2019</v>
      </c>
      <c r="C17" s="415">
        <v>2020</v>
      </c>
      <c r="D17" s="415"/>
      <c r="E17" s="415"/>
      <c r="F17" s="415"/>
      <c r="G17" s="415">
        <v>2021</v>
      </c>
      <c r="H17" s="415"/>
      <c r="I17" s="415"/>
      <c r="J17" s="415"/>
      <c r="K17" s="415">
        <v>2022</v>
      </c>
      <c r="L17" s="415"/>
      <c r="M17" s="415"/>
      <c r="N17" s="415"/>
      <c r="O17" s="416"/>
    </row>
    <row r="18" spans="1:17" x14ac:dyDescent="0.2">
      <c r="B18" s="417" t="s">
        <v>134</v>
      </c>
      <c r="C18" s="417" t="s">
        <v>109</v>
      </c>
      <c r="D18" s="417" t="s">
        <v>110</v>
      </c>
      <c r="E18" s="417" t="s">
        <v>111</v>
      </c>
      <c r="F18" s="417" t="s">
        <v>134</v>
      </c>
      <c r="G18" s="417" t="s">
        <v>109</v>
      </c>
      <c r="H18" s="417" t="s">
        <v>110</v>
      </c>
      <c r="I18" s="417" t="s">
        <v>111</v>
      </c>
      <c r="J18" s="417" t="s">
        <v>134</v>
      </c>
      <c r="K18" s="417" t="s">
        <v>109</v>
      </c>
      <c r="L18" s="417" t="s">
        <v>110</v>
      </c>
      <c r="M18" s="417" t="s">
        <v>111</v>
      </c>
      <c r="N18" s="417" t="s">
        <v>134</v>
      </c>
      <c r="O18" s="417"/>
    </row>
    <row r="19" spans="1:17" x14ac:dyDescent="0.2"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</row>
    <row r="20" spans="1:17" x14ac:dyDescent="0.2">
      <c r="A20" s="418" t="s">
        <v>684</v>
      </c>
      <c r="B20" s="419">
        <v>27.9</v>
      </c>
      <c r="C20" s="419">
        <v>43.4</v>
      </c>
      <c r="D20" s="419">
        <v>1084.5999999999999</v>
      </c>
      <c r="E20" s="419">
        <v>775.2</v>
      </c>
      <c r="F20" s="419">
        <v>296.39999999999998</v>
      </c>
      <c r="G20" s="419">
        <v>544.29999999999995</v>
      </c>
      <c r="H20" s="64"/>
      <c r="I20" s="420"/>
      <c r="J20" s="64"/>
      <c r="K20" s="64"/>
      <c r="L20" s="64"/>
      <c r="M20" s="64"/>
    </row>
    <row r="21" spans="1:17" ht="16" x14ac:dyDescent="0.2">
      <c r="A21" s="115" t="s">
        <v>685</v>
      </c>
      <c r="B21" s="351"/>
      <c r="C21" s="419" t="s">
        <v>686</v>
      </c>
      <c r="D21" s="419" t="s">
        <v>686</v>
      </c>
      <c r="E21" s="419">
        <v>3.1</v>
      </c>
      <c r="F21" s="419">
        <v>11</v>
      </c>
      <c r="G21" s="419">
        <v>18.600000000000001</v>
      </c>
      <c r="H21" s="64"/>
      <c r="I21" s="64"/>
      <c r="J21" s="64"/>
      <c r="K21" s="64"/>
      <c r="L21" s="64"/>
      <c r="M21" s="64"/>
    </row>
    <row r="22" spans="1:17" ht="16" x14ac:dyDescent="0.2">
      <c r="A22" s="421" t="s">
        <v>687</v>
      </c>
      <c r="B22" s="422"/>
      <c r="C22" s="419" t="s">
        <v>686</v>
      </c>
      <c r="D22" s="419">
        <v>7.2</v>
      </c>
      <c r="E22" s="419">
        <v>23.9</v>
      </c>
      <c r="F22" s="419">
        <v>63.6</v>
      </c>
      <c r="G22" s="419">
        <v>74.099999999999994</v>
      </c>
      <c r="H22" s="64"/>
      <c r="I22" s="64"/>
      <c r="J22" s="64"/>
      <c r="K22" s="64"/>
      <c r="L22" s="64"/>
      <c r="M22" s="64"/>
    </row>
    <row r="23" spans="1:17" ht="16" x14ac:dyDescent="0.2">
      <c r="A23" s="421" t="s">
        <v>688</v>
      </c>
      <c r="B23" s="422"/>
      <c r="C23" s="419" t="s">
        <v>686</v>
      </c>
      <c r="D23" s="419">
        <v>101.5</v>
      </c>
      <c r="E23" s="419">
        <v>156.1</v>
      </c>
      <c r="F23" s="419">
        <v>110.3</v>
      </c>
      <c r="G23" s="419">
        <v>97.2</v>
      </c>
      <c r="H23" s="64"/>
      <c r="I23" s="64"/>
      <c r="J23" s="64"/>
      <c r="K23" s="64"/>
      <c r="L23" s="64"/>
      <c r="M23" s="64"/>
    </row>
    <row r="24" spans="1:17" ht="16" x14ac:dyDescent="0.2">
      <c r="A24" s="421" t="s">
        <v>689</v>
      </c>
      <c r="B24" s="422"/>
      <c r="C24" s="419" t="s">
        <v>686</v>
      </c>
      <c r="D24" s="419">
        <v>679.2</v>
      </c>
      <c r="E24" s="419">
        <v>373.1</v>
      </c>
      <c r="F24" s="419">
        <v>13.6</v>
      </c>
      <c r="G24" s="419">
        <v>283.60000000000002</v>
      </c>
      <c r="H24" s="64"/>
      <c r="I24" s="64"/>
      <c r="J24" s="64"/>
      <c r="K24" s="64"/>
      <c r="L24" s="64"/>
      <c r="M24" s="64"/>
    </row>
    <row r="25" spans="1:17" ht="18" x14ac:dyDescent="0.2">
      <c r="A25" s="423" t="s">
        <v>690</v>
      </c>
      <c r="B25" s="64"/>
      <c r="C25" s="64"/>
      <c r="D25" s="64"/>
      <c r="E25" s="419">
        <v>106.2</v>
      </c>
      <c r="F25" s="419">
        <v>35.9</v>
      </c>
      <c r="G25" s="419">
        <v>1.6</v>
      </c>
    </row>
    <row r="26" spans="1:17" x14ac:dyDescent="0.2">
      <c r="H26" s="415" t="s">
        <v>691</v>
      </c>
      <c r="I26" s="415"/>
      <c r="J26" s="415"/>
      <c r="K26" s="415"/>
      <c r="L26" s="415"/>
      <c r="M26" s="415"/>
      <c r="N26" s="415"/>
      <c r="O26" s="415"/>
    </row>
    <row r="27" spans="1:17" x14ac:dyDescent="0.2">
      <c r="A27" t="s">
        <v>692</v>
      </c>
      <c r="B27" s="420">
        <f t="shared" ref="B27:G27" si="0">B20+B25</f>
        <v>27.9</v>
      </c>
      <c r="C27" s="420">
        <f t="shared" si="0"/>
        <v>43.4</v>
      </c>
      <c r="D27" s="420">
        <f t="shared" si="0"/>
        <v>1084.5999999999999</v>
      </c>
      <c r="E27" s="420">
        <f t="shared" si="0"/>
        <v>881.40000000000009</v>
      </c>
      <c r="F27" s="420">
        <f t="shared" si="0"/>
        <v>332.29999999999995</v>
      </c>
      <c r="G27" s="420">
        <f t="shared" si="0"/>
        <v>545.9</v>
      </c>
      <c r="H27" s="420">
        <f>H30+H31</f>
        <v>497.19999999999993</v>
      </c>
      <c r="I27" s="420">
        <f t="shared" ref="I27:O27" si="1">I30+I31</f>
        <v>417.82132622459176</v>
      </c>
      <c r="J27" s="420">
        <f t="shared" si="1"/>
        <v>63.947884038653726</v>
      </c>
      <c r="K27" s="420">
        <f t="shared" si="1"/>
        <v>61.433755414861658</v>
      </c>
      <c r="L27" s="420">
        <f t="shared" si="1"/>
        <v>60.736054648450462</v>
      </c>
      <c r="M27" s="420">
        <f t="shared" si="1"/>
        <v>59.436887704098574</v>
      </c>
      <c r="N27" s="420">
        <f t="shared" si="1"/>
        <v>58.450483172275852</v>
      </c>
      <c r="O27" s="420">
        <f t="shared" si="1"/>
        <v>58.306131289570089</v>
      </c>
    </row>
    <row r="28" spans="1:17" x14ac:dyDescent="0.2">
      <c r="A28" t="s">
        <v>693</v>
      </c>
      <c r="E28" s="420">
        <f>E21</f>
        <v>3.1</v>
      </c>
      <c r="F28" s="420">
        <f>F21</f>
        <v>11</v>
      </c>
      <c r="G28" s="420">
        <f>G21</f>
        <v>18.600000000000001</v>
      </c>
      <c r="H28">
        <v>20</v>
      </c>
      <c r="I28" s="3">
        <f t="shared" ref="I28:O28" si="2">H28*I34/H34</f>
        <v>18.787070976341219</v>
      </c>
      <c r="J28" s="3">
        <f t="shared" si="2"/>
        <v>17.714095301566143</v>
      </c>
      <c r="K28" s="3">
        <f t="shared" si="2"/>
        <v>17.017660779740083</v>
      </c>
      <c r="L28" s="3">
        <f t="shared" si="2"/>
        <v>16.824391869376871</v>
      </c>
      <c r="M28" s="3">
        <f t="shared" si="2"/>
        <v>16.464511829390197</v>
      </c>
      <c r="N28" s="3">
        <f t="shared" si="2"/>
        <v>16.191269576807727</v>
      </c>
      <c r="O28" s="3">
        <f t="shared" si="2"/>
        <v>16.1512829056981</v>
      </c>
      <c r="P28">
        <v>4</v>
      </c>
    </row>
    <row r="29" spans="1:17" x14ac:dyDescent="0.2">
      <c r="A29" t="s">
        <v>694</v>
      </c>
      <c r="D29" s="420">
        <f>SUM(D21:D24)</f>
        <v>787.90000000000009</v>
      </c>
      <c r="E29" s="420">
        <f>SUM(E21:E24)+E25</f>
        <v>662.40000000000009</v>
      </c>
      <c r="F29" s="420">
        <f>SUM(F21:F24)+F25</f>
        <v>234.39999999999998</v>
      </c>
      <c r="G29" s="420">
        <f>SUM(G21:G24)+G25</f>
        <v>475.1</v>
      </c>
      <c r="H29" s="420">
        <v>425</v>
      </c>
      <c r="I29">
        <v>350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Q29" t="s">
        <v>695</v>
      </c>
    </row>
    <row r="30" spans="1:17" x14ac:dyDescent="0.2">
      <c r="A30" t="s">
        <v>696</v>
      </c>
      <c r="D30" s="420">
        <f>D29+D28</f>
        <v>787.90000000000009</v>
      </c>
      <c r="E30" s="420">
        <f t="shared" ref="E30:O30" si="3">E29+E28</f>
        <v>665.50000000000011</v>
      </c>
      <c r="F30" s="420">
        <f t="shared" si="3"/>
        <v>245.39999999999998</v>
      </c>
      <c r="G30" s="420">
        <f t="shared" si="3"/>
        <v>493.70000000000005</v>
      </c>
      <c r="H30" s="420">
        <f t="shared" si="3"/>
        <v>445</v>
      </c>
      <c r="I30" s="420">
        <f t="shared" si="3"/>
        <v>368.78707097634123</v>
      </c>
      <c r="J30" s="420">
        <f t="shared" si="3"/>
        <v>17.714095301566143</v>
      </c>
      <c r="K30" s="420">
        <f t="shared" si="3"/>
        <v>17.017660779740083</v>
      </c>
      <c r="L30" s="420">
        <f t="shared" si="3"/>
        <v>16.824391869376871</v>
      </c>
      <c r="M30" s="420">
        <f t="shared" si="3"/>
        <v>16.464511829390197</v>
      </c>
      <c r="N30" s="420">
        <f t="shared" si="3"/>
        <v>16.191269576807727</v>
      </c>
      <c r="O30" s="420">
        <f t="shared" si="3"/>
        <v>16.1512829056981</v>
      </c>
      <c r="Q30" t="s">
        <v>697</v>
      </c>
    </row>
    <row r="31" spans="1:17" x14ac:dyDescent="0.2">
      <c r="A31" t="s">
        <v>698</v>
      </c>
      <c r="B31" s="420">
        <f>B27</f>
        <v>27.9</v>
      </c>
      <c r="C31" s="420">
        <f>C27</f>
        <v>43.4</v>
      </c>
      <c r="D31" s="420">
        <f>D27-D30</f>
        <v>296.69999999999982</v>
      </c>
      <c r="E31" s="420">
        <f t="shared" ref="E31:G31" si="4">E27-E30</f>
        <v>215.89999999999998</v>
      </c>
      <c r="F31" s="420">
        <f t="shared" si="4"/>
        <v>86.899999999999977</v>
      </c>
      <c r="G31" s="420">
        <f t="shared" si="4"/>
        <v>52.199999999999932</v>
      </c>
      <c r="H31" s="420">
        <f>G31</f>
        <v>52.199999999999932</v>
      </c>
      <c r="I31" s="420">
        <f t="shared" ref="I31:P31" si="5">I34/H34*H31</f>
        <v>49.034255248250524</v>
      </c>
      <c r="J31" s="420">
        <f t="shared" si="5"/>
        <v>46.233788737087579</v>
      </c>
      <c r="K31" s="420">
        <f t="shared" si="5"/>
        <v>44.416094635121574</v>
      </c>
      <c r="L31" s="420">
        <f t="shared" si="5"/>
        <v>43.911662779073588</v>
      </c>
      <c r="M31" s="420">
        <f t="shared" si="5"/>
        <v>42.972375874708376</v>
      </c>
      <c r="N31" s="420">
        <f t="shared" si="5"/>
        <v>42.259213595468125</v>
      </c>
      <c r="O31" s="420">
        <f t="shared" si="5"/>
        <v>42.154848383871993</v>
      </c>
      <c r="P31" s="420">
        <f t="shared" si="5"/>
        <v>41.519960013328841</v>
      </c>
      <c r="Q31" t="s">
        <v>699</v>
      </c>
    </row>
    <row r="34" spans="1:26" x14ac:dyDescent="0.2">
      <c r="A34" t="s">
        <v>700</v>
      </c>
      <c r="C34" s="424">
        <v>3.8</v>
      </c>
      <c r="D34" s="424">
        <v>13.066000000000001</v>
      </c>
      <c r="E34" s="424">
        <v>8.8000000000000007</v>
      </c>
      <c r="F34" s="424">
        <v>6.766</v>
      </c>
      <c r="G34" s="424">
        <v>6.0119999999999996</v>
      </c>
      <c r="H34" s="424">
        <v>6.0019999999999998</v>
      </c>
      <c r="I34" s="424">
        <v>5.6379999999999999</v>
      </c>
      <c r="J34" s="424">
        <v>5.3159999999999998</v>
      </c>
      <c r="K34" s="424">
        <v>5.1070000000000002</v>
      </c>
      <c r="L34" s="424">
        <v>5.0490000000000004</v>
      </c>
      <c r="M34" s="424">
        <v>4.9409999999999998</v>
      </c>
      <c r="N34" s="424">
        <v>4.859</v>
      </c>
      <c r="O34" s="424">
        <v>4.8470000000000004</v>
      </c>
      <c r="P34" s="424">
        <v>4.774</v>
      </c>
      <c r="Q34" t="s">
        <v>701</v>
      </c>
    </row>
    <row r="35" spans="1:26" x14ac:dyDescent="0.2">
      <c r="Q35" t="s">
        <v>702</v>
      </c>
    </row>
    <row r="36" spans="1:26" x14ac:dyDescent="0.2">
      <c r="Q36" t="s">
        <v>703</v>
      </c>
      <c r="R36" s="420">
        <f>AVERAGE(F27:I27)-(F25+G25)/4</f>
        <v>438.93033155614791</v>
      </c>
      <c r="S36" t="s">
        <v>704</v>
      </c>
    </row>
    <row r="41" spans="1:26" x14ac:dyDescent="0.2">
      <c r="C41" s="415">
        <v>2020</v>
      </c>
      <c r="D41" s="415"/>
      <c r="E41" s="415"/>
      <c r="F41" s="415"/>
      <c r="G41" s="415">
        <v>2021</v>
      </c>
      <c r="H41" s="415"/>
      <c r="I41" s="415"/>
      <c r="J41" s="415"/>
    </row>
    <row r="42" spans="1:26" x14ac:dyDescent="0.2">
      <c r="C42" s="417" t="s">
        <v>109</v>
      </c>
      <c r="D42" s="417" t="s">
        <v>110</v>
      </c>
      <c r="E42" s="417" t="s">
        <v>111</v>
      </c>
      <c r="F42" s="417" t="s">
        <v>134</v>
      </c>
      <c r="G42" s="417" t="s">
        <v>109</v>
      </c>
      <c r="H42" s="417" t="s">
        <v>110</v>
      </c>
      <c r="I42" s="417" t="s">
        <v>111</v>
      </c>
      <c r="J42" s="417" t="s">
        <v>134</v>
      </c>
    </row>
    <row r="43" spans="1:26" x14ac:dyDescent="0.2">
      <c r="B43" t="s">
        <v>705</v>
      </c>
      <c r="C43" s="425"/>
      <c r="D43" s="425">
        <v>788</v>
      </c>
      <c r="E43" s="425">
        <v>662.4</v>
      </c>
      <c r="F43" s="425">
        <v>234.333333333333</v>
      </c>
      <c r="G43" s="425">
        <v>475.13333333333298</v>
      </c>
      <c r="H43" s="425">
        <v>108</v>
      </c>
      <c r="I43" s="425">
        <v>0</v>
      </c>
      <c r="J43" s="425">
        <v>0</v>
      </c>
      <c r="K43" s="425">
        <v>0</v>
      </c>
      <c r="L43" s="425">
        <v>0</v>
      </c>
      <c r="M43" s="425">
        <v>0</v>
      </c>
      <c r="N43" s="425">
        <v>0</v>
      </c>
      <c r="O43" s="425">
        <v>0</v>
      </c>
      <c r="P43" s="425">
        <v>0</v>
      </c>
      <c r="Q43" s="425">
        <v>0</v>
      </c>
    </row>
    <row r="44" spans="1:26" x14ac:dyDescent="0.2">
      <c r="B44" t="s">
        <v>706</v>
      </c>
      <c r="C44" s="425">
        <v>0</v>
      </c>
      <c r="D44" s="425">
        <v>0</v>
      </c>
      <c r="E44" s="425">
        <v>0</v>
      </c>
      <c r="F44" s="425">
        <v>0</v>
      </c>
      <c r="G44" s="425">
        <v>0</v>
      </c>
      <c r="H44" s="425">
        <v>425.20704000000001</v>
      </c>
      <c r="I44" s="425">
        <v>350</v>
      </c>
      <c r="J44" s="425">
        <v>0</v>
      </c>
      <c r="K44" s="425">
        <v>0</v>
      </c>
      <c r="L44" s="425">
        <v>0</v>
      </c>
      <c r="M44" s="425">
        <v>0</v>
      </c>
      <c r="N44" s="425">
        <v>0</v>
      </c>
      <c r="O44" s="425">
        <v>0</v>
      </c>
      <c r="P44" s="425">
        <v>0</v>
      </c>
      <c r="Q44" s="425">
        <v>0</v>
      </c>
    </row>
    <row r="45" spans="1:26" x14ac:dyDescent="0.2">
      <c r="B45" t="s">
        <v>707</v>
      </c>
      <c r="C45" s="425">
        <v>43.4</v>
      </c>
      <c r="D45" s="425">
        <v>296.60000000000002</v>
      </c>
      <c r="E45" s="425">
        <v>112.8</v>
      </c>
      <c r="F45" s="425">
        <v>62.066666666666599</v>
      </c>
      <c r="G45" s="425">
        <v>69.1666666666666</v>
      </c>
      <c r="H45" s="425">
        <v>44</v>
      </c>
      <c r="I45" s="425">
        <v>44</v>
      </c>
      <c r="J45" s="425">
        <v>44</v>
      </c>
      <c r="K45" s="425">
        <v>44</v>
      </c>
      <c r="L45" s="425">
        <v>44</v>
      </c>
      <c r="M45" s="425">
        <v>44</v>
      </c>
      <c r="N45" s="425">
        <v>44</v>
      </c>
      <c r="O45" s="425">
        <v>0</v>
      </c>
      <c r="P45" s="425">
        <v>0</v>
      </c>
      <c r="Q45" s="425">
        <v>0</v>
      </c>
      <c r="R45" s="425">
        <v>0</v>
      </c>
      <c r="S45" s="425">
        <v>0</v>
      </c>
      <c r="T45" s="425">
        <v>0</v>
      </c>
      <c r="U45" s="425">
        <v>0</v>
      </c>
      <c r="V45" s="425">
        <v>0</v>
      </c>
      <c r="W45" s="425">
        <v>0</v>
      </c>
      <c r="X45" s="425">
        <v>0</v>
      </c>
      <c r="Y45" s="425">
        <v>0</v>
      </c>
      <c r="Z45" s="425">
        <v>0</v>
      </c>
    </row>
    <row r="46" spans="1:26" x14ac:dyDescent="0.2">
      <c r="B46" t="s">
        <v>13</v>
      </c>
      <c r="C46" s="94">
        <f>SUM(C43:C45)</f>
        <v>43.4</v>
      </c>
      <c r="D46" s="94">
        <f t="shared" ref="D46:N46" si="6">SUM(D43:D45)</f>
        <v>1084.5999999999999</v>
      </c>
      <c r="E46" s="94">
        <f t="shared" si="6"/>
        <v>775.19999999999993</v>
      </c>
      <c r="F46" s="94">
        <f t="shared" si="6"/>
        <v>296.39999999999958</v>
      </c>
      <c r="G46" s="94">
        <f t="shared" si="6"/>
        <v>544.29999999999961</v>
      </c>
      <c r="H46" s="94">
        <f t="shared" si="6"/>
        <v>577.20704000000001</v>
      </c>
      <c r="I46" s="94">
        <f t="shared" si="6"/>
        <v>394</v>
      </c>
      <c r="J46" s="94">
        <f t="shared" si="6"/>
        <v>44</v>
      </c>
      <c r="K46" s="94">
        <f t="shared" si="6"/>
        <v>44</v>
      </c>
      <c r="L46" s="94">
        <f t="shared" si="6"/>
        <v>44</v>
      </c>
      <c r="M46" s="94">
        <f t="shared" si="6"/>
        <v>44</v>
      </c>
      <c r="N46" s="94">
        <f t="shared" si="6"/>
        <v>44</v>
      </c>
    </row>
  </sheetData>
  <mergeCells count="9">
    <mergeCell ref="H26:O26"/>
    <mergeCell ref="C41:F41"/>
    <mergeCell ref="G41:J41"/>
    <mergeCell ref="A6:M6"/>
    <mergeCell ref="N9:O9"/>
    <mergeCell ref="B16:G16"/>
    <mergeCell ref="C17:F17"/>
    <mergeCell ref="G17:J17"/>
    <mergeCell ref="K17:N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9CCE-42A9-4A07-8071-0CF6958B7C48}">
  <dimension ref="A1:J16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24.6640625" customWidth="1"/>
  </cols>
  <sheetData>
    <row r="1" spans="1:10" x14ac:dyDescent="0.2">
      <c r="B1" t="s">
        <v>373</v>
      </c>
      <c r="C1" t="s">
        <v>374</v>
      </c>
      <c r="D1" t="s">
        <v>375</v>
      </c>
      <c r="E1" t="s">
        <v>376</v>
      </c>
      <c r="F1" t="s">
        <v>116</v>
      </c>
      <c r="G1" t="s">
        <v>378</v>
      </c>
      <c r="H1" t="s">
        <v>379</v>
      </c>
      <c r="I1" t="s">
        <v>380</v>
      </c>
      <c r="J1" t="s">
        <v>381</v>
      </c>
    </row>
    <row r="2" spans="1:10" x14ac:dyDescent="0.2">
      <c r="A2" t="s">
        <v>377</v>
      </c>
      <c r="B2">
        <v>2</v>
      </c>
      <c r="C2">
        <v>91</v>
      </c>
      <c r="D2">
        <v>86</v>
      </c>
      <c r="E2">
        <f>261-SUM(B2:D2)</f>
        <v>82</v>
      </c>
    </row>
    <row r="4" spans="1:10" x14ac:dyDescent="0.2">
      <c r="A4" t="s">
        <v>373</v>
      </c>
      <c r="B4">
        <f>$B2/6</f>
        <v>0.33333333333333331</v>
      </c>
      <c r="C4">
        <f t="shared" ref="C4:G4" si="0">$B2/6</f>
        <v>0.33333333333333331</v>
      </c>
      <c r="D4">
        <f t="shared" si="0"/>
        <v>0.33333333333333331</v>
      </c>
      <c r="E4">
        <f t="shared" si="0"/>
        <v>0.33333333333333331</v>
      </c>
      <c r="F4">
        <f t="shared" si="0"/>
        <v>0.33333333333333331</v>
      </c>
      <c r="G4">
        <f t="shared" si="0"/>
        <v>0.33333333333333331</v>
      </c>
    </row>
    <row r="5" spans="1:10" x14ac:dyDescent="0.2">
      <c r="A5" t="s">
        <v>374</v>
      </c>
      <c r="C5">
        <f>$C2/6</f>
        <v>15.166666666666666</v>
      </c>
      <c r="D5">
        <f t="shared" ref="D5:H5" si="1">$C2/6</f>
        <v>15.166666666666666</v>
      </c>
      <c r="E5">
        <f t="shared" si="1"/>
        <v>15.166666666666666</v>
      </c>
      <c r="F5">
        <f t="shared" si="1"/>
        <v>15.166666666666666</v>
      </c>
      <c r="G5">
        <f t="shared" si="1"/>
        <v>15.166666666666666</v>
      </c>
      <c r="H5">
        <f t="shared" si="1"/>
        <v>15.166666666666666</v>
      </c>
    </row>
    <row r="6" spans="1:10" x14ac:dyDescent="0.2">
      <c r="A6" t="s">
        <v>375</v>
      </c>
      <c r="D6">
        <f>$D2/6</f>
        <v>14.333333333333334</v>
      </c>
      <c r="E6">
        <f t="shared" ref="E6:I6" si="2">$D2/6</f>
        <v>14.333333333333334</v>
      </c>
      <c r="F6">
        <f t="shared" si="2"/>
        <v>14.333333333333334</v>
      </c>
      <c r="G6">
        <f t="shared" si="2"/>
        <v>14.333333333333334</v>
      </c>
      <c r="H6">
        <f t="shared" si="2"/>
        <v>14.333333333333334</v>
      </c>
      <c r="I6">
        <f t="shared" si="2"/>
        <v>14.333333333333334</v>
      </c>
    </row>
    <row r="7" spans="1:10" x14ac:dyDescent="0.2">
      <c r="A7" t="s">
        <v>376</v>
      </c>
      <c r="E7">
        <f>$E2/6</f>
        <v>13.666666666666666</v>
      </c>
      <c r="F7">
        <f t="shared" ref="F7:J7" si="3">$E2/6</f>
        <v>13.666666666666666</v>
      </c>
      <c r="G7">
        <f t="shared" si="3"/>
        <v>13.666666666666666</v>
      </c>
      <c r="H7">
        <f t="shared" si="3"/>
        <v>13.666666666666666</v>
      </c>
      <c r="I7">
        <f t="shared" si="3"/>
        <v>13.666666666666666</v>
      </c>
      <c r="J7">
        <f t="shared" si="3"/>
        <v>13.666666666666666</v>
      </c>
    </row>
    <row r="9" spans="1:10" x14ac:dyDescent="0.2">
      <c r="A9" t="s">
        <v>33</v>
      </c>
      <c r="B9">
        <f>SUM(B4:B7)</f>
        <v>0.33333333333333331</v>
      </c>
      <c r="C9">
        <f t="shared" ref="C9:J9" si="4">SUM(C4:C7)</f>
        <v>15.5</v>
      </c>
      <c r="D9">
        <f t="shared" si="4"/>
        <v>29.833333333333336</v>
      </c>
      <c r="E9">
        <f t="shared" si="4"/>
        <v>43.5</v>
      </c>
      <c r="F9">
        <f t="shared" si="4"/>
        <v>43.5</v>
      </c>
      <c r="G9">
        <f t="shared" si="4"/>
        <v>43.5</v>
      </c>
      <c r="H9">
        <f t="shared" si="4"/>
        <v>43.166666666666664</v>
      </c>
      <c r="I9">
        <f t="shared" si="4"/>
        <v>28</v>
      </c>
      <c r="J9">
        <f t="shared" si="4"/>
        <v>13.666666666666666</v>
      </c>
    </row>
    <row r="11" spans="1:10" x14ac:dyDescent="0.2">
      <c r="B11" t="s">
        <v>109</v>
      </c>
      <c r="C11" t="s">
        <v>110</v>
      </c>
      <c r="D11" t="s">
        <v>111</v>
      </c>
      <c r="E11" t="s">
        <v>134</v>
      </c>
    </row>
    <row r="12" spans="1:10" x14ac:dyDescent="0.2">
      <c r="A12" t="s">
        <v>383</v>
      </c>
      <c r="B12">
        <f>SUM(B9:D9)*4</f>
        <v>182.66666666666669</v>
      </c>
      <c r="C12">
        <f>SUM(E9:G9)*4</f>
        <v>522</v>
      </c>
      <c r="D12">
        <f>SUM(H9:J9)*4</f>
        <v>339.33333333333331</v>
      </c>
    </row>
    <row r="13" spans="1:10" ht="96" customHeight="1" x14ac:dyDescent="0.2">
      <c r="A13" s="86" t="s">
        <v>382</v>
      </c>
      <c r="B13">
        <f>B12*325/261</f>
        <v>227.45849297573437</v>
      </c>
      <c r="C13">
        <f t="shared" ref="C13:D13" si="5">C12*325/261</f>
        <v>650</v>
      </c>
      <c r="D13">
        <f t="shared" si="5"/>
        <v>422.54150702426563</v>
      </c>
    </row>
    <row r="14" spans="1:10" x14ac:dyDescent="0.2">
      <c r="A14" t="s">
        <v>384</v>
      </c>
      <c r="B14">
        <f>SUM(B2:D2)*4</f>
        <v>716</v>
      </c>
      <c r="C14">
        <f>E2*4</f>
        <v>328</v>
      </c>
    </row>
    <row r="15" spans="1:10" x14ac:dyDescent="0.2">
      <c r="A15" t="s">
        <v>385</v>
      </c>
      <c r="B15">
        <f>B14*325/261</f>
        <v>891.57088122605364</v>
      </c>
      <c r="C15">
        <f>C14*325/261</f>
        <v>408.42911877394636</v>
      </c>
    </row>
    <row r="16" spans="1:10" x14ac:dyDescent="0.2">
      <c r="B16" t="s">
        <v>386</v>
      </c>
    </row>
  </sheetData>
  <phoneticPr fontId="3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345</v>
      </c>
      <c r="B1" s="97" t="s">
        <v>346</v>
      </c>
      <c r="C1" s="97" t="s">
        <v>347</v>
      </c>
    </row>
    <row r="2" spans="1:3" x14ac:dyDescent="0.2">
      <c r="A2" s="289" t="s">
        <v>349</v>
      </c>
      <c r="B2" s="289">
        <v>325</v>
      </c>
      <c r="C2" s="290">
        <f>B2*1000</f>
        <v>325000</v>
      </c>
    </row>
    <row r="3" spans="1:3" x14ac:dyDescent="0.2">
      <c r="A3" s="289" t="s">
        <v>350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19</v>
      </c>
      <c r="B4" s="289">
        <v>166</v>
      </c>
      <c r="C4" s="290">
        <f t="shared" si="0"/>
        <v>166000</v>
      </c>
    </row>
    <row r="5" spans="1:3" x14ac:dyDescent="0.2">
      <c r="A5" s="289" t="s">
        <v>196</v>
      </c>
      <c r="B5" s="289">
        <v>82</v>
      </c>
      <c r="C5" s="290">
        <f t="shared" si="0"/>
        <v>82000</v>
      </c>
    </row>
    <row r="6" spans="1:3" x14ac:dyDescent="0.2">
      <c r="A6" s="289" t="s">
        <v>351</v>
      </c>
      <c r="B6" s="289">
        <v>63</v>
      </c>
      <c r="C6" s="290">
        <f t="shared" si="0"/>
        <v>63000</v>
      </c>
    </row>
    <row r="7" spans="1:3" x14ac:dyDescent="0.2">
      <c r="A7" s="291" t="s">
        <v>342</v>
      </c>
      <c r="B7">
        <v>22</v>
      </c>
      <c r="C7" s="290">
        <f>B7*1000</f>
        <v>22000</v>
      </c>
    </row>
    <row r="8" spans="1:3" x14ac:dyDescent="0.2">
      <c r="A8" s="176" t="s">
        <v>343</v>
      </c>
      <c r="B8">
        <v>20</v>
      </c>
      <c r="C8" s="290">
        <f>B8*1000</f>
        <v>20000</v>
      </c>
    </row>
    <row r="9" spans="1:3" x14ac:dyDescent="0.2">
      <c r="A9" s="176" t="s">
        <v>344</v>
      </c>
      <c r="B9">
        <v>9</v>
      </c>
      <c r="C9" s="290">
        <f>B9*1000</f>
        <v>9000</v>
      </c>
    </row>
    <row r="10" spans="1:3" x14ac:dyDescent="0.2">
      <c r="A10" s="291" t="s">
        <v>57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352</v>
      </c>
      <c r="B11" s="289">
        <v>45</v>
      </c>
      <c r="C11" s="290">
        <f t="shared" si="0"/>
        <v>45000</v>
      </c>
    </row>
    <row r="12" spans="1:3" x14ac:dyDescent="0.2">
      <c r="A12" s="291" t="s">
        <v>353</v>
      </c>
      <c r="B12" s="289">
        <v>16</v>
      </c>
      <c r="C12" s="290">
        <f t="shared" si="0"/>
        <v>16000</v>
      </c>
    </row>
    <row r="13" spans="1:3" x14ac:dyDescent="0.2">
      <c r="A13" s="291" t="s">
        <v>57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354</v>
      </c>
      <c r="B14" s="289">
        <v>80</v>
      </c>
      <c r="C14" s="290">
        <f t="shared" si="0"/>
        <v>80000</v>
      </c>
    </row>
    <row r="15" spans="1:3" x14ac:dyDescent="0.2">
      <c r="A15" s="291" t="s">
        <v>337</v>
      </c>
      <c r="B15" s="289">
        <v>26</v>
      </c>
      <c r="C15" s="290">
        <f t="shared" si="0"/>
        <v>26000</v>
      </c>
    </row>
    <row r="16" spans="1:3" x14ac:dyDescent="0.2">
      <c r="A16" s="291" t="s">
        <v>57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355</v>
      </c>
      <c r="B17">
        <v>30</v>
      </c>
      <c r="C17" s="290">
        <f t="shared" si="0"/>
        <v>30000</v>
      </c>
    </row>
    <row r="18" spans="1:3" x14ac:dyDescent="0.2">
      <c r="A18" s="291" t="s">
        <v>356</v>
      </c>
      <c r="B18">
        <v>20</v>
      </c>
      <c r="C18" s="290">
        <f t="shared" si="0"/>
        <v>20000</v>
      </c>
    </row>
    <row r="19" spans="1:3" x14ac:dyDescent="0.2">
      <c r="A19" s="291" t="s">
        <v>357</v>
      </c>
      <c r="B19">
        <v>5</v>
      </c>
      <c r="C19" s="290">
        <f t="shared" si="0"/>
        <v>5000</v>
      </c>
    </row>
    <row r="20" spans="1:3" ht="16" thickBot="1" x14ac:dyDescent="0.25">
      <c r="A20" s="293" t="s">
        <v>358</v>
      </c>
      <c r="B20" s="294">
        <v>5</v>
      </c>
      <c r="C20" s="295">
        <f t="shared" si="0"/>
        <v>5000</v>
      </c>
    </row>
    <row r="21" spans="1:3" x14ac:dyDescent="0.2">
      <c r="A21" s="292" t="s">
        <v>33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zoomScale="125" zoomScaleNormal="130" workbookViewId="0">
      <pane xSplit="2" ySplit="8" topLeftCell="C10" activePane="bottomRight" state="frozen"/>
      <selection pane="topRight" activeCell="C1" sqref="C1"/>
      <selection pane="bottomLeft" activeCell="A9" sqref="A9"/>
      <selection pane="bottomRight" activeCell="J47" sqref="J47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50" ht="19" x14ac:dyDescent="0.25">
      <c r="A1" s="362" t="s">
        <v>203</v>
      </c>
      <c r="B1" s="363"/>
      <c r="C1" s="35"/>
      <c r="H1"/>
      <c r="I1" s="240"/>
      <c r="J1" s="370" t="s">
        <v>273</v>
      </c>
      <c r="V1" s="354"/>
      <c r="W1" s="354"/>
      <c r="X1" s="354"/>
      <c r="Y1" s="354"/>
    </row>
    <row r="2" spans="1:50" x14ac:dyDescent="0.2">
      <c r="A2" s="364" t="s">
        <v>189</v>
      </c>
      <c r="B2" s="126"/>
      <c r="C2" t="s">
        <v>190</v>
      </c>
      <c r="I2" s="241"/>
      <c r="J2" s="370"/>
    </row>
    <row r="3" spans="1:50" x14ac:dyDescent="0.2">
      <c r="A3" s="365"/>
      <c r="B3" s="127"/>
      <c r="C3" t="s">
        <v>191</v>
      </c>
      <c r="I3" s="241"/>
      <c r="J3" s="370"/>
    </row>
    <row r="4" spans="1:50" x14ac:dyDescent="0.2">
      <c r="A4" s="365"/>
      <c r="B4" s="128"/>
      <c r="C4" t="s">
        <v>192</v>
      </c>
    </row>
    <row r="5" spans="1:50" x14ac:dyDescent="0.2">
      <c r="A5" s="366"/>
      <c r="B5" s="129"/>
      <c r="C5" t="s">
        <v>179</v>
      </c>
    </row>
    <row r="7" spans="1:50" x14ac:dyDescent="0.2">
      <c r="C7" s="367" t="s">
        <v>159</v>
      </c>
      <c r="D7" s="368"/>
      <c r="E7" s="368"/>
      <c r="F7" s="369"/>
      <c r="G7" s="367" t="s">
        <v>163</v>
      </c>
      <c r="H7" s="368"/>
      <c r="I7" s="368"/>
      <c r="J7" s="369"/>
      <c r="K7" s="367" t="s">
        <v>174</v>
      </c>
      <c r="L7" s="368"/>
      <c r="M7" s="368"/>
      <c r="N7" s="368"/>
      <c r="O7" s="367" t="s">
        <v>264</v>
      </c>
      <c r="P7" s="368"/>
      <c r="Q7" s="368"/>
      <c r="R7" s="368"/>
      <c r="S7" s="367" t="s">
        <v>267</v>
      </c>
      <c r="T7" s="368"/>
      <c r="U7" s="368"/>
      <c r="V7" s="368"/>
      <c r="W7" s="367" t="s">
        <v>268</v>
      </c>
      <c r="X7" s="368"/>
      <c r="Y7" s="368"/>
      <c r="Z7" s="368"/>
      <c r="AA7" s="222" t="s">
        <v>269</v>
      </c>
    </row>
    <row r="8" spans="1:50" s="2" customFormat="1" x14ac:dyDescent="0.2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9" x14ac:dyDescent="0.2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ht="16" x14ac:dyDescent="0.2">
      <c r="B10" s="86" t="s">
        <v>168</v>
      </c>
      <c r="D10">
        <v>200.67099999999999</v>
      </c>
      <c r="E10">
        <v>156.16</v>
      </c>
      <c r="F10">
        <v>197.62799999999999</v>
      </c>
      <c r="G10">
        <v>170.20699999999999</v>
      </c>
      <c r="H10">
        <v>171.23699999999999</v>
      </c>
      <c r="I10">
        <v>175.56274099593</v>
      </c>
      <c r="J10">
        <v>179.888481991861</v>
      </c>
      <c r="K10">
        <v>180.49888383554401</v>
      </c>
      <c r="L10">
        <v>181.10928567922701</v>
      </c>
      <c r="M10">
        <v>181.71968752290999</v>
      </c>
      <c r="N10">
        <v>182.330089366593</v>
      </c>
      <c r="O10">
        <v>180.35508255879</v>
      </c>
      <c r="P10">
        <v>178.38007575098601</v>
      </c>
      <c r="Q10">
        <v>176.40506894318301</v>
      </c>
      <c r="R10">
        <v>174.43006213537899</v>
      </c>
      <c r="S10">
        <v>175.461672281072</v>
      </c>
      <c r="T10">
        <v>176.49328242676501</v>
      </c>
      <c r="U10">
        <v>177.52489257245799</v>
      </c>
      <c r="V10">
        <v>178.55650271815099</v>
      </c>
      <c r="W10">
        <v>181.209999767016</v>
      </c>
      <c r="X10">
        <v>183.86349681588001</v>
      </c>
      <c r="Y10">
        <v>186.51699386474499</v>
      </c>
      <c r="Z10">
        <v>189.170490913609</v>
      </c>
      <c r="AA10">
        <v>191.81299452331399</v>
      </c>
      <c r="AB10">
        <v>194.45549813301801</v>
      </c>
      <c r="AC10">
        <v>197.098001742723</v>
      </c>
      <c r="AD10">
        <v>199.74050535242799</v>
      </c>
      <c r="AE10">
        <v>202.769995751918</v>
      </c>
      <c r="AF10">
        <v>205.79948615140901</v>
      </c>
      <c r="AG10">
        <v>208.828976550899</v>
      </c>
      <c r="AH10">
        <v>211.85846695039001</v>
      </c>
      <c r="AI10">
        <v>214.91251527445601</v>
      </c>
      <c r="AJ10">
        <v>217.96656359852099</v>
      </c>
      <c r="AK10">
        <v>221.02061192258699</v>
      </c>
      <c r="AL10">
        <v>224.074660246653</v>
      </c>
      <c r="AM10">
        <v>227.23039788294901</v>
      </c>
      <c r="AN10">
        <v>230.38613551924399</v>
      </c>
      <c r="AO10">
        <v>233.54187315554</v>
      </c>
      <c r="AP10">
        <v>236.69761079183601</v>
      </c>
      <c r="AQ10">
        <v>240.02720434904199</v>
      </c>
      <c r="AR10">
        <v>243.35679790624701</v>
      </c>
      <c r="AS10">
        <v>246.68639146345299</v>
      </c>
      <c r="AT10">
        <v>250.01598502065801</v>
      </c>
      <c r="AU10">
        <v>253.47572671243501</v>
      </c>
      <c r="AV10">
        <v>256.93546840421197</v>
      </c>
      <c r="AW10">
        <v>260.39521009599002</v>
      </c>
      <c r="AX10">
        <v>263.85495178776699</v>
      </c>
    </row>
    <row r="11" spans="1:50" ht="16" x14ac:dyDescent="0.2">
      <c r="B11" s="86" t="s">
        <v>169</v>
      </c>
      <c r="D11">
        <v>143</v>
      </c>
      <c r="E11">
        <v>143.4</v>
      </c>
      <c r="F11">
        <v>144.80000000000001</v>
      </c>
      <c r="G11">
        <v>145.19999999999999</v>
      </c>
      <c r="H11">
        <v>145.9</v>
      </c>
      <c r="I11">
        <v>148.62099511391199</v>
      </c>
      <c r="J11">
        <v>147.797019737607</v>
      </c>
      <c r="K11">
        <v>159.24265611122399</v>
      </c>
      <c r="L11">
        <v>170.909193879409</v>
      </c>
      <c r="M11">
        <v>182.80013836844901</v>
      </c>
      <c r="N11">
        <v>193.82051361413301</v>
      </c>
      <c r="O11">
        <v>214.404660294731</v>
      </c>
      <c r="P11">
        <v>234.02054172086099</v>
      </c>
      <c r="Q11">
        <v>253.77886496758899</v>
      </c>
      <c r="R11">
        <v>273.52670175744203</v>
      </c>
      <c r="S11">
        <v>281.50135302305898</v>
      </c>
      <c r="T11">
        <v>289.89524687581797</v>
      </c>
      <c r="U11">
        <v>298.67027035325299</v>
      </c>
      <c r="V11">
        <v>306.91171235614303</v>
      </c>
      <c r="W11">
        <v>308.00438682705601</v>
      </c>
      <c r="X11">
        <v>309.05894833550099</v>
      </c>
      <c r="Y11">
        <v>310.07539688147898</v>
      </c>
      <c r="Z11">
        <v>311.091845427458</v>
      </c>
      <c r="AA11">
        <v>312.15287454978699</v>
      </c>
      <c r="AB11">
        <v>313.213903672117</v>
      </c>
      <c r="AC11">
        <v>314.31304575691399</v>
      </c>
      <c r="AD11">
        <v>315.41218784171201</v>
      </c>
      <c r="AE11">
        <v>314.980134697246</v>
      </c>
      <c r="AF11">
        <v>314.54808155277999</v>
      </c>
      <c r="AG11">
        <v>314.15414137078102</v>
      </c>
      <c r="AH11">
        <v>313.79831415125</v>
      </c>
      <c r="AI11">
        <v>313.342899676483</v>
      </c>
      <c r="AJ11">
        <v>312.88748520171401</v>
      </c>
      <c r="AK11">
        <v>312.470183689414</v>
      </c>
      <c r="AL11">
        <v>312.05288217711302</v>
      </c>
      <c r="AM11">
        <v>311.26132329602899</v>
      </c>
      <c r="AN11">
        <v>310.46976441494297</v>
      </c>
      <c r="AO11">
        <v>309.67820553385798</v>
      </c>
      <c r="AP11">
        <v>308.92475961524099</v>
      </c>
      <c r="AQ11">
        <v>307.54251937780498</v>
      </c>
      <c r="AR11">
        <v>306.19839210283601</v>
      </c>
      <c r="AS11">
        <v>304.93049075280197</v>
      </c>
      <c r="AT11">
        <v>303.738815327704</v>
      </c>
      <c r="AU11">
        <v>302.09558932686201</v>
      </c>
      <c r="AV11">
        <v>300.52858925095501</v>
      </c>
      <c r="AW11">
        <v>299.07592806244998</v>
      </c>
      <c r="AX11">
        <v>297.661379836413</v>
      </c>
    </row>
    <row r="12" spans="1:50" ht="16" x14ac:dyDescent="0.2">
      <c r="B12" s="86" t="s">
        <v>170</v>
      </c>
      <c r="D12">
        <v>1862.4</v>
      </c>
      <c r="E12">
        <v>1779.8</v>
      </c>
      <c r="F12">
        <v>1871.3</v>
      </c>
      <c r="G12">
        <v>1907.1</v>
      </c>
      <c r="H12">
        <v>1965.1</v>
      </c>
      <c r="I12">
        <v>1985.2448178335901</v>
      </c>
      <c r="J12">
        <v>2013.98715613545</v>
      </c>
      <c r="K12">
        <v>2040.75997876518</v>
      </c>
      <c r="L12">
        <v>2066.0938858353702</v>
      </c>
      <c r="M12">
        <v>2087.0121207822099</v>
      </c>
      <c r="N12">
        <v>2109.4681967333199</v>
      </c>
      <c r="O12">
        <v>2131.6274963502601</v>
      </c>
      <c r="P12">
        <v>2152.0241244067802</v>
      </c>
      <c r="Q12">
        <v>2174.8489224700102</v>
      </c>
      <c r="R12">
        <v>2198.8518326476301</v>
      </c>
      <c r="S12">
        <v>2223.5921870494999</v>
      </c>
      <c r="T12">
        <v>2246.93859200308</v>
      </c>
      <c r="U12">
        <v>2271.6969328494501</v>
      </c>
      <c r="V12">
        <v>2296.6441313630098</v>
      </c>
      <c r="W12">
        <v>2322.6075639904998</v>
      </c>
      <c r="X12">
        <v>2347.9954303941699</v>
      </c>
      <c r="Y12">
        <v>2373.5181951315499</v>
      </c>
      <c r="Z12">
        <v>2398.4833800896099</v>
      </c>
      <c r="AA12">
        <v>2423.3226599362101</v>
      </c>
      <c r="AB12">
        <v>2448.3687838944902</v>
      </c>
      <c r="AC12">
        <v>2472.8933009624302</v>
      </c>
      <c r="AD12">
        <v>2497.1570145852102</v>
      </c>
      <c r="AE12">
        <v>2520.9800603178801</v>
      </c>
      <c r="AF12">
        <v>2544.4703568274099</v>
      </c>
      <c r="AG12">
        <v>2567.9696465591801</v>
      </c>
      <c r="AH12">
        <v>2591.8016855141</v>
      </c>
      <c r="AI12">
        <v>2616.1463381371</v>
      </c>
      <c r="AJ12">
        <v>2640.9046789834802</v>
      </c>
      <c r="AK12">
        <v>2665.99576905299</v>
      </c>
      <c r="AL12">
        <v>2691.0418930112701</v>
      </c>
      <c r="AM12">
        <v>2716.1869424142701</v>
      </c>
      <c r="AN12">
        <v>2741.4129308175002</v>
      </c>
      <c r="AO12">
        <v>2766.59395310949</v>
      </c>
      <c r="AP12">
        <v>2791.6760499567599</v>
      </c>
      <c r="AQ12">
        <v>2816.99197058245</v>
      </c>
      <c r="AR12">
        <v>2842.3798369861202</v>
      </c>
      <c r="AS12">
        <v>2868.0734729462001</v>
      </c>
      <c r="AT12">
        <v>2894.2617361298699</v>
      </c>
      <c r="AU12">
        <v>2920.90865364814</v>
      </c>
      <c r="AV12">
        <v>2948.0771780567402</v>
      </c>
      <c r="AW12">
        <v>2975.3446279100699</v>
      </c>
      <c r="AX12">
        <v>3002.7649625415902</v>
      </c>
    </row>
    <row r="13" spans="1:50" ht="16" x14ac:dyDescent="0.2">
      <c r="B13" s="86" t="s">
        <v>171</v>
      </c>
      <c r="D13">
        <v>62.7</v>
      </c>
      <c r="E13">
        <v>54.2</v>
      </c>
      <c r="F13">
        <v>90.2</v>
      </c>
      <c r="G13">
        <v>95.9</v>
      </c>
      <c r="H13">
        <v>96.6</v>
      </c>
      <c r="I13">
        <v>97.590275000114403</v>
      </c>
      <c r="J13">
        <v>99.003185223491897</v>
      </c>
      <c r="K13">
        <v>100.319278382126</v>
      </c>
      <c r="L13">
        <v>101.564637612181</v>
      </c>
      <c r="M13">
        <v>102.592932098907</v>
      </c>
      <c r="N13">
        <v>103.69682347180201</v>
      </c>
      <c r="O13">
        <v>104.786125971928</v>
      </c>
      <c r="P13">
        <v>105.78877940954401</v>
      </c>
      <c r="Q13">
        <v>106.910796351638</v>
      </c>
      <c r="R13">
        <v>108.090726697756</v>
      </c>
      <c r="S13">
        <v>109.306908182272</v>
      </c>
      <c r="T13">
        <v>110.454566173476</v>
      </c>
      <c r="U13">
        <v>111.671631832098</v>
      </c>
      <c r="V13">
        <v>112.897981318847</v>
      </c>
      <c r="W13">
        <v>114.17428664265501</v>
      </c>
      <c r="X13">
        <v>115.422298395032</v>
      </c>
      <c r="Y13">
        <v>116.676941453212</v>
      </c>
      <c r="Z13">
        <v>117.90417511406901</v>
      </c>
      <c r="AA13">
        <v>119.125219556174</v>
      </c>
      <c r="AB13">
        <v>120.356432000513</v>
      </c>
      <c r="AC13">
        <v>121.562003395741</v>
      </c>
      <c r="AD13">
        <v>122.75475426641501</v>
      </c>
      <c r="AE13">
        <v>123.925842871461</v>
      </c>
      <c r="AF13">
        <v>125.080574255523</v>
      </c>
      <c r="AG13">
        <v>126.235747726638</v>
      </c>
      <c r="AH13">
        <v>127.407278418738</v>
      </c>
      <c r="AI13">
        <v>128.604008072894</v>
      </c>
      <c r="AJ13">
        <v>129.821073731517</v>
      </c>
      <c r="AK13">
        <v>131.05449661112399</v>
      </c>
      <c r="AL13">
        <v>132.28570905546201</v>
      </c>
      <c r="AM13">
        <v>133.52178445739099</v>
      </c>
      <c r="AN13">
        <v>134.76183864280199</v>
      </c>
      <c r="AO13">
        <v>135.999682392945</v>
      </c>
      <c r="AP13">
        <v>137.23266318549801</v>
      </c>
      <c r="AQ13">
        <v>138.477138241446</v>
      </c>
      <c r="AR13">
        <v>139.72514999382199</v>
      </c>
      <c r="AS13">
        <v>140.98819270602101</v>
      </c>
      <c r="AT13">
        <v>142.27555020617001</v>
      </c>
      <c r="AU13">
        <v>143.58545414605399</v>
      </c>
      <c r="AV13">
        <v>144.920999135047</v>
      </c>
      <c r="AW13">
        <v>146.26140708163101</v>
      </c>
      <c r="AX13">
        <v>147.60933050812599</v>
      </c>
    </row>
    <row r="14" spans="1:50" ht="16" x14ac:dyDescent="0.2">
      <c r="B14" s="86" t="s">
        <v>173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1403.2629999999999</v>
      </c>
      <c r="I14">
        <v>1394.63952711825</v>
      </c>
      <c r="J14">
        <v>1386.0160542364999</v>
      </c>
      <c r="K14">
        <v>1416.24742986613</v>
      </c>
      <c r="L14">
        <v>1446.4788054957501</v>
      </c>
      <c r="M14">
        <v>1476.7101811253699</v>
      </c>
      <c r="N14">
        <v>1506.941556755</v>
      </c>
      <c r="O14">
        <v>1519.7601557667999</v>
      </c>
      <c r="P14">
        <v>1532.5787547785901</v>
      </c>
      <c r="Q14">
        <v>1545.3973537903901</v>
      </c>
      <c r="R14">
        <v>1558.21595280219</v>
      </c>
      <c r="S14">
        <v>1568.7825477363999</v>
      </c>
      <c r="T14">
        <v>1579.34914267061</v>
      </c>
      <c r="U14">
        <v>1589.9157376048099</v>
      </c>
      <c r="V14">
        <v>1600.48233253902</v>
      </c>
      <c r="W14">
        <v>1639.9186754518</v>
      </c>
      <c r="X14">
        <v>1679.35501836459</v>
      </c>
      <c r="Y14">
        <v>1718.79136127737</v>
      </c>
      <c r="Z14">
        <v>1758.22770419015</v>
      </c>
      <c r="AA14">
        <v>1787.6196955994999</v>
      </c>
      <c r="AB14">
        <v>1817.01168700885</v>
      </c>
      <c r="AC14">
        <v>1846.4036784181901</v>
      </c>
      <c r="AD14">
        <v>1875.79566982754</v>
      </c>
      <c r="AE14">
        <v>1908.2148727936301</v>
      </c>
      <c r="AF14">
        <v>1940.63407575972</v>
      </c>
      <c r="AG14">
        <v>1973.0532787258101</v>
      </c>
      <c r="AH14">
        <v>2005.4724816918999</v>
      </c>
      <c r="AI14">
        <v>2057.1759873287501</v>
      </c>
      <c r="AJ14">
        <v>2108.8794929656101</v>
      </c>
      <c r="AK14">
        <v>2160.5829986024601</v>
      </c>
      <c r="AL14">
        <v>2212.28650423931</v>
      </c>
      <c r="AM14">
        <v>2211.5343138466101</v>
      </c>
      <c r="AN14">
        <v>2210.7821234539101</v>
      </c>
      <c r="AO14">
        <v>2210.0299330612002</v>
      </c>
      <c r="AP14">
        <v>2209.2777426685002</v>
      </c>
      <c r="AQ14">
        <v>2261.6493087725698</v>
      </c>
      <c r="AR14">
        <v>2314.0208748766299</v>
      </c>
      <c r="AS14">
        <v>2366.3924409807</v>
      </c>
      <c r="AT14">
        <v>2418.7640070847701</v>
      </c>
      <c r="AU14">
        <v>2464.36520513099</v>
      </c>
      <c r="AV14">
        <v>2509.9664031771999</v>
      </c>
      <c r="AW14">
        <v>2555.5676012234098</v>
      </c>
      <c r="AX14">
        <v>2601.1687992696202</v>
      </c>
    </row>
    <row r="15" spans="1:50" ht="16" x14ac:dyDescent="0.2">
      <c r="B15" s="86" t="s">
        <v>164</v>
      </c>
      <c r="D15">
        <v>1574.4</v>
      </c>
      <c r="E15">
        <v>1828.5</v>
      </c>
      <c r="F15">
        <v>1861.4</v>
      </c>
      <c r="G15">
        <v>1756.2</v>
      </c>
      <c r="H15">
        <v>1805.1</v>
      </c>
      <c r="I15">
        <v>1626.02571860579</v>
      </c>
      <c r="J15">
        <v>1498.53485474677</v>
      </c>
      <c r="K15">
        <v>1511.0876515336199</v>
      </c>
      <c r="L15">
        <v>1512.38995417448</v>
      </c>
      <c r="M15">
        <v>1506.67098308902</v>
      </c>
      <c r="N15">
        <v>1490.44612277592</v>
      </c>
      <c r="O15">
        <v>1509.6382363456501</v>
      </c>
      <c r="P15">
        <v>1519.632602017</v>
      </c>
      <c r="Q15">
        <v>1523.1344557411701</v>
      </c>
      <c r="R15">
        <v>1519.1719481565799</v>
      </c>
      <c r="S15">
        <v>1526.85403734435</v>
      </c>
      <c r="T15">
        <v>1535.4842585346801</v>
      </c>
      <c r="U15">
        <v>1543.71889409799</v>
      </c>
      <c r="V15">
        <v>1552.4850878847999</v>
      </c>
      <c r="W15">
        <v>1588.56945568078</v>
      </c>
      <c r="X15">
        <v>1619.0545895538501</v>
      </c>
      <c r="Y15">
        <v>1642.5093049924999</v>
      </c>
      <c r="Z15">
        <v>1659.6122355130899</v>
      </c>
      <c r="AA15">
        <v>1667.5840444722401</v>
      </c>
      <c r="AB15">
        <v>1678.2535698161801</v>
      </c>
      <c r="AC15">
        <v>1690.72593660438</v>
      </c>
      <c r="AD15">
        <v>1705.4065311059101</v>
      </c>
      <c r="AE15">
        <v>1718.3411123951701</v>
      </c>
      <c r="AF15">
        <v>1730.9634667895</v>
      </c>
      <c r="AG15">
        <v>1742.36951186696</v>
      </c>
      <c r="AH15">
        <v>1753.0170548379899</v>
      </c>
      <c r="AI15">
        <v>1784.68057949284</v>
      </c>
      <c r="AJ15">
        <v>1812.35462710207</v>
      </c>
      <c r="AK15">
        <v>1835.2404610671999</v>
      </c>
      <c r="AL15">
        <v>1853.72632303349</v>
      </c>
      <c r="AM15">
        <v>1827.9445084856</v>
      </c>
      <c r="AN15">
        <v>1814.12430186748</v>
      </c>
      <c r="AO15">
        <v>1812.0047939040101</v>
      </c>
      <c r="AP15">
        <v>1821.6729233342801</v>
      </c>
      <c r="AQ15">
        <v>1878.9537705036</v>
      </c>
      <c r="AR15">
        <v>1923.8123987378101</v>
      </c>
      <c r="AS15">
        <v>1957.3525310479299</v>
      </c>
      <c r="AT15">
        <v>1978.92921847087</v>
      </c>
      <c r="AU15">
        <v>1939.9220024117999</v>
      </c>
      <c r="AV15">
        <v>1901.58652711119</v>
      </c>
      <c r="AW15">
        <v>1865.3788410586801</v>
      </c>
      <c r="AX15">
        <v>1830.5610473035799</v>
      </c>
    </row>
    <row r="16" spans="1:50" ht="16" x14ac:dyDescent="0.2">
      <c r="B16" s="86" t="s">
        <v>167</v>
      </c>
      <c r="D16">
        <v>74.5</v>
      </c>
      <c r="E16">
        <v>1085.9000000000001</v>
      </c>
      <c r="F16">
        <v>1212.9000000000001</v>
      </c>
      <c r="G16">
        <v>609.79999999999995</v>
      </c>
      <c r="H16">
        <v>402.7</v>
      </c>
      <c r="I16">
        <v>404.58725618885501</v>
      </c>
      <c r="J16">
        <v>406.51787384375598</v>
      </c>
      <c r="K16">
        <v>408.48772330127002</v>
      </c>
      <c r="L16">
        <v>410.48028590766501</v>
      </c>
      <c r="M16">
        <v>412.46045952376102</v>
      </c>
      <c r="N16">
        <v>414.40966066410999</v>
      </c>
      <c r="O16">
        <v>416.34647281415999</v>
      </c>
      <c r="P16">
        <v>418.27915530077701</v>
      </c>
      <c r="Q16">
        <v>420.21803228254402</v>
      </c>
      <c r="R16">
        <v>422.17549274975897</v>
      </c>
      <c r="S16">
        <v>424.15153670242199</v>
      </c>
      <c r="T16">
        <v>426.13996964538399</v>
      </c>
      <c r="U16">
        <v>428.12427292491299</v>
      </c>
      <c r="V16">
        <v>430.11477069959199</v>
      </c>
      <c r="W16">
        <v>432.10939813770301</v>
      </c>
      <c r="X16">
        <v>434.10196074409799</v>
      </c>
      <c r="Y16">
        <v>436.069745369896</v>
      </c>
      <c r="Z16">
        <v>438.02307617367802</v>
      </c>
      <c r="AA16">
        <v>439.96195315544497</v>
      </c>
      <c r="AB16">
        <v>441.88844114691199</v>
      </c>
      <c r="AC16">
        <v>443.79634565293202</v>
      </c>
      <c r="AD16">
        <v>445.70218532723499</v>
      </c>
      <c r="AE16">
        <v>447.61008983325502</v>
      </c>
      <c r="AF16">
        <v>449.52005917099098</v>
      </c>
      <c r="AG16">
        <v>451.432093340444</v>
      </c>
      <c r="AH16">
        <v>453.35651650019503</v>
      </c>
      <c r="AI16">
        <v>455.28506932337899</v>
      </c>
      <c r="AJ16">
        <v>457.22188147343002</v>
      </c>
      <c r="AK16">
        <v>459.18347160407802</v>
      </c>
      <c r="AL16">
        <v>461.16571005189002</v>
      </c>
      <c r="AM16">
        <v>463.17066164858397</v>
      </c>
      <c r="AN16">
        <v>465.19419673072599</v>
      </c>
      <c r="AO16">
        <v>467.23218563488302</v>
      </c>
      <c r="AP16">
        <v>469.26810970732402</v>
      </c>
      <c r="AQ16">
        <v>471.29990411633202</v>
      </c>
      <c r="AR16">
        <v>473.333763357056</v>
      </c>
      <c r="AS16">
        <v>475.36762259778101</v>
      </c>
      <c r="AT16">
        <v>477.40148183850499</v>
      </c>
      <c r="AU16">
        <v>479.44153557437897</v>
      </c>
      <c r="AV16">
        <v>481.483654141969</v>
      </c>
      <c r="AW16">
        <v>483.52990237299298</v>
      </c>
      <c r="AX16">
        <v>485.57408577230001</v>
      </c>
    </row>
    <row r="17" spans="1:50" x14ac:dyDescent="0.2">
      <c r="B17" t="s">
        <v>193</v>
      </c>
      <c r="D17">
        <v>204.37100000000001</v>
      </c>
      <c r="E17">
        <v>884.26</v>
      </c>
      <c r="F17">
        <v>242.12799999999999</v>
      </c>
      <c r="G17">
        <v>225.90700000000001</v>
      </c>
      <c r="H17">
        <v>262.43700000000001</v>
      </c>
      <c r="I17">
        <v>257.26599192779503</v>
      </c>
      <c r="J17">
        <v>256.21510964215298</v>
      </c>
      <c r="K17">
        <v>258.57067876132402</v>
      </c>
      <c r="L17">
        <v>261.16279192979499</v>
      </c>
      <c r="M17">
        <v>263.64812783386702</v>
      </c>
      <c r="N17">
        <v>266.14790345036999</v>
      </c>
      <c r="O17">
        <v>268.70569902244898</v>
      </c>
      <c r="P17">
        <v>271.263979862962</v>
      </c>
      <c r="Q17">
        <v>273.87029090685002</v>
      </c>
      <c r="R17">
        <v>276.52404959205398</v>
      </c>
      <c r="S17">
        <v>279.241851093381</v>
      </c>
      <c r="T17">
        <v>282.01341480314198</v>
      </c>
      <c r="U17">
        <v>284.80517467007598</v>
      </c>
      <c r="V17">
        <v>287.63108074839698</v>
      </c>
      <c r="W17">
        <v>290.48769997414701</v>
      </c>
      <c r="X17">
        <v>293.35698461687701</v>
      </c>
      <c r="Y17">
        <v>296.24247817884799</v>
      </c>
      <c r="Z17">
        <v>299.141687420886</v>
      </c>
      <c r="AA17">
        <v>302.06412655786397</v>
      </c>
      <c r="AB17">
        <v>305.00651687838598</v>
      </c>
      <c r="AC17">
        <v>307.96222864379001</v>
      </c>
      <c r="AD17">
        <v>310.94750852538402</v>
      </c>
      <c r="AE17">
        <v>313.96057691901501</v>
      </c>
      <c r="AF17">
        <v>317.00404921601302</v>
      </c>
      <c r="AG17">
        <v>320.073239044574</v>
      </c>
      <c r="AH17">
        <v>323.17807216575801</v>
      </c>
      <c r="AI17">
        <v>326.31295874724299</v>
      </c>
      <c r="AJ17">
        <v>329.463709405131</v>
      </c>
      <c r="AK17">
        <v>332.64972837101499</v>
      </c>
      <c r="AL17">
        <v>335.86834196641502</v>
      </c>
      <c r="AM17">
        <v>339.121324982229</v>
      </c>
      <c r="AN17">
        <v>342.39838413451798</v>
      </c>
      <c r="AO17">
        <v>345.70422750703898</v>
      </c>
      <c r="AP17">
        <v>349.026833190491</v>
      </c>
      <c r="AQ17">
        <v>352.367229319003</v>
      </c>
      <c r="AR17">
        <v>355.72749945931002</v>
      </c>
      <c r="AS17">
        <v>359.10614883079597</v>
      </c>
      <c r="AT17">
        <v>362.50321043732498</v>
      </c>
      <c r="AU17">
        <v>365.92601973505901</v>
      </c>
      <c r="AV17">
        <v>369.36895353582298</v>
      </c>
      <c r="AW17">
        <v>372.83889502770398</v>
      </c>
      <c r="AX17">
        <v>376.32595184241501</v>
      </c>
    </row>
    <row r="19" spans="1:50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50" ht="19" x14ac:dyDescent="0.25">
      <c r="A20" s="110" t="s">
        <v>182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50" x14ac:dyDescent="0.2">
      <c r="B21" t="s">
        <v>182</v>
      </c>
      <c r="D21" s="102"/>
      <c r="E21" s="104">
        <f>main!L112/1000</f>
        <v>156.18299999999999</v>
      </c>
      <c r="F21" s="104">
        <f>main!M112/1000</f>
        <v>197.631</v>
      </c>
      <c r="G21" s="104">
        <f>main!N112/1000</f>
        <v>170.23500000000001</v>
      </c>
      <c r="H21" s="104">
        <f>main!O112/1000</f>
        <v>171.256</v>
      </c>
      <c r="I21" s="104">
        <f>main!P112/1000</f>
        <v>182.35062108169706</v>
      </c>
      <c r="J21" s="104">
        <f>main!Q112/1000</f>
        <v>182.35062108169706</v>
      </c>
      <c r="K21" s="104">
        <f>main!R112/1000</f>
        <v>182.35062108169706</v>
      </c>
      <c r="L21" s="104">
        <f>main!S112/1000</f>
        <v>182.35062108169706</v>
      </c>
      <c r="M21" s="104">
        <f>main!T112/1000</f>
        <v>224.43153363901172</v>
      </c>
      <c r="N21" s="104">
        <f>main!U112/1000</f>
        <v>224.43153363901172</v>
      </c>
      <c r="O21" s="104">
        <f>main!V112/1000</f>
        <v>224.43153363901172</v>
      </c>
      <c r="P21" s="104">
        <f>O21*(1+P23)</f>
        <v>221.97386069442777</v>
      </c>
      <c r="Q21" s="104">
        <f t="shared" ref="Q21:AA21" si="0">P21*(1+Q23)</f>
        <v>219.51618774984507</v>
      </c>
      <c r="R21" s="104">
        <f t="shared" si="0"/>
        <v>217.0585148052611</v>
      </c>
      <c r="S21" s="104">
        <f t="shared" si="0"/>
        <v>218.34223713695627</v>
      </c>
      <c r="T21" s="104">
        <f t="shared" si="0"/>
        <v>219.62595946865144</v>
      </c>
      <c r="U21" s="104">
        <f t="shared" si="0"/>
        <v>220.90968180034659</v>
      </c>
      <c r="V21" s="104">
        <f t="shared" si="0"/>
        <v>222.19340413204174</v>
      </c>
      <c r="W21" s="104">
        <f t="shared" si="0"/>
        <v>225.49538156308662</v>
      </c>
      <c r="X21" s="104">
        <f t="shared" si="0"/>
        <v>228.79735899413026</v>
      </c>
      <c r="Y21" s="104">
        <f t="shared" si="0"/>
        <v>232.09933642517512</v>
      </c>
      <c r="Z21" s="104">
        <f t="shared" si="0"/>
        <v>235.40131385621879</v>
      </c>
      <c r="AA21" s="104">
        <f t="shared" si="0"/>
        <v>238.68961119366364</v>
      </c>
      <c r="AB21" s="95"/>
    </row>
    <row r="22" spans="1:50" x14ac:dyDescent="0.2">
      <c r="B22" t="s">
        <v>175</v>
      </c>
      <c r="D22" s="102" t="e">
        <f>#REF!</f>
        <v>#REF!</v>
      </c>
      <c r="E22" s="104">
        <f>E10</f>
        <v>156.16</v>
      </c>
      <c r="F22" s="104">
        <f t="shared" ref="F22:AA22" si="1">F10</f>
        <v>197.62799999999999</v>
      </c>
      <c r="G22" s="104">
        <f t="shared" si="1"/>
        <v>170.20699999999999</v>
      </c>
      <c r="H22" s="104">
        <f t="shared" si="1"/>
        <v>171.23699999999999</v>
      </c>
      <c r="I22" s="104">
        <f t="shared" si="1"/>
        <v>175.56274099593</v>
      </c>
      <c r="J22" s="104">
        <f t="shared" si="1"/>
        <v>179.888481991861</v>
      </c>
      <c r="K22" s="104">
        <f t="shared" si="1"/>
        <v>180.49888383554401</v>
      </c>
      <c r="L22" s="104">
        <f t="shared" si="1"/>
        <v>181.10928567922701</v>
      </c>
      <c r="M22" s="104">
        <f t="shared" si="1"/>
        <v>181.71968752290999</v>
      </c>
      <c r="N22" s="104">
        <f t="shared" si="1"/>
        <v>182.330089366593</v>
      </c>
      <c r="O22" s="104">
        <f t="shared" si="1"/>
        <v>180.35508255879</v>
      </c>
      <c r="P22" s="104">
        <f t="shared" si="1"/>
        <v>178.38007575098601</v>
      </c>
      <c r="Q22" s="104">
        <f t="shared" si="1"/>
        <v>176.40506894318301</v>
      </c>
      <c r="R22" s="104">
        <f t="shared" si="1"/>
        <v>174.43006213537899</v>
      </c>
      <c r="S22" s="104">
        <f t="shared" si="1"/>
        <v>175.461672281072</v>
      </c>
      <c r="T22" s="104">
        <f t="shared" si="1"/>
        <v>176.49328242676501</v>
      </c>
      <c r="U22" s="104">
        <f t="shared" si="1"/>
        <v>177.52489257245799</v>
      </c>
      <c r="V22" s="104">
        <f t="shared" si="1"/>
        <v>178.55650271815099</v>
      </c>
      <c r="W22" s="104">
        <f t="shared" si="1"/>
        <v>181.209999767016</v>
      </c>
      <c r="X22" s="104">
        <f t="shared" si="1"/>
        <v>183.86349681588001</v>
      </c>
      <c r="Y22" s="104">
        <f t="shared" si="1"/>
        <v>186.51699386474499</v>
      </c>
      <c r="Z22" s="104">
        <f t="shared" si="1"/>
        <v>189.170490913609</v>
      </c>
      <c r="AA22" s="104">
        <f t="shared" si="1"/>
        <v>191.81299452331399</v>
      </c>
      <c r="AB22" s="95"/>
    </row>
    <row r="23" spans="1:50" s="170" customFormat="1" ht="12" x14ac:dyDescent="0.15">
      <c r="B23" s="210" t="s">
        <v>271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3.3590297892518439E-3</v>
      </c>
      <c r="O23" s="246">
        <f t="shared" ref="O23" si="3">(O22/N22)-1</f>
        <v>-1.0832039926399917E-2</v>
      </c>
      <c r="P23" s="230">
        <f t="shared" ref="P23" si="4">(P22/O22)-1</f>
        <v>-1.0950657889889026E-2</v>
      </c>
      <c r="Q23" s="230">
        <f t="shared" ref="Q23" si="5">(Q22/P22)-1</f>
        <v>-1.1071902506421538E-2</v>
      </c>
      <c r="R23" s="230">
        <f t="shared" ref="R23" si="6">(R22/Q22)-1</f>
        <v>-1.1195861998955059E-2</v>
      </c>
      <c r="S23" s="246">
        <f t="shared" ref="S23" si="7">(S22/R22)-1</f>
        <v>5.9141763355696764E-3</v>
      </c>
      <c r="T23" s="230">
        <f t="shared" ref="T23" si="8">(T22/S22)-1</f>
        <v>5.8794045006049789E-3</v>
      </c>
      <c r="U23" s="230">
        <f t="shared" ref="U23" si="9">(U22/T22)-1</f>
        <v>5.8450391511135624E-3</v>
      </c>
      <c r="V23" s="230">
        <f t="shared" ref="V23" si="10">(V22/U22)-1</f>
        <v>5.8110732007452537E-3</v>
      </c>
      <c r="W23" s="246">
        <f t="shared" ref="W23" si="11">(W22/V22)-1</f>
        <v>1.4860825612458939E-2</v>
      </c>
      <c r="X23" s="230">
        <f t="shared" ref="X23" si="12">(X22/W22)-1</f>
        <v>1.4643215342837745E-2</v>
      </c>
      <c r="Y23" s="230">
        <f t="shared" ref="Y23" si="13">(Y22/X22)-1</f>
        <v>1.4431886126489601E-2</v>
      </c>
      <c r="Z23" s="230">
        <f t="shared" ref="Z23" si="14">(Z22/Y22)-1</f>
        <v>1.4226569889863372E-2</v>
      </c>
      <c r="AA23" s="246">
        <f t="shared" ref="AA23" si="15">(AA22/Z22)-1</f>
        <v>1.3968899678501012E-2</v>
      </c>
      <c r="AB23" s="243"/>
    </row>
    <row r="24" spans="1:50" s="97" customFormat="1" x14ac:dyDescent="0.2">
      <c r="B24" s="99" t="s">
        <v>176</v>
      </c>
      <c r="D24" s="103"/>
      <c r="E24" s="217"/>
      <c r="F24" s="217">
        <f t="shared" ref="F24" si="16">F21-F22</f>
        <v>3.0000000000143245E-3</v>
      </c>
      <c r="G24" s="150">
        <f t="shared" ref="G24" si="17">G21-G22</f>
        <v>2.8000000000020009E-2</v>
      </c>
      <c r="H24" s="217">
        <f t="shared" ref="H24" si="18">H21-H22</f>
        <v>1.9000000000005457E-2</v>
      </c>
      <c r="I24" s="217">
        <f t="shared" ref="I24" si="19">I21-I22</f>
        <v>6.7878800857670569</v>
      </c>
      <c r="J24" s="217">
        <f t="shared" ref="J24" si="20">J21-J22</f>
        <v>2.4621390898360573</v>
      </c>
      <c r="K24" s="150">
        <f t="shared" ref="K24:AA24" si="21">K21-K22</f>
        <v>1.8517372461530499</v>
      </c>
      <c r="L24" s="217">
        <f t="shared" si="21"/>
        <v>1.2413354024700425</v>
      </c>
      <c r="M24" s="239">
        <f t="shared" si="21"/>
        <v>42.711846116101725</v>
      </c>
      <c r="N24" s="217">
        <f t="shared" si="21"/>
        <v>42.101444272418718</v>
      </c>
      <c r="O24" s="150">
        <f t="shared" si="21"/>
        <v>44.076451080221716</v>
      </c>
      <c r="P24" s="217">
        <f t="shared" si="21"/>
        <v>43.593784943441761</v>
      </c>
      <c r="Q24" s="217">
        <f t="shared" si="21"/>
        <v>43.111118806662063</v>
      </c>
      <c r="R24" s="217">
        <f t="shared" si="21"/>
        <v>42.628452669882108</v>
      </c>
      <c r="S24" s="150">
        <f t="shared" si="21"/>
        <v>42.880564855884273</v>
      </c>
      <c r="T24" s="217">
        <f t="shared" si="21"/>
        <v>43.132677041886438</v>
      </c>
      <c r="U24" s="217">
        <f t="shared" si="21"/>
        <v>43.384789227888604</v>
      </c>
      <c r="V24" s="217">
        <f t="shared" si="21"/>
        <v>43.63690141389074</v>
      </c>
      <c r="W24" s="150">
        <f t="shared" si="21"/>
        <v>44.285381796070624</v>
      </c>
      <c r="X24" s="217">
        <f t="shared" si="21"/>
        <v>44.933862178250251</v>
      </c>
      <c r="Y24" s="217">
        <f t="shared" si="21"/>
        <v>45.582342560430135</v>
      </c>
      <c r="Z24" s="217">
        <f t="shared" si="21"/>
        <v>46.230822942609791</v>
      </c>
      <c r="AA24" s="150">
        <f t="shared" si="21"/>
        <v>46.876616670349648</v>
      </c>
      <c r="AB24" s="244"/>
    </row>
    <row r="25" spans="1:50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50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50" ht="19" x14ac:dyDescent="0.25">
      <c r="A27" s="110" t="s">
        <v>185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50" x14ac:dyDescent="0.2">
      <c r="B28" t="s">
        <v>185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181.84899999999999</v>
      </c>
      <c r="H28" s="104">
        <f>main!O113/1000</f>
        <v>205.904</v>
      </c>
      <c r="I28" s="104">
        <f>main!P113/1000</f>
        <v>145.87565218125005</v>
      </c>
      <c r="J28" s="104">
        <f>main!Q113/1000</f>
        <v>146.60503044215625</v>
      </c>
      <c r="K28" s="104">
        <f>main!R113/1000</f>
        <v>147.70456817047238</v>
      </c>
      <c r="L28" s="104">
        <f>main!S113/1000</f>
        <v>149.18161385217715</v>
      </c>
      <c r="M28" s="104">
        <f>L28*(1 + M30)</f>
        <v>159.56086992867171</v>
      </c>
      <c r="N28" s="104">
        <f t="shared" ref="N28:AA28" si="22">M28*(1 + N30)</f>
        <v>169.1802316908466</v>
      </c>
      <c r="O28" s="104">
        <f t="shared" si="22"/>
        <v>187.14752854527001</v>
      </c>
      <c r="P28" s="104">
        <f t="shared" si="22"/>
        <v>204.26965510768184</v>
      </c>
      <c r="Q28" s="104">
        <f t="shared" si="22"/>
        <v>221.51611495020876</v>
      </c>
      <c r="R28" s="104">
        <f t="shared" si="22"/>
        <v>238.75342147263223</v>
      </c>
      <c r="S28" s="104">
        <f t="shared" si="22"/>
        <v>245.71426025906086</v>
      </c>
      <c r="T28" s="104">
        <f t="shared" si="22"/>
        <v>253.04104358203412</v>
      </c>
      <c r="U28" s="104">
        <f t="shared" si="22"/>
        <v>260.70050375641284</v>
      </c>
      <c r="V28" s="104">
        <f t="shared" si="22"/>
        <v>267.89421633882517</v>
      </c>
      <c r="W28" s="104">
        <f t="shared" si="22"/>
        <v>268.84797978060283</v>
      </c>
      <c r="X28" s="104">
        <f t="shared" si="22"/>
        <v>269.76847553723962</v>
      </c>
      <c r="Y28" s="104">
        <f t="shared" si="22"/>
        <v>270.65570360873642</v>
      </c>
      <c r="Z28" s="104">
        <f t="shared" si="22"/>
        <v>271.54293168023412</v>
      </c>
      <c r="AA28" s="104">
        <f t="shared" si="22"/>
        <v>272.46907282700522</v>
      </c>
      <c r="AB28" s="95"/>
    </row>
    <row r="29" spans="1:50" x14ac:dyDescent="0.2">
      <c r="B29" t="s">
        <v>175</v>
      </c>
      <c r="D29" s="102" t="e">
        <f>#REF!</f>
        <v>#REF!</v>
      </c>
      <c r="E29" s="104">
        <f>E11</f>
        <v>143.4</v>
      </c>
      <c r="F29" s="104">
        <f t="shared" ref="F29:U29" si="23">F11</f>
        <v>144.80000000000001</v>
      </c>
      <c r="G29" s="104">
        <f t="shared" si="23"/>
        <v>145.19999999999999</v>
      </c>
      <c r="H29" s="104">
        <f t="shared" si="23"/>
        <v>145.9</v>
      </c>
      <c r="I29" s="104">
        <f t="shared" si="23"/>
        <v>148.62099511391199</v>
      </c>
      <c r="J29" s="104">
        <f t="shared" si="23"/>
        <v>147.797019737607</v>
      </c>
      <c r="K29" s="104">
        <f t="shared" si="23"/>
        <v>159.24265611122399</v>
      </c>
      <c r="L29" s="104">
        <f t="shared" si="23"/>
        <v>170.909193879409</v>
      </c>
      <c r="M29" s="104">
        <f t="shared" si="23"/>
        <v>182.80013836844901</v>
      </c>
      <c r="N29" s="104">
        <f t="shared" si="23"/>
        <v>193.82051361413301</v>
      </c>
      <c r="O29" s="104">
        <f t="shared" si="23"/>
        <v>214.404660294731</v>
      </c>
      <c r="P29" s="104">
        <f t="shared" si="23"/>
        <v>234.02054172086099</v>
      </c>
      <c r="Q29" s="104">
        <f t="shared" si="23"/>
        <v>253.77886496758899</v>
      </c>
      <c r="R29" s="104">
        <f t="shared" si="23"/>
        <v>273.52670175744203</v>
      </c>
      <c r="S29" s="104">
        <f t="shared" si="23"/>
        <v>281.50135302305898</v>
      </c>
      <c r="T29" s="104">
        <f t="shared" si="23"/>
        <v>289.89524687581797</v>
      </c>
      <c r="U29" s="104">
        <f t="shared" si="23"/>
        <v>298.67027035325299</v>
      </c>
      <c r="V29" s="104">
        <f t="shared" ref="V29:AA29" si="24">V11</f>
        <v>306.91171235614303</v>
      </c>
      <c r="W29" s="104">
        <f t="shared" si="24"/>
        <v>308.00438682705601</v>
      </c>
      <c r="X29" s="104">
        <f t="shared" si="24"/>
        <v>309.05894833550099</v>
      </c>
      <c r="Y29" s="104">
        <f t="shared" si="24"/>
        <v>310.07539688147898</v>
      </c>
      <c r="Z29" s="104">
        <f t="shared" si="24"/>
        <v>311.091845427458</v>
      </c>
      <c r="AA29" s="104">
        <f t="shared" si="24"/>
        <v>312.15287454978699</v>
      </c>
      <c r="AB29" s="95"/>
    </row>
    <row r="30" spans="1:50" s="170" customFormat="1" ht="12" x14ac:dyDescent="0.15">
      <c r="B30" s="210" t="s">
        <v>271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5">(M29/L29)-1</f>
        <v>6.9574633284094078E-2</v>
      </c>
      <c r="N30" s="230">
        <f t="shared" ref="N30" si="26">(N29/M29)-1</f>
        <v>6.0286471028109911E-2</v>
      </c>
      <c r="O30" s="246">
        <f t="shared" ref="O30" si="27">(O29/N29)-1</f>
        <v>0.10620210573571121</v>
      </c>
      <c r="P30" s="230">
        <f t="shared" ref="P30" si="28">(P29/O29)-1</f>
        <v>9.1489995596014895E-2</v>
      </c>
      <c r="Q30" s="230">
        <f t="shared" ref="Q30" si="29">(Q29/P29)-1</f>
        <v>8.4429867145148663E-2</v>
      </c>
      <c r="R30" s="230">
        <f t="shared" ref="R30" si="30">(R29/Q29)-1</f>
        <v>7.7815135599944796E-2</v>
      </c>
      <c r="S30" s="246">
        <f t="shared" ref="S30" si="31">(S29/R29)-1</f>
        <v>2.9154927889594839E-2</v>
      </c>
      <c r="T30" s="230">
        <f t="shared" ref="T30" si="32">(T29/S29)-1</f>
        <v>2.9818307310485404E-2</v>
      </c>
      <c r="U30" s="230">
        <f t="shared" ref="U30" si="33">(U29/T29)-1</f>
        <v>3.0269635573549003E-2</v>
      </c>
      <c r="V30" s="230">
        <f t="shared" ref="V30" si="34">(V29/U29)-1</f>
        <v>2.7593780904749732E-2</v>
      </c>
      <c r="W30" s="246">
        <f t="shared" ref="W30" si="35">(W29/V29)-1</f>
        <v>3.5602240870007407E-3</v>
      </c>
      <c r="X30" s="230">
        <f t="shared" ref="X30" si="36">(X29/W29)-1</f>
        <v>3.4238522357057377E-3</v>
      </c>
      <c r="Y30" s="230">
        <f t="shared" ref="Y30" si="37">(Y29/X29)-1</f>
        <v>3.2888500768293305E-3</v>
      </c>
      <c r="Z30" s="230">
        <f t="shared" ref="Z30" si="38">(Z29/Y29)-1</f>
        <v>3.278068999352346E-3</v>
      </c>
      <c r="AA30" s="246">
        <f t="shared" ref="AA30" si="39">(AA29/Z29)-1</f>
        <v>3.4106619569891361E-3</v>
      </c>
      <c r="AB30" s="243"/>
    </row>
    <row r="31" spans="1:50" s="97" customFormat="1" x14ac:dyDescent="0.2">
      <c r="B31" s="99" t="s">
        <v>176</v>
      </c>
      <c r="D31" s="103"/>
      <c r="E31" s="217"/>
      <c r="F31" s="217">
        <f t="shared" ref="F31" si="40">F28-F29</f>
        <v>185.97699999999998</v>
      </c>
      <c r="G31" s="150">
        <f t="shared" ref="G31" si="41">G28-G29</f>
        <v>36.649000000000001</v>
      </c>
      <c r="H31" s="217">
        <f t="shared" ref="H31" si="42">H28-H29</f>
        <v>60.003999999999991</v>
      </c>
      <c r="I31" s="217">
        <f t="shared" ref="I31" si="43">I28-I29</f>
        <v>-2.7453429326619414</v>
      </c>
      <c r="J31" s="217">
        <f t="shared" ref="J31" si="44">J28-J29</f>
        <v>-1.1919892954507532</v>
      </c>
      <c r="K31" s="150">
        <f t="shared" ref="K31:N31" si="45">K28-K29</f>
        <v>-11.538087940751609</v>
      </c>
      <c r="L31" s="239">
        <f t="shared" si="45"/>
        <v>-21.727580027231852</v>
      </c>
      <c r="M31" s="217">
        <f t="shared" si="45"/>
        <v>-23.239268439777305</v>
      </c>
      <c r="N31" s="217">
        <f t="shared" si="45"/>
        <v>-24.640281923286409</v>
      </c>
      <c r="O31" s="150">
        <f t="shared" ref="O31:AA31" si="46">O28-O29</f>
        <v>-27.257131749460996</v>
      </c>
      <c r="P31" s="150">
        <f t="shared" si="46"/>
        <v>-29.750886613179148</v>
      </c>
      <c r="Q31" s="150">
        <f t="shared" si="46"/>
        <v>-32.262750017380228</v>
      </c>
      <c r="R31" s="150">
        <f t="shared" si="46"/>
        <v>-34.7732802848098</v>
      </c>
      <c r="S31" s="150">
        <f t="shared" si="46"/>
        <v>-35.787092763998118</v>
      </c>
      <c r="T31" s="150">
        <f t="shared" si="46"/>
        <v>-36.854203293783854</v>
      </c>
      <c r="U31" s="150">
        <f t="shared" si="46"/>
        <v>-37.969766596840145</v>
      </c>
      <c r="V31" s="150">
        <f t="shared" si="46"/>
        <v>-39.017496017317853</v>
      </c>
      <c r="W31" s="150">
        <f t="shared" si="46"/>
        <v>-39.156407046453182</v>
      </c>
      <c r="X31" s="150">
        <f t="shared" si="46"/>
        <v>-39.290472798261362</v>
      </c>
      <c r="Y31" s="150">
        <f t="shared" si="46"/>
        <v>-39.419693272742563</v>
      </c>
      <c r="Z31" s="150">
        <f t="shared" si="46"/>
        <v>-39.548913747223878</v>
      </c>
      <c r="AA31" s="150">
        <f t="shared" si="46"/>
        <v>-39.683801722781766</v>
      </c>
      <c r="AB31" s="244"/>
    </row>
    <row r="32" spans="1:50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181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265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0</v>
      </c>
      <c r="H35" s="104">
        <f>main!O26</f>
        <v>0</v>
      </c>
      <c r="I35" s="104">
        <f>main!P26</f>
        <v>1957.5073583056076</v>
      </c>
      <c r="J35" s="104">
        <f>main!Q26</f>
        <v>1985.8481141737871</v>
      </c>
      <c r="K35" s="149">
        <f>main!R26</f>
        <v>2012.2468720647662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175</v>
      </c>
      <c r="D36" s="102" t="e">
        <f>#REF!</f>
        <v>#REF!</v>
      </c>
      <c r="E36" s="104">
        <f>E12</f>
        <v>1779.8</v>
      </c>
      <c r="F36" s="104">
        <f t="shared" ref="F36:K36" si="47">F12</f>
        <v>1871.3</v>
      </c>
      <c r="G36" s="104">
        <f t="shared" si="47"/>
        <v>1907.1</v>
      </c>
      <c r="H36" s="104">
        <f t="shared" si="47"/>
        <v>1965.1</v>
      </c>
      <c r="I36" s="104">
        <f t="shared" si="47"/>
        <v>1985.2448178335901</v>
      </c>
      <c r="J36" s="104">
        <f t="shared" si="47"/>
        <v>2013.98715613545</v>
      </c>
      <c r="K36" s="104">
        <f t="shared" si="47"/>
        <v>2040.75997876518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176</v>
      </c>
      <c r="D37" s="103"/>
      <c r="E37" s="217"/>
      <c r="F37" s="217">
        <f>F35-F36</f>
        <v>4.8999999999978172E-2</v>
      </c>
      <c r="G37" s="150">
        <f t="shared" ref="G37:K37" si="48">G35-G36</f>
        <v>-1907.1</v>
      </c>
      <c r="H37" s="217">
        <f t="shared" si="48"/>
        <v>-1965.1</v>
      </c>
      <c r="I37" s="217">
        <f t="shared" si="48"/>
        <v>-27.737459527982537</v>
      </c>
      <c r="J37" s="217">
        <f t="shared" si="48"/>
        <v>-28.139041961662997</v>
      </c>
      <c r="K37" s="150">
        <f t="shared" si="48"/>
        <v>-28.5131067004138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180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265</v>
      </c>
      <c r="D41" s="102"/>
      <c r="E41" s="104">
        <f>main!L30</f>
        <v>54.2</v>
      </c>
      <c r="F41" s="104">
        <f>main!M30</f>
        <v>90.2</v>
      </c>
      <c r="G41" s="149">
        <f>main!N30</f>
        <v>91.58216652574599</v>
      </c>
      <c r="H41" s="104">
        <f>main!O30</f>
        <v>93.994992985456051</v>
      </c>
      <c r="I41" s="104">
        <f>main!P30</f>
        <v>94.958563292800008</v>
      </c>
      <c r="J41" s="104">
        <f>main!Q30</f>
        <v>96.333371642028268</v>
      </c>
      <c r="K41" s="149">
        <f>main!R30</f>
        <v>97.613973787101031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175</v>
      </c>
      <c r="D42" s="102" t="e">
        <f>#REF!</f>
        <v>#REF!</v>
      </c>
      <c r="E42" s="104">
        <f>E13</f>
        <v>54.2</v>
      </c>
      <c r="F42" s="104">
        <f t="shared" ref="F42:K42" si="49">F13</f>
        <v>90.2</v>
      </c>
      <c r="G42" s="104">
        <f t="shared" si="49"/>
        <v>95.9</v>
      </c>
      <c r="H42" s="104">
        <f t="shared" si="49"/>
        <v>96.6</v>
      </c>
      <c r="I42" s="104">
        <f t="shared" si="49"/>
        <v>97.590275000114403</v>
      </c>
      <c r="J42" s="104">
        <f t="shared" si="49"/>
        <v>99.003185223491897</v>
      </c>
      <c r="K42" s="104">
        <f t="shared" si="49"/>
        <v>100.319278382126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176</v>
      </c>
      <c r="D43" s="103"/>
      <c r="E43" s="217"/>
      <c r="F43" s="217">
        <f>F41-F42</f>
        <v>0</v>
      </c>
      <c r="G43" s="150">
        <f t="shared" ref="G43:K43" si="50">G41-G42</f>
        <v>-4.3178334742540159</v>
      </c>
      <c r="H43" s="217">
        <f t="shared" si="50"/>
        <v>-2.6050070145439435</v>
      </c>
      <c r="I43" s="217">
        <f t="shared" si="50"/>
        <v>-2.6317117073143947</v>
      </c>
      <c r="J43" s="217">
        <f t="shared" si="50"/>
        <v>-2.6698135814636288</v>
      </c>
      <c r="K43" s="150">
        <f t="shared" si="50"/>
        <v>-2.7053045950249697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186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186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1403.2670000000001</v>
      </c>
      <c r="I47" s="104">
        <f>main!P95/1000</f>
        <v>1421.8797572941455</v>
      </c>
      <c r="J47" s="223">
        <f>main!Q95/1000</f>
        <v>1444.9365325513459</v>
      </c>
      <c r="K47" s="149">
        <f>J47*(1+K49)</f>
        <v>1476.4530643714609</v>
      </c>
      <c r="L47" s="104">
        <f t="shared" ref="L47:AA47" si="51">K47*(1+L49)</f>
        <v>1507.9695961915656</v>
      </c>
      <c r="M47" s="104">
        <f t="shared" si="51"/>
        <v>1539.48612801167</v>
      </c>
      <c r="N47" s="104">
        <f t="shared" si="51"/>
        <v>1571.0026598317852</v>
      </c>
      <c r="O47" s="149">
        <f t="shared" si="51"/>
        <v>1584.3661861427986</v>
      </c>
      <c r="P47" s="104">
        <f t="shared" si="51"/>
        <v>1597.7297124538018</v>
      </c>
      <c r="Q47" s="104">
        <f t="shared" si="51"/>
        <v>1611.0932387648152</v>
      </c>
      <c r="R47" s="104">
        <f t="shared" si="51"/>
        <v>1624.4567650758283</v>
      </c>
      <c r="S47" s="149">
        <f t="shared" si="51"/>
        <v>1635.4725530953417</v>
      </c>
      <c r="T47" s="104">
        <f t="shared" si="51"/>
        <v>1646.4883411148555</v>
      </c>
      <c r="U47" s="104">
        <f t="shared" si="51"/>
        <v>1657.5041291343584</v>
      </c>
      <c r="V47" s="104">
        <f t="shared" si="51"/>
        <v>1668.5199171538723</v>
      </c>
      <c r="W47" s="149">
        <f t="shared" si="51"/>
        <v>1709.6327256316122</v>
      </c>
      <c r="X47" s="104">
        <f t="shared" si="51"/>
        <v>1750.7455341093626</v>
      </c>
      <c r="Y47" s="104">
        <f t="shared" si="51"/>
        <v>1791.8583425871025</v>
      </c>
      <c r="Z47" s="104">
        <f t="shared" si="51"/>
        <v>1832.9711510648426</v>
      </c>
      <c r="AA47" s="149">
        <f t="shared" si="51"/>
        <v>1863.6126158747145</v>
      </c>
      <c r="AB47" s="95"/>
    </row>
    <row r="48" spans="1:28" x14ac:dyDescent="0.2">
      <c r="B48" t="s">
        <v>175</v>
      </c>
      <c r="D48" s="102" t="e">
        <f>#REF!</f>
        <v>#REF!</v>
      </c>
      <c r="E48" s="104">
        <f>E14</f>
        <v>1336.74</v>
      </c>
      <c r="F48" s="104">
        <f t="shared" ref="F48:AA48" si="52">F14</f>
        <v>1328.7719999999999</v>
      </c>
      <c r="G48" s="104">
        <f t="shared" si="52"/>
        <v>1372.7929999999999</v>
      </c>
      <c r="H48" s="104">
        <f t="shared" si="52"/>
        <v>1403.2629999999999</v>
      </c>
      <c r="I48" s="104">
        <f t="shared" si="52"/>
        <v>1394.63952711825</v>
      </c>
      <c r="J48" s="104">
        <f t="shared" si="52"/>
        <v>1386.0160542364999</v>
      </c>
      <c r="K48" s="104">
        <f t="shared" si="52"/>
        <v>1416.24742986613</v>
      </c>
      <c r="L48" s="104">
        <f t="shared" si="52"/>
        <v>1446.4788054957501</v>
      </c>
      <c r="M48" s="104">
        <f t="shared" si="52"/>
        <v>1476.7101811253699</v>
      </c>
      <c r="N48" s="104">
        <f t="shared" si="52"/>
        <v>1506.941556755</v>
      </c>
      <c r="O48" s="104">
        <f t="shared" si="52"/>
        <v>1519.7601557667999</v>
      </c>
      <c r="P48" s="104">
        <f t="shared" si="52"/>
        <v>1532.5787547785901</v>
      </c>
      <c r="Q48" s="104">
        <f t="shared" si="52"/>
        <v>1545.3973537903901</v>
      </c>
      <c r="R48" s="104">
        <f t="shared" si="52"/>
        <v>1558.21595280219</v>
      </c>
      <c r="S48" s="104">
        <f t="shared" si="52"/>
        <v>1568.7825477363999</v>
      </c>
      <c r="T48" s="104">
        <f t="shared" si="52"/>
        <v>1579.34914267061</v>
      </c>
      <c r="U48" s="104">
        <f t="shared" si="52"/>
        <v>1589.9157376048099</v>
      </c>
      <c r="V48" s="104">
        <f t="shared" si="52"/>
        <v>1600.48233253902</v>
      </c>
      <c r="W48" s="104">
        <f t="shared" si="52"/>
        <v>1639.9186754518</v>
      </c>
      <c r="X48" s="104">
        <f t="shared" si="52"/>
        <v>1679.35501836459</v>
      </c>
      <c r="Y48" s="104">
        <f t="shared" si="52"/>
        <v>1718.79136127737</v>
      </c>
      <c r="Z48" s="104">
        <f t="shared" si="52"/>
        <v>1758.22770419015</v>
      </c>
      <c r="AA48" s="104">
        <f t="shared" si="52"/>
        <v>1787.6196955994999</v>
      </c>
      <c r="AB48" s="95"/>
    </row>
    <row r="49" spans="1:32" s="170" customFormat="1" ht="12" x14ac:dyDescent="0.15">
      <c r="B49" s="210" t="s">
        <v>271</v>
      </c>
      <c r="D49" s="228"/>
      <c r="E49" s="242"/>
      <c r="F49" s="242"/>
      <c r="G49" s="229"/>
      <c r="H49" s="242"/>
      <c r="I49" s="242"/>
      <c r="J49" s="242"/>
      <c r="K49" s="246">
        <f t="shared" ref="K49" si="53">(K48/J48)-1</f>
        <v>2.1811706680615162E-2</v>
      </c>
      <c r="L49" s="230">
        <f t="shared" ref="L49" si="54">(L48/K48)-1</f>
        <v>2.1346111556564518E-2</v>
      </c>
      <c r="M49" s="230">
        <f t="shared" ref="M49" si="55">(M48/L48)-1</f>
        <v>2.0899978288488441E-2</v>
      </c>
      <c r="N49" s="230">
        <f t="shared" ref="N49" si="56">(N48/M48)-1</f>
        <v>2.0472111600525089E-2</v>
      </c>
      <c r="O49" s="246">
        <f t="shared" ref="O49" si="57">(O48/N48)-1</f>
        <v>8.5063677183361275E-3</v>
      </c>
      <c r="P49" s="230">
        <f t="shared" ref="P49" si="58">(P48/O48)-1</f>
        <v>8.4346197412463741E-3</v>
      </c>
      <c r="Q49" s="230">
        <f t="shared" ref="Q49" si="59">(Q48/P48)-1</f>
        <v>8.3640719746580494E-3</v>
      </c>
      <c r="R49" s="230">
        <f t="shared" ref="R49" si="60">(R48/Q48)-1</f>
        <v>8.2946945524138282E-3</v>
      </c>
      <c r="S49" s="246">
        <f t="shared" ref="S49" si="61">(S48/R48)-1</f>
        <v>6.781213422444754E-3</v>
      </c>
      <c r="T49" s="230">
        <f t="shared" ref="T49" si="62">(T48/S48)-1</f>
        <v>6.7355382997196234E-3</v>
      </c>
      <c r="U49" s="230">
        <f t="shared" ref="U49" si="63">(U48/T48)-1</f>
        <v>6.6904743534619282E-3</v>
      </c>
      <c r="V49" s="230">
        <f t="shared" ref="V49" si="64">(V48/U48)-1</f>
        <v>6.6460093980380552E-3</v>
      </c>
      <c r="W49" s="246">
        <f t="shared" ref="W49" si="65">(W48/V48)-1</f>
        <v>2.4640286313075244E-2</v>
      </c>
      <c r="X49" s="230">
        <f t="shared" ref="X49" si="66">(X48/W48)-1</f>
        <v>2.4047743039407266E-2</v>
      </c>
      <c r="Y49" s="230">
        <f t="shared" ref="Y49" si="67">(Y48/X48)-1</f>
        <v>2.3483029187708171E-2</v>
      </c>
      <c r="Z49" s="230">
        <f t="shared" ref="Z49" si="68">(Z48/Y48)-1</f>
        <v>2.2944229184088893E-2</v>
      </c>
      <c r="AA49" s="246">
        <f t="shared" ref="AA49" si="69">(AA48/Z48)-1</f>
        <v>1.6716828735722888E-2</v>
      </c>
      <c r="AB49" s="243"/>
    </row>
    <row r="50" spans="1:32" s="97" customFormat="1" x14ac:dyDescent="0.2">
      <c r="B50" s="99" t="s">
        <v>176</v>
      </c>
      <c r="D50" s="103"/>
      <c r="E50" s="217"/>
      <c r="F50" s="217">
        <f t="shared" ref="F50" si="70">F47-F48</f>
        <v>3.3000000000129148E-2</v>
      </c>
      <c r="G50" s="150">
        <f t="shared" ref="G50" si="71">G47-G48</f>
        <v>-5.9999999998581188E-3</v>
      </c>
      <c r="H50" s="217">
        <f t="shared" ref="H50" si="72">H47-H48</f>
        <v>4.0000000001327862E-3</v>
      </c>
      <c r="I50" s="217">
        <f t="shared" ref="I50" si="73">I47-I48</f>
        <v>27.240230175895476</v>
      </c>
      <c r="J50" s="239">
        <f t="shared" ref="J50" si="74">J47-J48</f>
        <v>58.920478314845923</v>
      </c>
      <c r="K50" s="150">
        <f t="shared" ref="K50:AA50" si="75">K47-K48</f>
        <v>60.205634505330863</v>
      </c>
      <c r="L50" s="217">
        <f t="shared" si="75"/>
        <v>61.490790695815576</v>
      </c>
      <c r="M50" s="217">
        <f t="shared" si="75"/>
        <v>62.775946886300062</v>
      </c>
      <c r="N50" s="217">
        <f t="shared" si="75"/>
        <v>64.06110307678523</v>
      </c>
      <c r="O50" s="150">
        <f t="shared" si="75"/>
        <v>64.606030375998671</v>
      </c>
      <c r="P50" s="217">
        <f t="shared" si="75"/>
        <v>65.150957675211657</v>
      </c>
      <c r="Q50" s="217">
        <f t="shared" si="75"/>
        <v>65.695884974425098</v>
      </c>
      <c r="R50" s="217">
        <f t="shared" si="75"/>
        <v>66.240812273638312</v>
      </c>
      <c r="S50" s="150">
        <f t="shared" si="75"/>
        <v>66.690005358941789</v>
      </c>
      <c r="T50" s="217">
        <f t="shared" si="75"/>
        <v>67.139198444245494</v>
      </c>
      <c r="U50" s="217">
        <f t="shared" si="75"/>
        <v>67.588391529548517</v>
      </c>
      <c r="V50" s="217">
        <f t="shared" si="75"/>
        <v>68.037584614852221</v>
      </c>
      <c r="W50" s="150">
        <f t="shared" si="75"/>
        <v>69.714050179812148</v>
      </c>
      <c r="X50" s="217">
        <f t="shared" si="75"/>
        <v>71.390515744772529</v>
      </c>
      <c r="Y50" s="217">
        <f t="shared" si="75"/>
        <v>73.066981309732455</v>
      </c>
      <c r="Z50" s="217">
        <f t="shared" si="75"/>
        <v>74.743446874692609</v>
      </c>
      <c r="AA50" s="150">
        <f t="shared" si="75"/>
        <v>75.992920275214601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187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187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2026.902</v>
      </c>
      <c r="H54" s="104">
        <f>main!O94/1000</f>
        <v>3162.1997350000001</v>
      </c>
      <c r="I54" s="104">
        <f>main!P94/1000</f>
        <v>1830.5942369875002</v>
      </c>
      <c r="J54" s="104">
        <f>main!Q94/1000</f>
        <v>1748.6718511864351</v>
      </c>
      <c r="K54" s="263">
        <f>main!R94/1000</f>
        <v>1744.8271472148115</v>
      </c>
      <c r="L54" s="104">
        <f>K54*(1+L56)</f>
        <v>1746.3308938699811</v>
      </c>
      <c r="M54" s="104">
        <f t="shared" ref="M54:AA54" si="76">L54*(1+M56)</f>
        <v>1739.7272954659311</v>
      </c>
      <c r="N54" s="104">
        <f t="shared" si="76"/>
        <v>1720.9927258959044</v>
      </c>
      <c r="O54" s="104">
        <f t="shared" si="76"/>
        <v>1743.1535322097593</v>
      </c>
      <c r="P54" s="104">
        <f t="shared" si="76"/>
        <v>1754.6938558467532</v>
      </c>
      <c r="Q54" s="104">
        <f t="shared" si="76"/>
        <v>1758.7373866355238</v>
      </c>
      <c r="R54" s="104">
        <f t="shared" si="76"/>
        <v>1754.1619466882642</v>
      </c>
      <c r="S54" s="104">
        <f t="shared" si="76"/>
        <v>1763.0323240939313</v>
      </c>
      <c r="T54" s="104">
        <f t="shared" si="76"/>
        <v>1772.9974933573251</v>
      </c>
      <c r="U54" s="104">
        <f t="shared" si="76"/>
        <v>1782.5058866419245</v>
      </c>
      <c r="V54" s="104">
        <f t="shared" si="76"/>
        <v>1792.6280611441437</v>
      </c>
      <c r="W54" s="104">
        <f t="shared" si="76"/>
        <v>1834.2940654004885</v>
      </c>
      <c r="X54" s="104">
        <f t="shared" si="76"/>
        <v>1869.4947297128638</v>
      </c>
      <c r="Y54" s="104">
        <f t="shared" si="76"/>
        <v>1896.577489727493</v>
      </c>
      <c r="Z54" s="104">
        <f t="shared" si="76"/>
        <v>1916.3259519950307</v>
      </c>
      <c r="AA54" s="104">
        <f t="shared" si="76"/>
        <v>1925.530863880995</v>
      </c>
      <c r="AB54" s="95"/>
    </row>
    <row r="55" spans="1:32" x14ac:dyDescent="0.2">
      <c r="B55" t="s">
        <v>175</v>
      </c>
      <c r="D55" s="102" t="e">
        <f>#REF!</f>
        <v>#REF!</v>
      </c>
      <c r="E55" s="104">
        <f>E15</f>
        <v>1828.5</v>
      </c>
      <c r="F55" s="104">
        <f t="shared" ref="F55:AA55" si="77">F15</f>
        <v>1861.4</v>
      </c>
      <c r="G55" s="104">
        <f t="shared" si="77"/>
        <v>1756.2</v>
      </c>
      <c r="H55" s="104">
        <f t="shared" si="77"/>
        <v>1805.1</v>
      </c>
      <c r="I55" s="104">
        <f t="shared" si="77"/>
        <v>1626.02571860579</v>
      </c>
      <c r="J55" s="104">
        <f t="shared" si="77"/>
        <v>1498.53485474677</v>
      </c>
      <c r="K55" s="104">
        <f t="shared" si="77"/>
        <v>1511.0876515336199</v>
      </c>
      <c r="L55" s="104">
        <f t="shared" si="77"/>
        <v>1512.38995417448</v>
      </c>
      <c r="M55" s="104">
        <f t="shared" si="77"/>
        <v>1506.67098308902</v>
      </c>
      <c r="N55" s="104">
        <f t="shared" si="77"/>
        <v>1490.44612277592</v>
      </c>
      <c r="O55" s="104">
        <f t="shared" si="77"/>
        <v>1509.6382363456501</v>
      </c>
      <c r="P55" s="104">
        <f t="shared" si="77"/>
        <v>1519.632602017</v>
      </c>
      <c r="Q55" s="104">
        <f t="shared" si="77"/>
        <v>1523.1344557411701</v>
      </c>
      <c r="R55" s="104">
        <f t="shared" si="77"/>
        <v>1519.1719481565799</v>
      </c>
      <c r="S55" s="104">
        <f t="shared" si="77"/>
        <v>1526.85403734435</v>
      </c>
      <c r="T55" s="104">
        <f t="shared" si="77"/>
        <v>1535.4842585346801</v>
      </c>
      <c r="U55" s="104">
        <f t="shared" si="77"/>
        <v>1543.71889409799</v>
      </c>
      <c r="V55" s="104">
        <f t="shared" si="77"/>
        <v>1552.4850878847999</v>
      </c>
      <c r="W55" s="104">
        <f t="shared" si="77"/>
        <v>1588.56945568078</v>
      </c>
      <c r="X55" s="104">
        <f t="shared" si="77"/>
        <v>1619.0545895538501</v>
      </c>
      <c r="Y55" s="104">
        <f t="shared" si="77"/>
        <v>1642.5093049924999</v>
      </c>
      <c r="Z55" s="104">
        <f t="shared" si="77"/>
        <v>1659.6122355130899</v>
      </c>
      <c r="AA55" s="104">
        <f t="shared" si="77"/>
        <v>1667.5840444722401</v>
      </c>
      <c r="AB55" s="95"/>
    </row>
    <row r="56" spans="1:32" s="170" customFormat="1" ht="12" x14ac:dyDescent="0.15">
      <c r="B56" s="210" t="s">
        <v>271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8">(L55/K55)-1</f>
        <v>8.6183130378847395E-4</v>
      </c>
      <c r="M56" s="230">
        <f t="shared" ref="M56" si="79">(M55/L55)-1</f>
        <v>-3.781413034167902E-3</v>
      </c>
      <c r="N56" s="230">
        <f t="shared" ref="N56" si="80">(N55/M55)-1</f>
        <v>-1.0768681746186726E-2</v>
      </c>
      <c r="O56" s="246">
        <f t="shared" ref="O56" si="81">(O55/N55)-1</f>
        <v>1.287675768781571E-2</v>
      </c>
      <c r="P56" s="230">
        <f t="shared" ref="P56" si="82">(P55/O55)-1</f>
        <v>6.6203713119661334E-3</v>
      </c>
      <c r="Q56" s="230">
        <f t="shared" ref="Q56" si="83">(Q55/P55)-1</f>
        <v>2.304408130966662E-3</v>
      </c>
      <c r="R56" s="230">
        <f t="shared" ref="R56" si="84">(R55/Q55)-1</f>
        <v>-2.6015481231183024E-3</v>
      </c>
      <c r="S56" s="246">
        <f t="shared" ref="S56" si="85">(S55/R55)-1</f>
        <v>5.0567608209799442E-3</v>
      </c>
      <c r="T56" s="230">
        <f t="shared" ref="T56" si="86">(T55/S55)-1</f>
        <v>5.6522895962869413E-3</v>
      </c>
      <c r="U56" s="230">
        <f t="shared" ref="U56" si="87">(U55/T55)-1</f>
        <v>5.3628915552466072E-3</v>
      </c>
      <c r="V56" s="230">
        <f t="shared" ref="V56" si="88">(V55/U55)-1</f>
        <v>5.6786205184928829E-3</v>
      </c>
      <c r="W56" s="246">
        <f t="shared" ref="W56" si="89">(W55/V55)-1</f>
        <v>2.3242972236946713E-2</v>
      </c>
      <c r="X56" s="230">
        <f t="shared" ref="X56" si="90">(X55/W55)-1</f>
        <v>1.9190305947312636E-2</v>
      </c>
      <c r="Y56" s="230">
        <f t="shared" ref="Y56" si="91">(Y55/X55)-1</f>
        <v>1.4486673636565417E-2</v>
      </c>
      <c r="Z56" s="230">
        <f t="shared" ref="Z56" si="92">(Z55/Y55)-1</f>
        <v>1.0412684097803604E-2</v>
      </c>
      <c r="AA56" s="246">
        <f t="shared" ref="AA56" si="93">(AA55/Z55)-1</f>
        <v>4.8034165985078037E-3</v>
      </c>
      <c r="AB56" s="243"/>
    </row>
    <row r="57" spans="1:32" s="97" customFormat="1" x14ac:dyDescent="0.2">
      <c r="B57" s="99" t="s">
        <v>176</v>
      </c>
      <c r="D57" s="103"/>
      <c r="E57" s="217"/>
      <c r="F57" s="217">
        <f t="shared" ref="F57" si="94">F54-F55</f>
        <v>604.60100000000011</v>
      </c>
      <c r="G57" s="150">
        <f t="shared" ref="G57" si="95">G54-G55</f>
        <v>270.702</v>
      </c>
      <c r="H57" s="217">
        <f t="shared" ref="H57" si="96">H54-H55</f>
        <v>1357.0997350000002</v>
      </c>
      <c r="I57" s="217">
        <f t="shared" ref="I57" si="97">I54-I55</f>
        <v>204.56851838171019</v>
      </c>
      <c r="J57" s="217">
        <f t="shared" ref="J57" si="98">J54-J55</f>
        <v>250.13699643966515</v>
      </c>
      <c r="K57" s="264">
        <f t="shared" ref="K57" si="99">K54-K55</f>
        <v>233.73949568119156</v>
      </c>
      <c r="L57" s="217">
        <f t="shared" ref="L57:AA57" si="100">L54-L55</f>
        <v>233.94093969550113</v>
      </c>
      <c r="M57" s="217">
        <f t="shared" si="100"/>
        <v>233.05631237691114</v>
      </c>
      <c r="N57" s="217">
        <f t="shared" si="100"/>
        <v>230.54660311998441</v>
      </c>
      <c r="O57" s="150">
        <f t="shared" si="100"/>
        <v>233.51529586410925</v>
      </c>
      <c r="P57" s="217">
        <f t="shared" si="100"/>
        <v>235.06125382975324</v>
      </c>
      <c r="Q57" s="217">
        <f t="shared" si="100"/>
        <v>235.60293089435368</v>
      </c>
      <c r="R57" s="217">
        <f t="shared" si="100"/>
        <v>234.98999853168425</v>
      </c>
      <c r="S57" s="150">
        <f t="shared" si="100"/>
        <v>236.17828674958128</v>
      </c>
      <c r="T57" s="217">
        <f t="shared" si="100"/>
        <v>237.51323482264502</v>
      </c>
      <c r="U57" s="217">
        <f t="shared" si="100"/>
        <v>238.7869925439345</v>
      </c>
      <c r="V57" s="217">
        <f t="shared" si="100"/>
        <v>240.14297325934376</v>
      </c>
      <c r="W57" s="150">
        <f t="shared" si="100"/>
        <v>245.7246097197085</v>
      </c>
      <c r="X57" s="217">
        <f t="shared" si="100"/>
        <v>250.44014015901371</v>
      </c>
      <c r="Y57" s="217">
        <f t="shared" si="100"/>
        <v>254.06818473499311</v>
      </c>
      <c r="Z57" s="217">
        <f t="shared" si="100"/>
        <v>256.71371648194076</v>
      </c>
      <c r="AA57" s="150">
        <f t="shared" si="100"/>
        <v>257.94681940875489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188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206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610.40700000000004</v>
      </c>
      <c r="H61" s="104">
        <f>main!O54/1000</f>
        <v>405.26900000000001</v>
      </c>
      <c r="I61" s="104">
        <f>main!P54/1000</f>
        <v>813.63025000000005</v>
      </c>
      <c r="J61" s="104">
        <f>main!Q54/1000</f>
        <v>813.63025000000005</v>
      </c>
      <c r="K61" s="149">
        <f>main!R54/1000</f>
        <v>77.330250000000007</v>
      </c>
      <c r="L61" s="223">
        <f>main!S54/1000</f>
        <v>77.330250000000007</v>
      </c>
      <c r="M61" s="231">
        <f>L61*(1+M63)</f>
        <v>77.703294275287206</v>
      </c>
      <c r="N61" s="231">
        <f>M61*(1+N63)</f>
        <v>78.070503655757619</v>
      </c>
      <c r="O61" s="247">
        <f>N61*(1+O63)</f>
        <v>78.435379078301281</v>
      </c>
      <c r="P61" s="231">
        <f>O61*(1+P63)</f>
        <v>78.799476514869369</v>
      </c>
      <c r="Q61" s="231">
        <f t="shared" ref="Q61:AA61" si="101">P61*(1+Q63)</f>
        <v>79.16474093040091</v>
      </c>
      <c r="R61" s="231">
        <f t="shared" si="101"/>
        <v>79.533506282822501</v>
      </c>
      <c r="S61" s="247">
        <f t="shared" si="101"/>
        <v>79.905772572134126</v>
      </c>
      <c r="T61" s="231">
        <f t="shared" si="101"/>
        <v>80.280372819372502</v>
      </c>
      <c r="U61" s="231">
        <f t="shared" si="101"/>
        <v>80.65419508063529</v>
      </c>
      <c r="V61" s="231">
        <f t="shared" si="101"/>
        <v>81.029184320861546</v>
      </c>
      <c r="W61" s="247">
        <f t="shared" si="101"/>
        <v>81.404951547063206</v>
      </c>
      <c r="X61" s="231">
        <f t="shared" si="101"/>
        <v>81.780329780277157</v>
      </c>
      <c r="Y61" s="231">
        <f t="shared" si="101"/>
        <v>82.151040097637789</v>
      </c>
      <c r="Z61" s="231">
        <f t="shared" si="101"/>
        <v>82.519027464083806</v>
      </c>
      <c r="AA61" s="247">
        <f t="shared" si="101"/>
        <v>82.884291879615347</v>
      </c>
      <c r="AB61" s="95"/>
    </row>
    <row r="62" spans="1:32" x14ac:dyDescent="0.2">
      <c r="B62" t="s">
        <v>175</v>
      </c>
      <c r="D62" s="102" t="e">
        <f>#REF!</f>
        <v>#REF!</v>
      </c>
      <c r="E62" s="104">
        <f>E16</f>
        <v>1085.9000000000001</v>
      </c>
      <c r="F62" s="104">
        <f t="shared" ref="F62:AA62" si="102">F16</f>
        <v>1212.9000000000001</v>
      </c>
      <c r="G62" s="104">
        <f t="shared" si="102"/>
        <v>609.79999999999995</v>
      </c>
      <c r="H62" s="104">
        <f t="shared" si="102"/>
        <v>402.7</v>
      </c>
      <c r="I62" s="104">
        <f t="shared" si="102"/>
        <v>404.58725618885501</v>
      </c>
      <c r="J62" s="104">
        <f t="shared" si="102"/>
        <v>406.51787384375598</v>
      </c>
      <c r="K62" s="104">
        <f t="shared" si="102"/>
        <v>408.48772330127002</v>
      </c>
      <c r="L62" s="104">
        <f t="shared" si="102"/>
        <v>410.48028590766501</v>
      </c>
      <c r="M62" s="104">
        <f t="shared" si="102"/>
        <v>412.46045952376102</v>
      </c>
      <c r="N62" s="104">
        <f t="shared" si="102"/>
        <v>414.40966066410999</v>
      </c>
      <c r="O62" s="104">
        <f t="shared" si="102"/>
        <v>416.34647281415999</v>
      </c>
      <c r="P62" s="104">
        <f t="shared" si="102"/>
        <v>418.27915530077701</v>
      </c>
      <c r="Q62" s="104">
        <f t="shared" si="102"/>
        <v>420.21803228254402</v>
      </c>
      <c r="R62" s="104">
        <f t="shared" si="102"/>
        <v>422.17549274975897</v>
      </c>
      <c r="S62" s="104">
        <f t="shared" si="102"/>
        <v>424.15153670242199</v>
      </c>
      <c r="T62" s="104">
        <f t="shared" si="102"/>
        <v>426.13996964538399</v>
      </c>
      <c r="U62" s="104">
        <f t="shared" si="102"/>
        <v>428.12427292491299</v>
      </c>
      <c r="V62" s="104">
        <f t="shared" si="102"/>
        <v>430.11477069959199</v>
      </c>
      <c r="W62" s="104">
        <f t="shared" si="102"/>
        <v>432.10939813770301</v>
      </c>
      <c r="X62" s="104">
        <f t="shared" si="102"/>
        <v>434.10196074409799</v>
      </c>
      <c r="Y62" s="104">
        <f t="shared" si="102"/>
        <v>436.069745369896</v>
      </c>
      <c r="Z62" s="104">
        <f t="shared" si="102"/>
        <v>438.02307617367802</v>
      </c>
      <c r="AA62" s="104">
        <f t="shared" si="102"/>
        <v>439.96195315544497</v>
      </c>
      <c r="AB62" s="95"/>
    </row>
    <row r="63" spans="1:32" s="170" customFormat="1" ht="12" x14ac:dyDescent="0.15">
      <c r="B63" s="210" t="s">
        <v>271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3">(M62/L62)-1</f>
        <v>4.8240407251651796E-3</v>
      </c>
      <c r="N63" s="230">
        <f t="shared" si="103"/>
        <v>4.7257890916370116E-3</v>
      </c>
      <c r="O63" s="246">
        <f t="shared" si="103"/>
        <v>4.6736655389407744E-3</v>
      </c>
      <c r="P63" s="230">
        <f t="shared" si="103"/>
        <v>4.642005187539322E-3</v>
      </c>
      <c r="Q63" s="230">
        <f t="shared" si="103"/>
        <v>4.6353660162021804E-3</v>
      </c>
      <c r="R63" s="230">
        <f t="shared" si="103"/>
        <v>4.6582019733480973E-3</v>
      </c>
      <c r="S63" s="246">
        <f t="shared" si="103"/>
        <v>4.6806221265769388E-3</v>
      </c>
      <c r="T63" s="230">
        <f t="shared" si="103"/>
        <v>4.6880248470184682E-3</v>
      </c>
      <c r="U63" s="230">
        <f t="shared" si="103"/>
        <v>4.6564589592013039E-3</v>
      </c>
      <c r="V63" s="230">
        <f t="shared" si="103"/>
        <v>4.6493457637430957E-3</v>
      </c>
      <c r="W63" s="246">
        <f t="shared" si="103"/>
        <v>4.6374306905729856E-3</v>
      </c>
      <c r="X63" s="230">
        <f t="shared" si="103"/>
        <v>4.6112457053295586E-3</v>
      </c>
      <c r="Y63" s="230">
        <f t="shared" si="103"/>
        <v>4.5330010083921568E-3</v>
      </c>
      <c r="Z63" s="230">
        <f t="shared" si="103"/>
        <v>4.4793999687484654E-3</v>
      </c>
      <c r="AA63" s="246">
        <f t="shared" si="103"/>
        <v>4.4264265679878623E-3</v>
      </c>
      <c r="AB63" s="243"/>
    </row>
    <row r="64" spans="1:32" s="97" customFormat="1" x14ac:dyDescent="0.2">
      <c r="B64" s="99" t="s">
        <v>176</v>
      </c>
      <c r="D64" s="103"/>
      <c r="E64" s="217"/>
      <c r="F64" s="217">
        <f>F61-F62</f>
        <v>0.57999999999992724</v>
      </c>
      <c r="G64" s="150">
        <f t="shared" ref="G64:AA64" si="104">G61-G62</f>
        <v>0.60700000000008458</v>
      </c>
      <c r="H64" s="217">
        <f t="shared" si="104"/>
        <v>2.5690000000000168</v>
      </c>
      <c r="I64" s="217">
        <f t="shared" si="104"/>
        <v>409.04299381114504</v>
      </c>
      <c r="J64" s="217">
        <f t="shared" si="104"/>
        <v>407.11237615624407</v>
      </c>
      <c r="K64" s="150">
        <f t="shared" si="104"/>
        <v>-331.15747330126999</v>
      </c>
      <c r="L64" s="217">
        <f t="shared" si="104"/>
        <v>-333.15003590766503</v>
      </c>
      <c r="M64" s="217">
        <f t="shared" si="104"/>
        <v>-334.75716524847383</v>
      </c>
      <c r="N64" s="217">
        <f t="shared" si="104"/>
        <v>-336.33915700835234</v>
      </c>
      <c r="O64" s="150">
        <f t="shared" si="104"/>
        <v>-337.91109373585869</v>
      </c>
      <c r="P64" s="217">
        <f t="shared" si="104"/>
        <v>-339.47967878590765</v>
      </c>
      <c r="Q64" s="217">
        <f t="shared" si="104"/>
        <v>-341.05329135214311</v>
      </c>
      <c r="R64" s="217">
        <f t="shared" si="104"/>
        <v>-342.64198646693649</v>
      </c>
      <c r="S64" s="150">
        <f t="shared" si="104"/>
        <v>-344.24576413028785</v>
      </c>
      <c r="T64" s="217">
        <f t="shared" si="104"/>
        <v>-345.85959682601151</v>
      </c>
      <c r="U64" s="217">
        <f t="shared" si="104"/>
        <v>-347.47007784427768</v>
      </c>
      <c r="V64" s="217">
        <f t="shared" si="104"/>
        <v>-349.08558637873045</v>
      </c>
      <c r="W64" s="150">
        <f t="shared" si="104"/>
        <v>-350.7044465906398</v>
      </c>
      <c r="X64" s="217">
        <f t="shared" si="104"/>
        <v>-352.32163096382084</v>
      </c>
      <c r="Y64" s="217">
        <f t="shared" si="104"/>
        <v>-353.91870527225819</v>
      </c>
      <c r="Z64" s="217">
        <f t="shared" si="104"/>
        <v>-355.5040487095942</v>
      </c>
      <c r="AA64" s="150">
        <f t="shared" si="104"/>
        <v>-357.07766127582966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194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204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294.149</v>
      </c>
      <c r="H68" s="218">
        <f>main!O83/1000</f>
        <v>322.63679599999995</v>
      </c>
      <c r="I68" s="218">
        <f>main!P83/1000</f>
        <v>324.52774318400003</v>
      </c>
      <c r="J68" s="218">
        <f>main!Q83/1000</f>
        <v>319.32185415673598</v>
      </c>
      <c r="K68" s="151">
        <f>main!R83/1000</f>
        <v>319.11914157336292</v>
      </c>
      <c r="L68" s="218">
        <f>main!S83/1000</f>
        <v>309.91961813965639</v>
      </c>
      <c r="M68" s="218">
        <f>main!T83/1000</f>
        <v>310.72329661221499</v>
      </c>
      <c r="N68" s="218">
        <f>main!U83/1000</f>
        <v>311.53018979866386</v>
      </c>
      <c r="O68" s="151">
        <f>main!V83/1000</f>
        <v>312.34031055785857</v>
      </c>
      <c r="P68" s="248">
        <f>main!W83/1000</f>
        <v>313.15367180009002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5">S68*(1+T70)</f>
        <v>333.78582925174504</v>
      </c>
      <c r="U68" s="248">
        <f t="shared" si="105"/>
        <v>337.09010427322511</v>
      </c>
      <c r="V68" s="248">
        <f t="shared" si="105"/>
        <v>340.43479411501278</v>
      </c>
      <c r="W68" s="249">
        <f t="shared" si="105"/>
        <v>343.81583546649966</v>
      </c>
      <c r="X68" s="248">
        <f t="shared" si="105"/>
        <v>347.21186736980985</v>
      </c>
      <c r="Y68" s="248">
        <f t="shared" si="105"/>
        <v>350.62708384827192</v>
      </c>
      <c r="Z68" s="248">
        <f t="shared" si="105"/>
        <v>354.05853395040094</v>
      </c>
      <c r="AA68" s="249">
        <f t="shared" si="105"/>
        <v>357.51747852385279</v>
      </c>
      <c r="AB68" s="95"/>
    </row>
    <row r="69" spans="1:28" x14ac:dyDescent="0.2">
      <c r="B69" t="s">
        <v>175</v>
      </c>
      <c r="D69" s="102" t="e">
        <f>#REF!</f>
        <v>#REF!</v>
      </c>
      <c r="E69" s="104">
        <f>E17</f>
        <v>884.26</v>
      </c>
      <c r="F69" s="104">
        <f t="shared" ref="F69:AA69" si="106">F17</f>
        <v>242.12799999999999</v>
      </c>
      <c r="G69" s="104">
        <f t="shared" si="106"/>
        <v>225.90700000000001</v>
      </c>
      <c r="H69" s="104">
        <f t="shared" si="106"/>
        <v>262.43700000000001</v>
      </c>
      <c r="I69" s="104">
        <f t="shared" si="106"/>
        <v>257.26599192779503</v>
      </c>
      <c r="J69" s="104">
        <f t="shared" si="106"/>
        <v>256.21510964215298</v>
      </c>
      <c r="K69" s="104">
        <f t="shared" si="106"/>
        <v>258.57067876132402</v>
      </c>
      <c r="L69" s="104">
        <f t="shared" si="106"/>
        <v>261.16279192979499</v>
      </c>
      <c r="M69" s="104">
        <f t="shared" si="106"/>
        <v>263.64812783386702</v>
      </c>
      <c r="N69" s="104">
        <f t="shared" si="106"/>
        <v>266.14790345036999</v>
      </c>
      <c r="O69" s="104">
        <f t="shared" si="106"/>
        <v>268.70569902244898</v>
      </c>
      <c r="P69" s="104">
        <f t="shared" si="106"/>
        <v>271.263979862962</v>
      </c>
      <c r="Q69" s="104">
        <f t="shared" si="106"/>
        <v>273.87029090685002</v>
      </c>
      <c r="R69" s="104">
        <f t="shared" si="106"/>
        <v>276.52404959205398</v>
      </c>
      <c r="S69" s="104">
        <f t="shared" si="106"/>
        <v>279.241851093381</v>
      </c>
      <c r="T69" s="104">
        <f t="shared" si="106"/>
        <v>282.01341480314198</v>
      </c>
      <c r="U69" s="104">
        <f t="shared" si="106"/>
        <v>284.80517467007598</v>
      </c>
      <c r="V69" s="104">
        <f t="shared" si="106"/>
        <v>287.63108074839698</v>
      </c>
      <c r="W69" s="104">
        <f t="shared" si="106"/>
        <v>290.48769997414701</v>
      </c>
      <c r="X69" s="104">
        <f t="shared" si="106"/>
        <v>293.35698461687701</v>
      </c>
      <c r="Y69" s="104">
        <f t="shared" si="106"/>
        <v>296.24247817884799</v>
      </c>
      <c r="Z69" s="104">
        <f t="shared" si="106"/>
        <v>299.141687420886</v>
      </c>
      <c r="AA69" s="104">
        <f t="shared" si="106"/>
        <v>302.06412655786397</v>
      </c>
      <c r="AB69" s="95"/>
    </row>
    <row r="70" spans="1:28" s="170" customFormat="1" ht="12" x14ac:dyDescent="0.15">
      <c r="B70" s="210" t="s">
        <v>271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9.6080247926932927E-3</v>
      </c>
      <c r="R70" s="230">
        <f t="shared" ref="R70" si="108">(R69/Q69)-1</f>
        <v>9.6898377564675897E-3</v>
      </c>
      <c r="S70" s="246">
        <f t="shared" ref="S70" si="109">(S69/R69)-1</f>
        <v>9.8284453208916656E-3</v>
      </c>
      <c r="T70" s="230">
        <f t="shared" ref="T70" si="110">(T69/S69)-1</f>
        <v>9.9253163482080353E-3</v>
      </c>
      <c r="U70" s="230">
        <f t="shared" ref="U70" si="111">(U69/T69)-1</f>
        <v>9.8993867681180792E-3</v>
      </c>
      <c r="V70" s="230">
        <f t="shared" ref="V70" si="112">(V69/U69)-1</f>
        <v>9.922242745745713E-3</v>
      </c>
      <c r="W70" s="246">
        <f t="shared" ref="W70" si="113">(W69/V69)-1</f>
        <v>9.9315387555380941E-3</v>
      </c>
      <c r="X70" s="230">
        <f t="shared" ref="X70" si="114">(X69/W69)-1</f>
        <v>9.8774737897175946E-3</v>
      </c>
      <c r="Y70" s="230">
        <f t="shared" ref="Y70" si="115">(Y69/X69)-1</f>
        <v>9.8361167903993074E-3</v>
      </c>
      <c r="Z70" s="230">
        <f t="shared" ref="Z70" si="116">(Z69/Y69)-1</f>
        <v>9.7866087937859003E-3</v>
      </c>
      <c r="AA70" s="246">
        <f t="shared" ref="AA70" si="117">(AA69/Z69)-1</f>
        <v>9.7694144944304728E-3</v>
      </c>
      <c r="AB70" s="243"/>
    </row>
    <row r="71" spans="1:28" s="97" customFormat="1" x14ac:dyDescent="0.2">
      <c r="B71" s="99" t="s">
        <v>176</v>
      </c>
      <c r="D71" s="103"/>
      <c r="E71" s="217"/>
      <c r="F71" s="217">
        <f>F68-F69</f>
        <v>49.271999999999991</v>
      </c>
      <c r="G71" s="150">
        <f t="shared" ref="G71:K71" si="118">G68-G69</f>
        <v>68.24199999999999</v>
      </c>
      <c r="H71" s="217">
        <f t="shared" si="118"/>
        <v>60.199795999999935</v>
      </c>
      <c r="I71" s="217">
        <f t="shared" si="118"/>
        <v>67.261751256205002</v>
      </c>
      <c r="J71" s="217">
        <f t="shared" si="118"/>
        <v>63.106744514582999</v>
      </c>
      <c r="K71" s="150">
        <f t="shared" si="118"/>
        <v>60.548462812038906</v>
      </c>
      <c r="L71" s="217">
        <f t="shared" ref="L71:N71" si="119">L68-L69</f>
        <v>48.756826209861401</v>
      </c>
      <c r="M71" s="217">
        <f t="shared" si="119"/>
        <v>47.075168778347972</v>
      </c>
      <c r="N71" s="217">
        <f t="shared" si="119"/>
        <v>45.38228634829386</v>
      </c>
      <c r="O71" s="150">
        <f t="shared" ref="O71:AA71" si="120">O68-O69</f>
        <v>43.63461153540959</v>
      </c>
      <c r="P71" s="250">
        <f t="shared" si="120"/>
        <v>41.889691937128021</v>
      </c>
      <c r="Q71" s="250">
        <f t="shared" si="120"/>
        <v>56.635167119177311</v>
      </c>
      <c r="R71" s="250">
        <f t="shared" si="120"/>
        <v>53.981408433973343</v>
      </c>
      <c r="S71" s="239">
        <f t="shared" si="120"/>
        <v>51.263606932646326</v>
      </c>
      <c r="T71" s="250">
        <f t="shared" si="120"/>
        <v>51.772414448603058</v>
      </c>
      <c r="U71" s="250">
        <f t="shared" si="120"/>
        <v>52.284929603149124</v>
      </c>
      <c r="V71" s="250">
        <f t="shared" si="120"/>
        <v>52.803713366615796</v>
      </c>
      <c r="W71" s="251">
        <f t="shared" si="120"/>
        <v>53.328135492352658</v>
      </c>
      <c r="X71" s="250">
        <f t="shared" si="120"/>
        <v>53.854882752932838</v>
      </c>
      <c r="Y71" s="250">
        <f t="shared" si="120"/>
        <v>54.384605669423934</v>
      </c>
      <c r="Z71" s="250">
        <f t="shared" si="120"/>
        <v>54.916846529514942</v>
      </c>
      <c r="AA71" s="251">
        <f t="shared" si="120"/>
        <v>55.453351965988816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B1" activePane="topRight" state="frozen"/>
      <selection pane="topRight" activeCell="F6" sqref="F6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250</v>
      </c>
      <c r="B1" t="s">
        <v>243</v>
      </c>
      <c r="C1" t="s">
        <v>244</v>
      </c>
      <c r="D1" t="s">
        <v>398</v>
      </c>
      <c r="E1" t="s">
        <v>246</v>
      </c>
      <c r="F1" t="s">
        <v>247</v>
      </c>
      <c r="G1" t="s">
        <v>248</v>
      </c>
      <c r="H1" t="s">
        <v>249</v>
      </c>
      <c r="I1" t="s">
        <v>399</v>
      </c>
      <c r="J1" t="s">
        <v>394</v>
      </c>
      <c r="K1" t="s">
        <v>395</v>
      </c>
      <c r="L1" t="s">
        <v>396</v>
      </c>
      <c r="M1" t="s">
        <v>397</v>
      </c>
      <c r="N1" t="s">
        <v>336</v>
      </c>
      <c r="O1" t="s">
        <v>348</v>
      </c>
      <c r="P1" t="s">
        <v>359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3.0000000000143245E-3</v>
      </c>
      <c r="C3">
        <f t="array" ref="C3:C24">TRANSPOSE('add-ons calculations'!F31:AA31)</f>
        <v>185.97699999999998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2.8000000000020009E-2</v>
      </c>
      <c r="C4">
        <v>36.649000000000001</v>
      </c>
      <c r="D4">
        <v>-1907.1</v>
      </c>
      <c r="E4">
        <v>-4.3178334742540159</v>
      </c>
      <c r="F4">
        <v>-5.9999999998581188E-3</v>
      </c>
      <c r="G4">
        <v>270.702</v>
      </c>
      <c r="H4">
        <v>0.60700000000008458</v>
      </c>
      <c r="I4">
        <v>68.24199999999999</v>
      </c>
      <c r="J4" s="151">
        <f>'add-ons calculations'!G68</f>
        <v>294.149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1.9000000000005457E-2</v>
      </c>
      <c r="C5">
        <v>60.003999999999991</v>
      </c>
      <c r="D5">
        <v>-1965.1</v>
      </c>
      <c r="E5">
        <v>-2.6050070145439435</v>
      </c>
      <c r="F5">
        <v>4.0000000001327862E-3</v>
      </c>
      <c r="G5">
        <v>1357.0997350000002</v>
      </c>
      <c r="H5">
        <v>2.5690000000000168</v>
      </c>
      <c r="I5">
        <v>60.199795999999935</v>
      </c>
      <c r="J5" s="151">
        <f>'add-ons calculations'!H68</f>
        <v>322.63679599999995</v>
      </c>
      <c r="K5" s="102">
        <v>544.4</v>
      </c>
      <c r="L5" s="102">
        <v>473.5</v>
      </c>
      <c r="M5" s="102">
        <f t="shared" si="0"/>
        <v>70.899999999999977</v>
      </c>
      <c r="N5">
        <v>0</v>
      </c>
      <c r="O5" s="102">
        <v>0</v>
      </c>
      <c r="P5" s="296">
        <f>main!$O$37/1000</f>
        <v>664</v>
      </c>
    </row>
    <row r="6" spans="1:16" x14ac:dyDescent="0.2">
      <c r="A6" s="188">
        <v>44377</v>
      </c>
      <c r="B6">
        <v>6.7878800857670569</v>
      </c>
      <c r="C6">
        <v>-2.7453429326619414</v>
      </c>
      <c r="D6">
        <v>-27.737459527982537</v>
      </c>
      <c r="E6">
        <v>-2.6317117073143947</v>
      </c>
      <c r="F6">
        <v>27.240230175895476</v>
      </c>
      <c r="G6">
        <v>204.56851838171019</v>
      </c>
      <c r="H6">
        <v>409.04299381114504</v>
      </c>
      <c r="I6">
        <v>67.261751256205002</v>
      </c>
      <c r="J6" s="102">
        <f>'add-ons calculations'!I$68</f>
        <v>324.52774318400003</v>
      </c>
      <c r="K6" s="102">
        <f t="shared" ref="K6:K24" si="1">SUM(L6:M6)</f>
        <v>72.199999999999932</v>
      </c>
      <c r="L6" s="102">
        <f>main!P$42/1000</f>
        <v>20</v>
      </c>
      <c r="M6" s="102">
        <f>main!P$46/1000</f>
        <v>52.199999999999932</v>
      </c>
      <c r="N6">
        <v>0</v>
      </c>
      <c r="O6">
        <f>26.5 + 14/4</f>
        <v>30</v>
      </c>
      <c r="P6">
        <v>0</v>
      </c>
    </row>
    <row r="7" spans="1:16" x14ac:dyDescent="0.2">
      <c r="A7" s="188">
        <v>44469</v>
      </c>
      <c r="B7">
        <v>2.4621390898360573</v>
      </c>
      <c r="C7">
        <v>-1.1919892954507532</v>
      </c>
      <c r="D7">
        <v>-28.139041961662997</v>
      </c>
      <c r="E7">
        <v>-2.6698135814636288</v>
      </c>
      <c r="F7">
        <v>58.920478314845923</v>
      </c>
      <c r="G7">
        <v>250.13699643966515</v>
      </c>
      <c r="H7">
        <v>407.11237615624407</v>
      </c>
      <c r="I7">
        <v>63.106744514582999</v>
      </c>
      <c r="J7" s="102">
        <f>'add-ons calculations'!J$68</f>
        <v>319.32185415673598</v>
      </c>
      <c r="K7" s="102">
        <f t="shared" si="1"/>
        <v>18836.10523158947</v>
      </c>
      <c r="L7" s="102">
        <f>main!Q$42</f>
        <v>18787.07097634122</v>
      </c>
      <c r="M7" s="102">
        <f>main!Q$46/1000</f>
        <v>49.034255248250524</v>
      </c>
      <c r="N7">
        <v>0</v>
      </c>
      <c r="O7">
        <f t="shared" ref="O7:O9" si="2">26.5 + 14/4</f>
        <v>30</v>
      </c>
      <c r="P7">
        <v>0</v>
      </c>
    </row>
    <row r="8" spans="1:16" x14ac:dyDescent="0.2">
      <c r="A8" s="188">
        <v>44561</v>
      </c>
      <c r="B8">
        <v>1.8517372461530499</v>
      </c>
      <c r="C8">
        <v>-11.538087940751609</v>
      </c>
      <c r="D8">
        <v>-28.5131067004138</v>
      </c>
      <c r="E8">
        <v>-2.7053045950249697</v>
      </c>
      <c r="F8">
        <v>60.205634505330863</v>
      </c>
      <c r="G8">
        <v>233.73949568119156</v>
      </c>
      <c r="H8">
        <v>-331.15747330126999</v>
      </c>
      <c r="I8">
        <v>60.548462812038906</v>
      </c>
      <c r="J8" s="102">
        <f>'add-ons calculations'!K$68</f>
        <v>319.11914157336292</v>
      </c>
      <c r="K8" s="102">
        <f t="shared" si="1"/>
        <v>17760.329090303232</v>
      </c>
      <c r="L8" s="102">
        <f>main!R$42</f>
        <v>17714.095301566143</v>
      </c>
      <c r="M8" s="102">
        <f>main!R$46/1000</f>
        <v>46.233788737087579</v>
      </c>
      <c r="N8">
        <v>0</v>
      </c>
      <c r="O8">
        <f t="shared" si="2"/>
        <v>30</v>
      </c>
      <c r="P8">
        <v>0</v>
      </c>
    </row>
    <row r="9" spans="1:16" x14ac:dyDescent="0.2">
      <c r="A9" s="188">
        <v>44651</v>
      </c>
      <c r="B9">
        <v>1.2413354024700425</v>
      </c>
      <c r="C9">
        <v>-21.727580027231852</v>
      </c>
      <c r="D9">
        <v>0</v>
      </c>
      <c r="E9">
        <v>0</v>
      </c>
      <c r="F9">
        <v>61.490790695815576</v>
      </c>
      <c r="G9">
        <v>233.94093969550113</v>
      </c>
      <c r="H9">
        <v>-333.15003590766503</v>
      </c>
      <c r="I9">
        <v>48.756826209861401</v>
      </c>
      <c r="J9" s="102">
        <f>'add-ons calculations'!L$68</f>
        <v>309.91961813965639</v>
      </c>
      <c r="K9" s="102">
        <f t="shared" si="1"/>
        <v>44.416094635121574</v>
      </c>
      <c r="L9" s="102">
        <f>main!S$42</f>
        <v>0</v>
      </c>
      <c r="M9" s="102">
        <f>main!S$46/1000</f>
        <v>44.416094635121574</v>
      </c>
      <c r="N9">
        <v>0</v>
      </c>
      <c r="O9">
        <f t="shared" si="2"/>
        <v>30</v>
      </c>
      <c r="P9">
        <v>0</v>
      </c>
    </row>
    <row r="10" spans="1:16" x14ac:dyDescent="0.2">
      <c r="A10" s="188">
        <v>44742</v>
      </c>
      <c r="B10">
        <v>42.711846116101725</v>
      </c>
      <c r="C10">
        <v>-23.239268439777305</v>
      </c>
      <c r="D10">
        <v>0</v>
      </c>
      <c r="E10">
        <v>0</v>
      </c>
      <c r="F10">
        <v>62.775946886300062</v>
      </c>
      <c r="G10">
        <v>233.05631237691114</v>
      </c>
      <c r="H10">
        <v>-334.75716524847383</v>
      </c>
      <c r="I10">
        <v>47.075168778347972</v>
      </c>
      <c r="J10" s="102">
        <f>'add-ons calculations'!M$68</f>
        <v>310.72329661221499</v>
      </c>
      <c r="K10" s="102">
        <f t="shared" si="1"/>
        <v>43.911662779073588</v>
      </c>
      <c r="L10" s="102">
        <f>main!T$42</f>
        <v>0</v>
      </c>
      <c r="M10" s="102">
        <f>main!T$46/1000</f>
        <v>43.911662779073588</v>
      </c>
      <c r="N10">
        <v>0</v>
      </c>
      <c r="O10">
        <f>26.5 + 7/4</f>
        <v>28.25</v>
      </c>
      <c r="P10">
        <v>0</v>
      </c>
    </row>
    <row r="11" spans="1:16" x14ac:dyDescent="0.2">
      <c r="A11" s="188">
        <v>44834</v>
      </c>
      <c r="B11">
        <v>42.101444272418718</v>
      </c>
      <c r="C11">
        <v>-24.640281923286409</v>
      </c>
      <c r="D11">
        <v>0</v>
      </c>
      <c r="E11">
        <v>0</v>
      </c>
      <c r="F11">
        <v>64.06110307678523</v>
      </c>
      <c r="G11">
        <v>230.54660311998441</v>
      </c>
      <c r="H11">
        <v>-336.33915700835234</v>
      </c>
      <c r="I11">
        <v>45.38228634829386</v>
      </c>
      <c r="J11" s="102">
        <f>'add-ons calculations'!N$68</f>
        <v>311.53018979866386</v>
      </c>
      <c r="K11" s="102">
        <f t="shared" si="1"/>
        <v>42.972375874708376</v>
      </c>
      <c r="L11" s="102">
        <f>main!U$42</f>
        <v>0</v>
      </c>
      <c r="M11" s="102">
        <f>main!U$46/1000</f>
        <v>42.972375874708376</v>
      </c>
      <c r="N11">
        <v>0</v>
      </c>
      <c r="O11">
        <f t="shared" ref="O11:O13" si="3">26.5 + 7/4</f>
        <v>28.25</v>
      </c>
      <c r="P11">
        <v>0</v>
      </c>
    </row>
    <row r="12" spans="1:16" x14ac:dyDescent="0.2">
      <c r="A12" s="188">
        <v>44926</v>
      </c>
      <c r="B12">
        <v>44.076451080221716</v>
      </c>
      <c r="C12">
        <v>-27.257131749460996</v>
      </c>
      <c r="D12">
        <v>0</v>
      </c>
      <c r="E12">
        <v>0</v>
      </c>
      <c r="F12">
        <v>64.606030375998671</v>
      </c>
      <c r="G12">
        <v>233.51529586410925</v>
      </c>
      <c r="H12">
        <v>-337.91109373585869</v>
      </c>
      <c r="I12">
        <v>43.63461153540959</v>
      </c>
      <c r="J12" s="102">
        <f>'add-ons calculations'!O$68</f>
        <v>312.34031055785857</v>
      </c>
      <c r="K12" s="102">
        <f t="shared" si="1"/>
        <v>42.259213595468125</v>
      </c>
      <c r="L12" s="102">
        <f>main!V$42</f>
        <v>0</v>
      </c>
      <c r="M12" s="102">
        <f>main!V$46/1000</f>
        <v>42.259213595468125</v>
      </c>
      <c r="N12">
        <v>0</v>
      </c>
      <c r="O12">
        <f t="shared" si="3"/>
        <v>28.25</v>
      </c>
      <c r="P12">
        <v>0</v>
      </c>
    </row>
    <row r="13" spans="1:16" x14ac:dyDescent="0.2">
      <c r="A13" s="188">
        <v>45016</v>
      </c>
      <c r="B13">
        <v>43.593784943441761</v>
      </c>
      <c r="C13">
        <v>-29.750886613179148</v>
      </c>
      <c r="D13">
        <v>0</v>
      </c>
      <c r="E13">
        <v>0</v>
      </c>
      <c r="F13">
        <v>65.150957675211657</v>
      </c>
      <c r="G13">
        <v>235.06125382975324</v>
      </c>
      <c r="H13">
        <v>-339.47967878590765</v>
      </c>
      <c r="I13">
        <v>41.889691937128021</v>
      </c>
      <c r="J13" s="102">
        <f>'add-ons calculations'!P$68</f>
        <v>313.15367180009002</v>
      </c>
      <c r="K13" s="102">
        <f t="shared" si="1"/>
        <v>0</v>
      </c>
      <c r="L13">
        <v>0</v>
      </c>
      <c r="M13">
        <v>0</v>
      </c>
      <c r="N13">
        <v>0</v>
      </c>
      <c r="O13">
        <f t="shared" si="3"/>
        <v>28.25</v>
      </c>
      <c r="P13">
        <v>0</v>
      </c>
    </row>
    <row r="14" spans="1:16" x14ac:dyDescent="0.2">
      <c r="A14" s="188">
        <v>45107</v>
      </c>
      <c r="B14">
        <v>43.111118806662063</v>
      </c>
      <c r="C14">
        <v>-32.262750017380228</v>
      </c>
      <c r="D14">
        <v>0</v>
      </c>
      <c r="E14">
        <v>0</v>
      </c>
      <c r="F14">
        <v>65.695884974425098</v>
      </c>
      <c r="G14">
        <v>235.60293089435368</v>
      </c>
      <c r="H14">
        <v>-341.05329135214311</v>
      </c>
      <c r="I14">
        <v>56.635167119177311</v>
      </c>
      <c r="J14" s="102">
        <f>'add-ons calculations'!Q$68</f>
        <v>330.50545802602733</v>
      </c>
      <c r="K14" s="102">
        <f t="shared" si="1"/>
        <v>0</v>
      </c>
      <c r="L14">
        <v>0</v>
      </c>
      <c r="M14">
        <v>0</v>
      </c>
      <c r="N14">
        <v>0</v>
      </c>
      <c r="O14">
        <v>26.5</v>
      </c>
      <c r="P14">
        <v>0</v>
      </c>
    </row>
    <row r="15" spans="1:16" x14ac:dyDescent="0.2">
      <c r="A15" s="188">
        <v>45199</v>
      </c>
      <c r="B15">
        <v>42.628452669882108</v>
      </c>
      <c r="C15">
        <v>-34.7732802848098</v>
      </c>
      <c r="D15">
        <v>0</v>
      </c>
      <c r="E15">
        <v>0</v>
      </c>
      <c r="F15">
        <v>66.240812273638312</v>
      </c>
      <c r="G15">
        <v>234.98999853168425</v>
      </c>
      <c r="H15">
        <v>-342.64198646693649</v>
      </c>
      <c r="I15">
        <v>53.981408433973343</v>
      </c>
      <c r="J15" s="102">
        <f>'add-ons calculations'!R$68</f>
        <v>330.50545802602733</v>
      </c>
      <c r="K15" s="102">
        <f t="shared" si="1"/>
        <v>0</v>
      </c>
      <c r="L15">
        <v>0</v>
      </c>
      <c r="M15">
        <v>0</v>
      </c>
      <c r="N15">
        <v>0</v>
      </c>
      <c r="O15">
        <v>26.5</v>
      </c>
      <c r="P15">
        <v>0</v>
      </c>
    </row>
    <row r="16" spans="1:16" x14ac:dyDescent="0.2">
      <c r="A16" s="188">
        <v>45291</v>
      </c>
      <c r="B16">
        <v>42.880564855884273</v>
      </c>
      <c r="C16">
        <v>-35.787092763998118</v>
      </c>
      <c r="D16">
        <v>0</v>
      </c>
      <c r="E16">
        <v>0</v>
      </c>
      <c r="F16">
        <v>66.690005358941789</v>
      </c>
      <c r="G16">
        <v>236.17828674958128</v>
      </c>
      <c r="H16">
        <v>-344.24576413028785</v>
      </c>
      <c r="I16">
        <v>51.263606932646326</v>
      </c>
      <c r="J16" s="102">
        <f>'add-ons calculations'!S$68</f>
        <v>330.50545802602733</v>
      </c>
      <c r="K16" s="102">
        <f t="shared" si="1"/>
        <v>0</v>
      </c>
      <c r="L16">
        <v>0</v>
      </c>
      <c r="M16">
        <v>0</v>
      </c>
      <c r="N16">
        <v>0</v>
      </c>
      <c r="O16">
        <v>26.5</v>
      </c>
      <c r="P16">
        <v>0</v>
      </c>
    </row>
    <row r="17" spans="1:16" x14ac:dyDescent="0.2">
      <c r="A17" s="188">
        <v>45382</v>
      </c>
      <c r="B17">
        <v>43.132677041886438</v>
      </c>
      <c r="C17">
        <v>-36.854203293783854</v>
      </c>
      <c r="D17">
        <v>0</v>
      </c>
      <c r="E17">
        <v>0</v>
      </c>
      <c r="F17">
        <v>67.139198444245494</v>
      </c>
      <c r="G17">
        <v>237.51323482264502</v>
      </c>
      <c r="H17">
        <v>-345.85959682601151</v>
      </c>
      <c r="I17">
        <v>51.772414448603058</v>
      </c>
      <c r="J17" s="102">
        <f>'add-ons calculations'!T$68</f>
        <v>333.78582925174504</v>
      </c>
      <c r="K17" s="102">
        <f t="shared" si="1"/>
        <v>0</v>
      </c>
      <c r="L17">
        <v>0</v>
      </c>
      <c r="M17">
        <v>0</v>
      </c>
      <c r="N17">
        <v>0</v>
      </c>
      <c r="O17">
        <v>26.5</v>
      </c>
      <c r="P17">
        <v>0</v>
      </c>
    </row>
    <row r="18" spans="1:16" x14ac:dyDescent="0.2">
      <c r="A18" s="188">
        <v>45473</v>
      </c>
      <c r="B18">
        <v>43.384789227888604</v>
      </c>
      <c r="C18">
        <v>-37.969766596840145</v>
      </c>
      <c r="D18">
        <v>0</v>
      </c>
      <c r="E18">
        <v>0</v>
      </c>
      <c r="F18">
        <v>67.588391529548517</v>
      </c>
      <c r="G18">
        <v>238.7869925439345</v>
      </c>
      <c r="H18">
        <v>-347.47007784427768</v>
      </c>
      <c r="I18">
        <v>52.284929603149124</v>
      </c>
      <c r="J18" s="102">
        <f>'add-ons calculations'!U$68</f>
        <v>337.09010427322511</v>
      </c>
      <c r="K18" s="102">
        <f t="shared" si="1"/>
        <v>0</v>
      </c>
      <c r="L18">
        <v>0</v>
      </c>
      <c r="M18">
        <v>0</v>
      </c>
      <c r="N18">
        <v>0</v>
      </c>
      <c r="O18">
        <v>26.5</v>
      </c>
      <c r="P18">
        <v>0</v>
      </c>
    </row>
    <row r="19" spans="1:16" x14ac:dyDescent="0.2">
      <c r="A19" s="188">
        <v>45565</v>
      </c>
      <c r="B19">
        <v>43.63690141389074</v>
      </c>
      <c r="C19">
        <v>-39.017496017317853</v>
      </c>
      <c r="D19">
        <v>0</v>
      </c>
      <c r="E19">
        <v>0</v>
      </c>
      <c r="F19">
        <v>68.037584614852221</v>
      </c>
      <c r="G19">
        <v>240.14297325934376</v>
      </c>
      <c r="H19">
        <v>-349.08558637873045</v>
      </c>
      <c r="I19">
        <v>52.803713366615796</v>
      </c>
      <c r="J19" s="102">
        <f>'add-ons calculations'!V$68</f>
        <v>340.43479411501278</v>
      </c>
      <c r="K19" s="102">
        <f t="shared" si="1"/>
        <v>0</v>
      </c>
      <c r="L19">
        <v>0</v>
      </c>
      <c r="M19">
        <v>0</v>
      </c>
      <c r="N19">
        <v>0</v>
      </c>
      <c r="O19">
        <v>26.5</v>
      </c>
      <c r="P19">
        <v>0</v>
      </c>
    </row>
    <row r="20" spans="1:16" x14ac:dyDescent="0.2">
      <c r="A20" s="188">
        <v>45657</v>
      </c>
      <c r="B20">
        <v>44.285381796070624</v>
      </c>
      <c r="C20">
        <v>-39.156407046453182</v>
      </c>
      <c r="D20">
        <v>0</v>
      </c>
      <c r="E20">
        <v>0</v>
      </c>
      <c r="F20">
        <v>69.714050179812148</v>
      </c>
      <c r="G20">
        <v>245.7246097197085</v>
      </c>
      <c r="H20">
        <v>-350.7044465906398</v>
      </c>
      <c r="I20">
        <v>53.328135492352658</v>
      </c>
      <c r="J20" s="102">
        <f>'add-ons calculations'!W$68</f>
        <v>343.81583546649966</v>
      </c>
      <c r="K20" s="102">
        <f t="shared" si="1"/>
        <v>0</v>
      </c>
      <c r="L20">
        <v>0</v>
      </c>
      <c r="M20">
        <v>0</v>
      </c>
      <c r="N20">
        <v>0</v>
      </c>
      <c r="O20">
        <v>26.5</v>
      </c>
      <c r="P20">
        <v>0</v>
      </c>
    </row>
    <row r="21" spans="1:16" x14ac:dyDescent="0.2">
      <c r="A21" s="188">
        <v>45747</v>
      </c>
      <c r="B21">
        <v>44.933862178250251</v>
      </c>
      <c r="C21">
        <v>-39.290472798261362</v>
      </c>
      <c r="D21">
        <v>0</v>
      </c>
      <c r="E21">
        <v>0</v>
      </c>
      <c r="F21">
        <v>71.390515744772529</v>
      </c>
      <c r="G21">
        <v>250.44014015901371</v>
      </c>
      <c r="H21">
        <v>-352.32163096382084</v>
      </c>
      <c r="I21">
        <v>53.854882752932838</v>
      </c>
      <c r="J21" s="102">
        <f>'add-ons calculations'!X$68</f>
        <v>347.21186736980985</v>
      </c>
      <c r="K21" s="102">
        <f t="shared" si="1"/>
        <v>0</v>
      </c>
      <c r="L21">
        <v>0</v>
      </c>
      <c r="M21">
        <v>0</v>
      </c>
      <c r="N21">
        <v>0</v>
      </c>
      <c r="O21">
        <v>26.5</v>
      </c>
      <c r="P21">
        <v>0</v>
      </c>
    </row>
    <row r="22" spans="1:16" x14ac:dyDescent="0.2">
      <c r="A22" s="188">
        <v>45838</v>
      </c>
      <c r="B22">
        <v>45.582342560430135</v>
      </c>
      <c r="C22">
        <v>-39.419693272742563</v>
      </c>
      <c r="D22">
        <v>0</v>
      </c>
      <c r="E22">
        <v>0</v>
      </c>
      <c r="F22">
        <v>73.066981309732455</v>
      </c>
      <c r="G22">
        <v>254.06818473499311</v>
      </c>
      <c r="H22">
        <v>-353.91870527225819</v>
      </c>
      <c r="I22">
        <v>54.384605669423934</v>
      </c>
      <c r="J22" s="102">
        <f>'add-ons calculations'!Y$68</f>
        <v>350.62708384827192</v>
      </c>
      <c r="K22" s="102">
        <f t="shared" si="1"/>
        <v>0</v>
      </c>
      <c r="L22">
        <v>0</v>
      </c>
      <c r="M22">
        <v>0</v>
      </c>
      <c r="N22">
        <v>0</v>
      </c>
      <c r="O22">
        <v>26.5</v>
      </c>
      <c r="P22">
        <v>0</v>
      </c>
    </row>
    <row r="23" spans="1:16" x14ac:dyDescent="0.2">
      <c r="A23" s="188">
        <v>45930</v>
      </c>
      <c r="B23">
        <v>46.230822942609791</v>
      </c>
      <c r="C23">
        <v>-39.548913747223878</v>
      </c>
      <c r="D23">
        <v>0</v>
      </c>
      <c r="E23">
        <v>0</v>
      </c>
      <c r="F23">
        <v>74.743446874692609</v>
      </c>
      <c r="G23">
        <v>256.71371648194076</v>
      </c>
      <c r="H23">
        <v>-355.5040487095942</v>
      </c>
      <c r="I23">
        <v>54.916846529514942</v>
      </c>
      <c r="J23" s="102">
        <f>'add-ons calculations'!Z$68</f>
        <v>354.05853395040094</v>
      </c>
      <c r="K23" s="102">
        <f t="shared" si="1"/>
        <v>0</v>
      </c>
      <c r="L23">
        <v>0</v>
      </c>
      <c r="M23">
        <v>0</v>
      </c>
      <c r="N23">
        <v>0</v>
      </c>
      <c r="O23">
        <v>26.5</v>
      </c>
      <c r="P23">
        <v>0</v>
      </c>
    </row>
    <row r="24" spans="1:16" x14ac:dyDescent="0.2">
      <c r="A24" s="188">
        <v>46022</v>
      </c>
      <c r="B24">
        <v>46.876616670349648</v>
      </c>
      <c r="C24">
        <v>-39.683801722781766</v>
      </c>
      <c r="D24">
        <v>0</v>
      </c>
      <c r="E24">
        <v>0</v>
      </c>
      <c r="F24">
        <v>75.992920275214601</v>
      </c>
      <c r="G24">
        <v>257.94681940875489</v>
      </c>
      <c r="H24">
        <v>-357.07766127582966</v>
      </c>
      <c r="I24">
        <v>55.453351965988816</v>
      </c>
      <c r="J24" s="102">
        <f>'add-ons calculations'!AA$68</f>
        <v>357.51747852385279</v>
      </c>
      <c r="K24" s="102">
        <f t="shared" si="1"/>
        <v>0</v>
      </c>
      <c r="L24">
        <v>0</v>
      </c>
      <c r="M24">
        <v>0</v>
      </c>
      <c r="N24">
        <v>0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54" t="s">
        <v>20</v>
      </c>
      <c r="E1" s="354"/>
      <c r="F1" s="354"/>
      <c r="G1" s="354"/>
      <c r="H1" s="354" t="s">
        <v>9</v>
      </c>
      <c r="I1" s="354"/>
      <c r="J1" s="354"/>
      <c r="K1" s="354"/>
      <c r="L1" s="354" t="s">
        <v>10</v>
      </c>
      <c r="M1" s="354"/>
      <c r="N1" s="354"/>
      <c r="O1" s="354"/>
      <c r="P1" s="354" t="s">
        <v>11</v>
      </c>
      <c r="Q1" s="354"/>
      <c r="R1" s="354"/>
      <c r="S1" s="354"/>
      <c r="T1" s="354" t="s">
        <v>260</v>
      </c>
      <c r="U1" s="354"/>
      <c r="V1" s="354"/>
      <c r="W1" s="354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 t="str">
        <f>main!N34</f>
        <v>2918239</v>
      </c>
      <c r="M3" s="255" t="str">
        <f>main!O34</f>
        <v>5163185</v>
      </c>
      <c r="N3" s="255">
        <f>main!P34</f>
        <v>2669676.0727414307</v>
      </c>
      <c r="O3" s="255">
        <f>main!Q34</f>
        <v>2675644.7174458168</v>
      </c>
      <c r="P3" s="255">
        <f>main!R34</f>
        <v>2739277.3218034385</v>
      </c>
      <c r="Q3" s="255">
        <f>main!S34</f>
        <v>2777012.4671825636</v>
      </c>
      <c r="R3" s="255">
        <f>main!T34</f>
        <v>2835194.3460776829</v>
      </c>
      <c r="S3" s="255">
        <f>main!U34</f>
        <v>2894400.3604423674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209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 t="str">
        <f>main!N35</f>
        <v>860594</v>
      </c>
      <c r="M4" s="213" t="str">
        <f>main!O35</f>
        <v>880104</v>
      </c>
      <c r="N4" s="213">
        <f>main!P35</f>
        <v>902881.83575393062</v>
      </c>
      <c r="O4" s="213">
        <f>main!Q35</f>
        <v>925938.6110111312</v>
      </c>
      <c r="P4" s="213">
        <f>main!R35</f>
        <v>968216.38585153921</v>
      </c>
      <c r="Q4" s="213">
        <f>main!S35</f>
        <v>999876.62485549843</v>
      </c>
      <c r="R4" s="213">
        <f>main!T35</f>
        <v>1032572.1393912865</v>
      </c>
      <c r="S4" s="213">
        <f>main!U35</f>
        <v>1066336.7825017269</v>
      </c>
      <c r="T4" s="213">
        <f>main!V35</f>
        <v>1077082.3559680069</v>
      </c>
      <c r="U4" s="213">
        <f>main!W35</f>
        <v>1087936.2135627293</v>
      </c>
      <c r="V4" s="213">
        <f>main!X35</f>
        <v>1098899.4464749785</v>
      </c>
      <c r="W4" s="213">
        <f>main!Y35</f>
        <v>1109973.1568898512</v>
      </c>
      <c r="AJ4" s="233"/>
    </row>
    <row r="5" spans="1:36" s="35" customFormat="1" x14ac:dyDescent="0.2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 t="str">
        <f>main!N97</f>
        <v>827577</v>
      </c>
      <c r="M5" s="262" t="str">
        <f>main!O97</f>
        <v>840323</v>
      </c>
      <c r="N5" s="262">
        <f>main!P97</f>
        <v>847224.19480316178</v>
      </c>
      <c r="O5" s="262">
        <f>main!Q97</f>
        <v>847953.57306406798</v>
      </c>
      <c r="P5" s="262">
        <f>main!R97</f>
        <v>849053.11079238413</v>
      </c>
      <c r="Q5" s="262">
        <f>main!S97</f>
        <v>850530.1564740889</v>
      </c>
      <c r="R5" s="262">
        <f>main!T97</f>
        <v>851875.63625646336</v>
      </c>
      <c r="S5" s="262">
        <f>main!U97</f>
        <v>853307.52299733902</v>
      </c>
      <c r="T5" s="262">
        <f>main!V97</f>
        <v>854801.12899428688</v>
      </c>
      <c r="U5" s="262"/>
      <c r="V5" s="262"/>
      <c r="W5" s="262"/>
      <c r="AJ5" s="258"/>
    </row>
    <row r="6" spans="1:36" s="35" customFormat="1" x14ac:dyDescent="0.2">
      <c r="A6" s="35" t="s">
        <v>208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 t="str">
        <f>main!N100</f>
        <v>682428</v>
      </c>
      <c r="M6" s="35" t="str">
        <f>main!O100</f>
        <v>694419</v>
      </c>
      <c r="N6" s="35">
        <f>main!P100</f>
        <v>701348.54262191174</v>
      </c>
      <c r="O6" s="35">
        <f>main!Q100</f>
        <v>701348.54262191174</v>
      </c>
      <c r="P6" s="35">
        <f>main!R100</f>
        <v>701348.54262191174</v>
      </c>
      <c r="Q6" s="35">
        <f>main!S100</f>
        <v>701348.54262191174</v>
      </c>
      <c r="R6" s="35">
        <f>main!T100</f>
        <v>701348.54262191174</v>
      </c>
      <c r="S6" s="35">
        <f>main!U100</f>
        <v>701348.54262191174</v>
      </c>
      <c r="T6" s="35">
        <f>main!V100</f>
        <v>701348.54262191174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62" t="s">
        <v>203</v>
      </c>
      <c r="B1" s="363"/>
      <c r="C1" s="35"/>
      <c r="I1" s="240"/>
      <c r="J1" s="370" t="s">
        <v>273</v>
      </c>
      <c r="V1" s="354"/>
      <c r="W1" s="354"/>
      <c r="X1" s="354"/>
      <c r="Y1" s="354"/>
    </row>
    <row r="2" spans="1:27" x14ac:dyDescent="0.2">
      <c r="A2" s="364" t="s">
        <v>189</v>
      </c>
      <c r="B2" s="126"/>
      <c r="C2" t="s">
        <v>190</v>
      </c>
      <c r="H2" s="95"/>
      <c r="I2" s="241"/>
      <c r="J2" s="370"/>
    </row>
    <row r="3" spans="1:27" x14ac:dyDescent="0.2">
      <c r="A3" s="365"/>
      <c r="B3" s="127"/>
      <c r="C3" t="s">
        <v>191</v>
      </c>
      <c r="H3" s="95"/>
      <c r="I3" s="241"/>
      <c r="J3" s="370"/>
    </row>
    <row r="4" spans="1:27" x14ac:dyDescent="0.2">
      <c r="A4" s="365"/>
      <c r="B4" s="128"/>
      <c r="C4" t="s">
        <v>192</v>
      </c>
      <c r="H4" s="95"/>
      <c r="I4" s="95"/>
      <c r="J4" s="95"/>
    </row>
    <row r="5" spans="1:27" x14ac:dyDescent="0.2">
      <c r="A5" s="366"/>
      <c r="B5" s="129"/>
      <c r="C5" t="s">
        <v>179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67" t="s">
        <v>159</v>
      </c>
      <c r="D7" s="368"/>
      <c r="E7" s="368"/>
      <c r="F7" s="369"/>
      <c r="G7" s="367" t="s">
        <v>163</v>
      </c>
      <c r="H7" s="368"/>
      <c r="I7" s="368"/>
      <c r="J7" s="369"/>
      <c r="K7" s="367" t="s">
        <v>174</v>
      </c>
      <c r="L7" s="368"/>
      <c r="M7" s="368"/>
      <c r="N7" s="368"/>
      <c r="O7" s="367" t="s">
        <v>264</v>
      </c>
      <c r="P7" s="368"/>
      <c r="Q7" s="368"/>
      <c r="R7" s="368"/>
      <c r="S7" s="367" t="s">
        <v>267</v>
      </c>
      <c r="T7" s="368"/>
      <c r="U7" s="368"/>
      <c r="V7" s="368"/>
      <c r="W7" s="367" t="s">
        <v>268</v>
      </c>
      <c r="X7" s="368"/>
      <c r="Y7" s="368"/>
      <c r="Z7" s="368"/>
      <c r="AA7" s="222" t="s">
        <v>269</v>
      </c>
    </row>
    <row r="8" spans="1:27" s="257" customFormat="1" x14ac:dyDescent="0.2">
      <c r="B8" s="257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168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169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170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171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172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173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164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165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166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167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193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182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182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682.428</v>
      </c>
      <c r="H24" s="102">
        <f>main_nipas!M6/1000</f>
        <v>694.41899999999998</v>
      </c>
      <c r="I24" s="102">
        <f>main_nipas!N6/1000</f>
        <v>701.34854262191175</v>
      </c>
      <c r="J24" s="102">
        <f>main_nipas!O6/1000</f>
        <v>701.34854262191175</v>
      </c>
      <c r="K24" s="149">
        <f>main_nipas!P6/1000</f>
        <v>701.34854262191175</v>
      </c>
      <c r="L24" s="102">
        <f>main_nipas!Q6/1000</f>
        <v>701.34854262191175</v>
      </c>
      <c r="M24" s="102">
        <f>main_nipas!R6/1000</f>
        <v>701.34854262191175</v>
      </c>
      <c r="N24" s="102">
        <f>M24*(1+N26)</f>
        <v>694.15267695980833</v>
      </c>
      <c r="O24" s="149">
        <f t="shared" ref="O24:AA24" si="0">N24*(1+O26)</f>
        <v>687.02743483320262</v>
      </c>
      <c r="P24" s="102">
        <f t="shared" si="0"/>
        <v>679.90219270659679</v>
      </c>
      <c r="Q24" s="102">
        <f t="shared" si="0"/>
        <v>672.77695057999097</v>
      </c>
      <c r="R24" s="102">
        <f t="shared" si="0"/>
        <v>665.65170845338525</v>
      </c>
      <c r="S24" s="149">
        <f t="shared" si="0"/>
        <v>673.15260052832809</v>
      </c>
      <c r="T24" s="102">
        <f t="shared" si="0"/>
        <v>680.65349260327093</v>
      </c>
      <c r="U24" s="102">
        <f t="shared" si="0"/>
        <v>688.15438467821389</v>
      </c>
      <c r="V24" s="102">
        <f t="shared" si="0"/>
        <v>695.65527675315684</v>
      </c>
      <c r="W24" s="149">
        <f t="shared" si="0"/>
        <v>705.15716900053121</v>
      </c>
      <c r="X24" s="102">
        <f t="shared" si="0"/>
        <v>714.65906124790547</v>
      </c>
      <c r="Y24" s="102">
        <f t="shared" si="0"/>
        <v>724.16095349527995</v>
      </c>
      <c r="Z24" s="102">
        <f t="shared" si="0"/>
        <v>733.66284574265433</v>
      </c>
      <c r="AA24" s="149">
        <f t="shared" si="0"/>
        <v>743.55047701486546</v>
      </c>
      <c r="AB24" s="95"/>
    </row>
    <row r="25" spans="1:28" x14ac:dyDescent="0.2">
      <c r="B25" t="s">
        <v>175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271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176</v>
      </c>
      <c r="D27" s="103"/>
      <c r="E27" s="217"/>
      <c r="F27" s="217">
        <f t="shared" ref="F27:AA27" si="3">F24-F25</f>
        <v>-15.297000000000025</v>
      </c>
      <c r="G27" s="150">
        <f t="shared" si="3"/>
        <v>-43.247157750019255</v>
      </c>
      <c r="H27" s="217">
        <f t="shared" si="3"/>
        <v>-57.931315500038636</v>
      </c>
      <c r="I27" s="217">
        <f t="shared" si="3"/>
        <v>-77.676930628146238</v>
      </c>
      <c r="J27" s="217">
        <f t="shared" si="3"/>
        <v>-104.35208837816538</v>
      </c>
      <c r="K27" s="150">
        <f t="shared" si="3"/>
        <v>-96.332412521746846</v>
      </c>
      <c r="L27" s="217">
        <f t="shared" si="3"/>
        <v>-88.31273666532843</v>
      </c>
      <c r="M27" s="239">
        <f t="shared" si="3"/>
        <v>-80.293060808910013</v>
      </c>
      <c r="N27" s="217">
        <f t="shared" si="3"/>
        <v>-79.469250614594898</v>
      </c>
      <c r="O27" s="150">
        <f t="shared" si="3"/>
        <v>-78.653525672455544</v>
      </c>
      <c r="P27" s="217">
        <f t="shared" si="3"/>
        <v>-77.837800730316189</v>
      </c>
      <c r="Q27" s="217">
        <f t="shared" si="3"/>
        <v>-77.022075788176835</v>
      </c>
      <c r="R27" s="217">
        <f t="shared" si="3"/>
        <v>-76.206350846037481</v>
      </c>
      <c r="S27" s="150">
        <f t="shared" si="3"/>
        <v>-77.065081629512065</v>
      </c>
      <c r="T27" s="217">
        <f t="shared" si="3"/>
        <v>-77.923812412986649</v>
      </c>
      <c r="U27" s="217">
        <f t="shared" si="3"/>
        <v>-78.782543196461233</v>
      </c>
      <c r="V27" s="217">
        <f t="shared" si="3"/>
        <v>-79.641273979935818</v>
      </c>
      <c r="W27" s="150">
        <f t="shared" si="3"/>
        <v>-80.729086908392105</v>
      </c>
      <c r="X27" s="217">
        <f t="shared" si="3"/>
        <v>-81.816899836848506</v>
      </c>
      <c r="Y27" s="217">
        <f t="shared" si="3"/>
        <v>-82.904712765304794</v>
      </c>
      <c r="Z27" s="217">
        <f t="shared" si="3"/>
        <v>-83.992525693761195</v>
      </c>
      <c r="AA27" s="150">
        <f t="shared" si="3"/>
        <v>-85.124499499577837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185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185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827.577</v>
      </c>
      <c r="H31" s="104">
        <f>main_nipas!M5/1000</f>
        <v>840.32299999999998</v>
      </c>
      <c r="I31" s="104">
        <f>main_nipas!N5/1000</f>
        <v>847.22419480316182</v>
      </c>
      <c r="J31" s="104">
        <f>main_nipas!O5/1000</f>
        <v>847.953573064068</v>
      </c>
      <c r="K31" s="149">
        <f>main_nipas!P5/1000</f>
        <v>849.05311079238413</v>
      </c>
      <c r="L31" s="104">
        <f>main_nipas!Q5/1000</f>
        <v>850.53015647408893</v>
      </c>
      <c r="M31" s="104">
        <f>L31*(1 + M33)</f>
        <v>1034.1830691495156</v>
      </c>
      <c r="N31" s="104">
        <f t="shared" ref="N31:AA31" si="4">M31*(1 + N33)</f>
        <v>1208.161910072331</v>
      </c>
      <c r="O31" s="149">
        <f t="shared" si="4"/>
        <v>1370.8511507368346</v>
      </c>
      <c r="P31" s="104">
        <f t="shared" si="4"/>
        <v>1530.8316513106058</v>
      </c>
      <c r="Q31" s="104">
        <f t="shared" si="4"/>
        <v>1699.3253350266777</v>
      </c>
      <c r="R31" s="104">
        <f t="shared" si="4"/>
        <v>1867.0450930025404</v>
      </c>
      <c r="S31" s="149">
        <f t="shared" si="4"/>
        <v>1861.2428439856753</v>
      </c>
      <c r="T31" s="104">
        <f t="shared" si="4"/>
        <v>1860.0841494100682</v>
      </c>
      <c r="U31" s="104">
        <f t="shared" si="4"/>
        <v>1863.1820464056068</v>
      </c>
      <c r="V31" s="104">
        <f t="shared" si="4"/>
        <v>1872.471349322821</v>
      </c>
      <c r="W31" s="149">
        <f t="shared" si="4"/>
        <v>1859.0761291614713</v>
      </c>
      <c r="X31" s="104">
        <f t="shared" si="4"/>
        <v>1844.9069832599123</v>
      </c>
      <c r="Y31" s="104">
        <f t="shared" si="4"/>
        <v>1833.8335403191893</v>
      </c>
      <c r="Z31" s="104">
        <f t="shared" si="4"/>
        <v>1826.2427632094063</v>
      </c>
      <c r="AA31" s="149">
        <f t="shared" si="4"/>
        <v>1817.1509349080004</v>
      </c>
      <c r="AB31" s="95"/>
    </row>
    <row r="32" spans="1:28" x14ac:dyDescent="0.2">
      <c r="B32" t="s">
        <v>175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271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176</v>
      </c>
      <c r="D34" s="103"/>
      <c r="E34" s="217"/>
      <c r="F34" s="217">
        <f t="shared" ref="F34:AA34" si="7">F31-F32</f>
        <v>683.88</v>
      </c>
      <c r="G34" s="150">
        <f t="shared" si="7"/>
        <v>707.5431577500193</v>
      </c>
      <c r="H34" s="217">
        <f t="shared" si="7"/>
        <v>744.85004300003868</v>
      </c>
      <c r="I34" s="217">
        <f t="shared" si="7"/>
        <v>776.30683737196989</v>
      </c>
      <c r="J34" s="217">
        <f t="shared" si="7"/>
        <v>799.4616592294891</v>
      </c>
      <c r="K34" s="150">
        <f t="shared" si="7"/>
        <v>786.13507701512674</v>
      </c>
      <c r="L34" s="239">
        <f t="shared" si="7"/>
        <v>770.98645695120399</v>
      </c>
      <c r="M34" s="217">
        <f t="shared" si="7"/>
        <v>937.46369162020153</v>
      </c>
      <c r="N34" s="217">
        <f t="shared" si="7"/>
        <v>1095.1715978320431</v>
      </c>
      <c r="O34" s="150">
        <f t="shared" si="7"/>
        <v>1242.6457353323383</v>
      </c>
      <c r="P34" s="150">
        <f t="shared" si="7"/>
        <v>1387.6644608646288</v>
      </c>
      <c r="Q34" s="150">
        <f t="shared" si="7"/>
        <v>1540.4001954392188</v>
      </c>
      <c r="R34" s="150">
        <f t="shared" si="7"/>
        <v>1692.4343837372362</v>
      </c>
      <c r="S34" s="150">
        <f t="shared" si="7"/>
        <v>1687.1747755060521</v>
      </c>
      <c r="T34" s="150">
        <f t="shared" si="7"/>
        <v>1686.1244449343071</v>
      </c>
      <c r="U34" s="150">
        <f t="shared" si="7"/>
        <v>1688.9326188837076</v>
      </c>
      <c r="V34" s="150">
        <f t="shared" si="7"/>
        <v>1697.3531630456919</v>
      </c>
      <c r="W34" s="150">
        <f t="shared" si="7"/>
        <v>1685.2106972510708</v>
      </c>
      <c r="X34" s="150">
        <f t="shared" si="7"/>
        <v>1672.3666851798769</v>
      </c>
      <c r="Y34" s="150">
        <f t="shared" si="7"/>
        <v>1662.328858214973</v>
      </c>
      <c r="Z34" s="150">
        <f t="shared" si="7"/>
        <v>1655.4479894946455</v>
      </c>
      <c r="AA34" s="150">
        <f t="shared" si="7"/>
        <v>1647.2064516303462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186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186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880.10400000000004</v>
      </c>
      <c r="I38" s="104">
        <f>main_nipas!N4/1000</f>
        <v>902.88183575393066</v>
      </c>
      <c r="J38" s="104">
        <f>main_nipas!O4/1000</f>
        <v>925.93861101113123</v>
      </c>
      <c r="K38" s="149">
        <f t="shared" ref="K38:AA38" si="8">J38*(1+K40)</f>
        <v>972.69077329985782</v>
      </c>
      <c r="L38" s="149">
        <f t="shared" si="8"/>
        <v>1019.4429355885843</v>
      </c>
      <c r="M38" s="149">
        <f t="shared" si="8"/>
        <v>1066.1950978773107</v>
      </c>
      <c r="N38" s="149">
        <f t="shared" si="8"/>
        <v>1112.947260166037</v>
      </c>
      <c r="O38" s="149">
        <f t="shared" si="8"/>
        <v>1124.3331994198873</v>
      </c>
      <c r="P38" s="149">
        <f t="shared" si="8"/>
        <v>1135.7191386737375</v>
      </c>
      <c r="Q38" s="149">
        <f t="shared" si="8"/>
        <v>1147.1050779275877</v>
      </c>
      <c r="R38" s="149">
        <f t="shared" si="8"/>
        <v>1158.4910171814379</v>
      </c>
      <c r="S38" s="149">
        <f t="shared" si="8"/>
        <v>1165.108515470283</v>
      </c>
      <c r="T38" s="149">
        <f t="shared" si="8"/>
        <v>1171.7260137591281</v>
      </c>
      <c r="U38" s="149">
        <f t="shared" si="8"/>
        <v>1178.343512047973</v>
      </c>
      <c r="V38" s="149">
        <f t="shared" si="8"/>
        <v>1184.9610103368179</v>
      </c>
      <c r="W38" s="149">
        <f t="shared" si="8"/>
        <v>1219.7085939083695</v>
      </c>
      <c r="X38" s="149">
        <f t="shared" si="8"/>
        <v>1254.4561774799199</v>
      </c>
      <c r="Y38" s="149">
        <f t="shared" si="8"/>
        <v>1289.2037610514706</v>
      </c>
      <c r="Z38" s="149">
        <f t="shared" si="8"/>
        <v>1323.951344623021</v>
      </c>
      <c r="AA38" s="149">
        <f t="shared" si="8"/>
        <v>1347.3744526581963</v>
      </c>
      <c r="AB38" s="95"/>
    </row>
    <row r="39" spans="1:28" x14ac:dyDescent="0.2">
      <c r="B39" t="s">
        <v>175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271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176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62.983597259149064</v>
      </c>
      <c r="I41" s="217">
        <f t="shared" si="11"/>
        <v>98.551231642654102</v>
      </c>
      <c r="J41" s="239">
        <f t="shared" si="11"/>
        <v>134.39780552942921</v>
      </c>
      <c r="K41" s="150">
        <f t="shared" si="11"/>
        <v>141.18377161901594</v>
      </c>
      <c r="L41" s="217">
        <f t="shared" si="11"/>
        <v>147.96973770860268</v>
      </c>
      <c r="M41" s="217">
        <f t="shared" si="11"/>
        <v>154.75570379818942</v>
      </c>
      <c r="N41" s="217">
        <f t="shared" si="11"/>
        <v>161.54166988777604</v>
      </c>
      <c r="O41" s="150">
        <f t="shared" si="11"/>
        <v>163.19431211633355</v>
      </c>
      <c r="P41" s="217">
        <f t="shared" si="11"/>
        <v>164.84695434489106</v>
      </c>
      <c r="Q41" s="217">
        <f t="shared" si="11"/>
        <v>166.49959657344857</v>
      </c>
      <c r="R41" s="217">
        <f t="shared" si="11"/>
        <v>168.15223880200608</v>
      </c>
      <c r="S41" s="150">
        <f t="shared" si="11"/>
        <v>169.11275307102915</v>
      </c>
      <c r="T41" s="217">
        <f t="shared" si="11"/>
        <v>170.0732673400521</v>
      </c>
      <c r="U41" s="217">
        <f t="shared" si="11"/>
        <v>171.03378160907505</v>
      </c>
      <c r="V41" s="217">
        <f t="shared" si="11"/>
        <v>171.99429587809789</v>
      </c>
      <c r="W41" s="150">
        <f t="shared" si="11"/>
        <v>177.03782568010843</v>
      </c>
      <c r="X41" s="217">
        <f t="shared" si="11"/>
        <v>182.08135548211885</v>
      </c>
      <c r="Y41" s="217">
        <f t="shared" si="11"/>
        <v>187.1248852841295</v>
      </c>
      <c r="Z41" s="217">
        <f t="shared" si="11"/>
        <v>192.16841508613993</v>
      </c>
      <c r="AA41" s="150">
        <f t="shared" si="11"/>
        <v>195.56822397322026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187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187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2918.239</v>
      </c>
      <c r="H45" s="102">
        <f>main_nipas!M3/1000</f>
        <v>5163.1850000000004</v>
      </c>
      <c r="I45" s="102">
        <f>main_nipas!N3/1000</f>
        <v>2669.6760727414307</v>
      </c>
      <c r="J45" s="102">
        <f>main_nipas!O3/1000</f>
        <v>2675.6447174458167</v>
      </c>
      <c r="K45" s="263">
        <f>main_nipas!P3/1000</f>
        <v>2739.2773218034386</v>
      </c>
      <c r="L45" s="104">
        <f>K45*(1+L47)</f>
        <v>2767.0133865322414</v>
      </c>
      <c r="M45" s="104">
        <f t="shared" ref="M45:AA45" si="12">L45*(1+M47)</f>
        <v>2766.1693040087807</v>
      </c>
      <c r="N45" s="104">
        <f t="shared" si="12"/>
        <v>2725.7508852001165</v>
      </c>
      <c r="O45" s="104">
        <f t="shared" si="12"/>
        <v>2728.8109584848548</v>
      </c>
      <c r="P45" s="104">
        <f t="shared" si="12"/>
        <v>2733.5231280052599</v>
      </c>
      <c r="Q45" s="104">
        <f t="shared" si="12"/>
        <v>2739.3651646995804</v>
      </c>
      <c r="R45" s="104">
        <f t="shared" si="12"/>
        <v>2748.4445001346503</v>
      </c>
      <c r="S45" s="104">
        <f t="shared" si="12"/>
        <v>2776.2257509809442</v>
      </c>
      <c r="T45" s="104">
        <f t="shared" si="12"/>
        <v>2802.9201479458334</v>
      </c>
      <c r="U45" s="104">
        <f t="shared" si="12"/>
        <v>2824.5469658854395</v>
      </c>
      <c r="V45" s="104">
        <f t="shared" si="12"/>
        <v>2843.0675133199748</v>
      </c>
      <c r="W45" s="104">
        <f t="shared" si="12"/>
        <v>2908.6848195397047</v>
      </c>
      <c r="X45" s="104">
        <f t="shared" si="12"/>
        <v>2964.0775335702951</v>
      </c>
      <c r="Y45" s="104">
        <f t="shared" si="12"/>
        <v>3010.4126380240309</v>
      </c>
      <c r="Z45" s="104">
        <f t="shared" si="12"/>
        <v>3046.7154031093178</v>
      </c>
      <c r="AA45" s="104">
        <f t="shared" si="12"/>
        <v>3066.2733259864162</v>
      </c>
      <c r="AB45" s="95"/>
    </row>
    <row r="46" spans="1:28" x14ac:dyDescent="0.2">
      <c r="B46" t="s">
        <v>175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271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176</v>
      </c>
      <c r="D48" s="103"/>
      <c r="E48" s="217"/>
      <c r="F48" s="217">
        <f t="shared" ref="F48:AA48" si="30">F45-F46</f>
        <v>823.78800000000001</v>
      </c>
      <c r="G48" s="150">
        <f t="shared" si="30"/>
        <v>584.24741309996125</v>
      </c>
      <c r="H48" s="217">
        <f t="shared" si="30"/>
        <v>3094.6219021682982</v>
      </c>
      <c r="I48" s="217">
        <f t="shared" si="30"/>
        <v>814.93597252476366</v>
      </c>
      <c r="J48" s="217">
        <f t="shared" si="30"/>
        <v>970.16506435999872</v>
      </c>
      <c r="K48" s="264">
        <f t="shared" si="30"/>
        <v>987.31821339008457</v>
      </c>
      <c r="L48" s="217">
        <f t="shared" si="30"/>
        <v>997.31512814440543</v>
      </c>
      <c r="M48" s="217">
        <f t="shared" si="30"/>
        <v>997.01089533001164</v>
      </c>
      <c r="N48" s="217">
        <f t="shared" si="30"/>
        <v>982.44287743398149</v>
      </c>
      <c r="O48" s="150">
        <f t="shared" si="30"/>
        <v>983.54582019347595</v>
      </c>
      <c r="P48" s="217">
        <f t="shared" si="30"/>
        <v>985.24422829368791</v>
      </c>
      <c r="Q48" s="217">
        <f t="shared" si="30"/>
        <v>987.34987462079948</v>
      </c>
      <c r="R48" s="217">
        <f t="shared" si="30"/>
        <v>990.6223411101073</v>
      </c>
      <c r="S48" s="150">
        <f t="shared" si="30"/>
        <v>1000.6355423048103</v>
      </c>
      <c r="T48" s="217">
        <f t="shared" si="30"/>
        <v>1010.2570085613004</v>
      </c>
      <c r="U48" s="217">
        <f t="shared" si="30"/>
        <v>1018.0519664063816</v>
      </c>
      <c r="V48" s="217">
        <f t="shared" si="30"/>
        <v>1024.7273306196087</v>
      </c>
      <c r="W48" s="150">
        <f t="shared" si="30"/>
        <v>1048.3777879970608</v>
      </c>
      <c r="X48" s="217">
        <f t="shared" si="30"/>
        <v>1068.3429937891872</v>
      </c>
      <c r="Y48" s="217">
        <f t="shared" si="30"/>
        <v>1085.043563746955</v>
      </c>
      <c r="Z48" s="217">
        <f t="shared" si="30"/>
        <v>1098.1281758378288</v>
      </c>
      <c r="AA48" s="150">
        <f t="shared" si="30"/>
        <v>1105.1774414667373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250</v>
      </c>
      <c r="B1" s="259" t="s">
        <v>243</v>
      </c>
      <c r="C1" s="259" t="s">
        <v>244</v>
      </c>
      <c r="D1" s="259" t="s">
        <v>245</v>
      </c>
      <c r="E1" s="259" t="s">
        <v>246</v>
      </c>
      <c r="F1" s="259" t="s">
        <v>247</v>
      </c>
      <c r="G1" s="259" t="s">
        <v>248</v>
      </c>
      <c r="H1" s="259" t="s">
        <v>249</v>
      </c>
      <c r="I1" s="259" t="s">
        <v>280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2">
      <c r="A3" s="260">
        <v>44196</v>
      </c>
      <c r="B3" s="259">
        <v>-43.247157750019255</v>
      </c>
      <c r="C3" s="259">
        <v>707.5431577500193</v>
      </c>
      <c r="D3" s="259">
        <v>-1907.1</v>
      </c>
      <c r="E3" s="259">
        <v>-4.3178334742540159</v>
      </c>
      <c r="F3" s="259">
        <v>30.68379862957454</v>
      </c>
      <c r="G3" s="259">
        <v>584.24741309996125</v>
      </c>
      <c r="H3" s="259">
        <v>0.60700000000008458</v>
      </c>
      <c r="I3" s="259">
        <v>68.24199999999999</v>
      </c>
    </row>
    <row r="4" spans="1:9" x14ac:dyDescent="0.2">
      <c r="A4" s="260">
        <v>44286</v>
      </c>
      <c r="B4" s="259">
        <v>-57.931315500038636</v>
      </c>
      <c r="C4" s="259">
        <v>744.85004300003868</v>
      </c>
      <c r="D4" s="259">
        <v>-1965.1</v>
      </c>
      <c r="E4" s="259">
        <v>-2.6050070145439435</v>
      </c>
      <c r="F4" s="259">
        <v>62.983597259149064</v>
      </c>
      <c r="G4" s="259">
        <v>3094.6219021682982</v>
      </c>
      <c r="H4" s="259">
        <v>2.5690000000000168</v>
      </c>
      <c r="I4" s="259">
        <v>60.199795999999935</v>
      </c>
    </row>
    <row r="5" spans="1:9" x14ac:dyDescent="0.2">
      <c r="A5" s="260">
        <v>44377</v>
      </c>
      <c r="B5" s="259">
        <v>-77.676930628146238</v>
      </c>
      <c r="C5" s="259">
        <v>776.30683737196989</v>
      </c>
      <c r="D5" s="259">
        <v>-27.737459527982537</v>
      </c>
      <c r="E5" s="259">
        <v>-2.6317117073143947</v>
      </c>
      <c r="F5" s="259">
        <v>98.551231642654102</v>
      </c>
      <c r="G5" s="259">
        <v>814.93597252476366</v>
      </c>
      <c r="H5" s="259">
        <v>409.04299381114504</v>
      </c>
      <c r="I5" s="259">
        <v>67.261751256205002</v>
      </c>
    </row>
    <row r="6" spans="1:9" x14ac:dyDescent="0.2">
      <c r="A6" s="260">
        <v>44469</v>
      </c>
      <c r="B6" s="259">
        <v>-104.35208837816538</v>
      </c>
      <c r="C6" s="259">
        <v>799.4616592294891</v>
      </c>
      <c r="D6" s="259">
        <v>-28.139041961662997</v>
      </c>
      <c r="E6" s="259">
        <v>-2.6698135814636288</v>
      </c>
      <c r="F6" s="259">
        <v>134.39780552942921</v>
      </c>
      <c r="G6" s="259">
        <v>970.16506435999872</v>
      </c>
      <c r="H6" s="259">
        <v>407.11237615624407</v>
      </c>
      <c r="I6" s="259">
        <v>63.106744514582999</v>
      </c>
    </row>
    <row r="7" spans="1:9" x14ac:dyDescent="0.2">
      <c r="A7" s="260">
        <v>44561</v>
      </c>
      <c r="B7" s="259">
        <v>-96.332412521746846</v>
      </c>
      <c r="C7" s="259">
        <v>786.13507701512674</v>
      </c>
      <c r="D7" s="259">
        <v>-28.5131067004138</v>
      </c>
      <c r="E7" s="259">
        <v>-2.7053045950249697</v>
      </c>
      <c r="F7" s="259">
        <v>141.18377161901594</v>
      </c>
      <c r="G7" s="259">
        <v>987.31821339008457</v>
      </c>
      <c r="H7" s="259">
        <v>-331.15747330126999</v>
      </c>
      <c r="I7" s="259">
        <v>60.548462812038906</v>
      </c>
    </row>
    <row r="8" spans="1:9" x14ac:dyDescent="0.2">
      <c r="A8" s="260">
        <v>44651</v>
      </c>
      <c r="B8" s="259">
        <v>-88.31273666532843</v>
      </c>
      <c r="C8" s="259">
        <v>770.98645695120399</v>
      </c>
      <c r="D8" s="259">
        <v>0</v>
      </c>
      <c r="E8" s="259">
        <v>0</v>
      </c>
      <c r="F8" s="259">
        <v>147.96973770860268</v>
      </c>
      <c r="G8" s="259">
        <v>997.31512814440543</v>
      </c>
      <c r="H8" s="259">
        <v>-333.15003590766503</v>
      </c>
      <c r="I8" s="259">
        <v>48.756826209861401</v>
      </c>
    </row>
    <row r="9" spans="1:9" x14ac:dyDescent="0.2">
      <c r="A9" s="260">
        <v>44742</v>
      </c>
      <c r="B9" s="259">
        <v>-80.293060808910013</v>
      </c>
      <c r="C9" s="259">
        <v>937.46369162020153</v>
      </c>
      <c r="D9" s="259">
        <v>0</v>
      </c>
      <c r="E9" s="259">
        <v>0</v>
      </c>
      <c r="F9" s="259">
        <v>154.75570379818942</v>
      </c>
      <c r="G9" s="259">
        <v>997.01089533001164</v>
      </c>
      <c r="H9" s="259">
        <v>-334.75716524847383</v>
      </c>
      <c r="I9" s="259">
        <v>47.075168778347972</v>
      </c>
    </row>
    <row r="10" spans="1:9" x14ac:dyDescent="0.2">
      <c r="A10" s="260">
        <v>44834</v>
      </c>
      <c r="B10" s="259">
        <v>-79.469250614594898</v>
      </c>
      <c r="C10" s="259">
        <v>1095.1715978320431</v>
      </c>
      <c r="D10" s="259">
        <v>0</v>
      </c>
      <c r="E10" s="259">
        <v>0</v>
      </c>
      <c r="F10" s="259">
        <v>161.54166988777604</v>
      </c>
      <c r="G10" s="259">
        <v>982.44287743398149</v>
      </c>
      <c r="H10" s="259">
        <v>-336.33915700835234</v>
      </c>
      <c r="I10" s="259">
        <v>45.38228634829386</v>
      </c>
    </row>
    <row r="11" spans="1:9" x14ac:dyDescent="0.2">
      <c r="A11" s="260">
        <v>44926</v>
      </c>
      <c r="B11" s="259">
        <v>-78.653525672455544</v>
      </c>
      <c r="C11" s="259">
        <v>1242.6457353323383</v>
      </c>
      <c r="D11" s="259">
        <v>0</v>
      </c>
      <c r="E11" s="259">
        <v>0</v>
      </c>
      <c r="F11" s="259">
        <v>163.19431211633355</v>
      </c>
      <c r="G11" s="259">
        <v>983.54582019347595</v>
      </c>
      <c r="H11" s="259">
        <v>-337.91109373585869</v>
      </c>
      <c r="I11" s="259">
        <v>43.63461153540959</v>
      </c>
    </row>
    <row r="12" spans="1:9" x14ac:dyDescent="0.2">
      <c r="A12" s="260">
        <v>45016</v>
      </c>
      <c r="B12" s="259">
        <v>-77.837800730316189</v>
      </c>
      <c r="C12" s="259">
        <v>1387.6644608646288</v>
      </c>
      <c r="D12" s="259">
        <v>0</v>
      </c>
      <c r="E12" s="259">
        <v>0</v>
      </c>
      <c r="F12" s="259">
        <v>164.84695434489106</v>
      </c>
      <c r="G12" s="259">
        <v>985.24422829368791</v>
      </c>
      <c r="H12" s="259">
        <v>-339.47967878590765</v>
      </c>
      <c r="I12" s="259">
        <v>41.889691937128021</v>
      </c>
    </row>
    <row r="13" spans="1:9" x14ac:dyDescent="0.2">
      <c r="A13" s="260">
        <v>45107</v>
      </c>
      <c r="B13" s="259">
        <v>-77.022075788176835</v>
      </c>
      <c r="C13" s="259">
        <v>1540.4001954392188</v>
      </c>
      <c r="D13" s="259">
        <v>0</v>
      </c>
      <c r="E13" s="259">
        <v>0</v>
      </c>
      <c r="F13" s="259">
        <v>166.49959657344857</v>
      </c>
      <c r="G13" s="259">
        <v>987.34987462079948</v>
      </c>
      <c r="H13" s="259">
        <v>-341.05329135214311</v>
      </c>
      <c r="I13" s="259">
        <v>56.635167119177311</v>
      </c>
    </row>
    <row r="14" spans="1:9" x14ac:dyDescent="0.2">
      <c r="A14" s="260">
        <v>45199</v>
      </c>
      <c r="B14" s="259">
        <v>-76.206350846037481</v>
      </c>
      <c r="C14" s="259">
        <v>1692.4343837372362</v>
      </c>
      <c r="D14" s="259">
        <v>0</v>
      </c>
      <c r="E14" s="259">
        <v>0</v>
      </c>
      <c r="F14" s="259">
        <v>168.15223880200608</v>
      </c>
      <c r="G14" s="259">
        <v>990.6223411101073</v>
      </c>
      <c r="H14" s="259">
        <v>-342.64198646693649</v>
      </c>
      <c r="I14" s="259">
        <v>53.981408433973343</v>
      </c>
    </row>
    <row r="15" spans="1:9" x14ac:dyDescent="0.2">
      <c r="A15" s="260">
        <v>45291</v>
      </c>
      <c r="B15" s="259">
        <v>-77.065081629512065</v>
      </c>
      <c r="C15" s="259">
        <v>1687.1747755060521</v>
      </c>
      <c r="D15" s="259">
        <v>0</v>
      </c>
      <c r="E15" s="259">
        <v>0</v>
      </c>
      <c r="F15" s="259">
        <v>169.11275307102915</v>
      </c>
      <c r="G15" s="259">
        <v>1000.6355423048103</v>
      </c>
      <c r="H15" s="259">
        <v>-344.24576413028785</v>
      </c>
      <c r="I15" s="259">
        <v>51.263606932646326</v>
      </c>
    </row>
    <row r="16" spans="1:9" x14ac:dyDescent="0.2">
      <c r="A16" s="260">
        <v>45382</v>
      </c>
      <c r="B16" s="259">
        <v>-77.923812412986649</v>
      </c>
      <c r="C16" s="259">
        <v>1686.1244449343071</v>
      </c>
      <c r="D16" s="259">
        <v>0</v>
      </c>
      <c r="E16" s="259">
        <v>0</v>
      </c>
      <c r="F16" s="259">
        <v>170.0732673400521</v>
      </c>
      <c r="G16" s="259">
        <v>1010.2570085613004</v>
      </c>
      <c r="H16" s="259">
        <v>-345.85959682601151</v>
      </c>
      <c r="I16" s="259">
        <v>51.772414448603058</v>
      </c>
    </row>
    <row r="17" spans="1:9" x14ac:dyDescent="0.2">
      <c r="A17" s="260">
        <v>45473</v>
      </c>
      <c r="B17" s="259">
        <v>-78.782543196461233</v>
      </c>
      <c r="C17" s="259">
        <v>1688.9326188837076</v>
      </c>
      <c r="D17" s="259">
        <v>0</v>
      </c>
      <c r="E17" s="259">
        <v>0</v>
      </c>
      <c r="F17" s="259">
        <v>171.03378160907505</v>
      </c>
      <c r="G17" s="259">
        <v>1018.0519664063816</v>
      </c>
      <c r="H17" s="259">
        <v>-347.47007784427768</v>
      </c>
      <c r="I17" s="259">
        <v>52.284929603149124</v>
      </c>
    </row>
    <row r="18" spans="1:9" x14ac:dyDescent="0.2">
      <c r="A18" s="260">
        <v>45565</v>
      </c>
      <c r="B18" s="259">
        <v>-79.641273979935818</v>
      </c>
      <c r="C18" s="259">
        <v>1697.3531630456919</v>
      </c>
      <c r="D18" s="259">
        <v>0</v>
      </c>
      <c r="E18" s="259">
        <v>0</v>
      </c>
      <c r="F18" s="259">
        <v>171.99429587809789</v>
      </c>
      <c r="G18" s="259">
        <v>1024.7273306196087</v>
      </c>
      <c r="H18" s="259">
        <v>-349.08558637873045</v>
      </c>
      <c r="I18" s="259">
        <v>52.803713366615796</v>
      </c>
    </row>
    <row r="19" spans="1:9" x14ac:dyDescent="0.2">
      <c r="A19" s="260">
        <v>45657</v>
      </c>
      <c r="B19" s="259">
        <v>-80.729086908392105</v>
      </c>
      <c r="C19" s="259">
        <v>1685.2106972510708</v>
      </c>
      <c r="D19" s="259">
        <v>0</v>
      </c>
      <c r="E19" s="259">
        <v>0</v>
      </c>
      <c r="F19" s="259">
        <v>177.03782568010843</v>
      </c>
      <c r="G19" s="259">
        <v>1048.3777879970608</v>
      </c>
      <c r="H19" s="259">
        <v>-350.7044465906398</v>
      </c>
      <c r="I19" s="259">
        <v>53.328135492352658</v>
      </c>
    </row>
    <row r="20" spans="1:9" x14ac:dyDescent="0.2">
      <c r="A20" s="260">
        <v>45747</v>
      </c>
      <c r="B20" s="259">
        <v>-81.816899836848506</v>
      </c>
      <c r="C20" s="259">
        <v>1672.3666851798769</v>
      </c>
      <c r="D20" s="259">
        <v>0</v>
      </c>
      <c r="E20" s="259">
        <v>0</v>
      </c>
      <c r="F20" s="259">
        <v>182.08135548211885</v>
      </c>
      <c r="G20" s="259">
        <v>1068.3429937891872</v>
      </c>
      <c r="H20" s="259">
        <v>-352.32163096382084</v>
      </c>
      <c r="I20" s="259">
        <v>53.854882752932838</v>
      </c>
    </row>
    <row r="21" spans="1:9" x14ac:dyDescent="0.2">
      <c r="A21" s="260">
        <v>45838</v>
      </c>
      <c r="B21" s="259">
        <v>-82.904712765304794</v>
      </c>
      <c r="C21" s="259">
        <v>1662.328858214973</v>
      </c>
      <c r="D21" s="259">
        <v>0</v>
      </c>
      <c r="E21" s="259">
        <v>0</v>
      </c>
      <c r="F21" s="259">
        <v>187.1248852841295</v>
      </c>
      <c r="G21" s="259">
        <v>1085.043563746955</v>
      </c>
      <c r="H21" s="259">
        <v>-353.91870527225819</v>
      </c>
      <c r="I21" s="259">
        <v>54.384605669423934</v>
      </c>
    </row>
    <row r="22" spans="1:9" x14ac:dyDescent="0.2">
      <c r="A22" s="260">
        <v>45930</v>
      </c>
      <c r="B22" s="259">
        <v>-83.992525693761195</v>
      </c>
      <c r="C22" s="259">
        <v>1655.4479894946455</v>
      </c>
      <c r="D22" s="259">
        <v>0</v>
      </c>
      <c r="E22" s="259">
        <v>0</v>
      </c>
      <c r="F22" s="259">
        <v>192.16841508613993</v>
      </c>
      <c r="G22" s="259">
        <v>1098.1281758378288</v>
      </c>
      <c r="H22" s="259">
        <v>-355.5040487095942</v>
      </c>
      <c r="I22" s="259">
        <v>54.916846529514942</v>
      </c>
    </row>
    <row r="23" spans="1:9" x14ac:dyDescent="0.2">
      <c r="A23" s="260">
        <v>46022</v>
      </c>
      <c r="B23" s="259">
        <v>-85.124499499577837</v>
      </c>
      <c r="C23" s="259">
        <v>1647.2064516303462</v>
      </c>
      <c r="D23" s="259">
        <v>0</v>
      </c>
      <c r="E23" s="259">
        <v>0</v>
      </c>
      <c r="F23" s="259">
        <v>195.56822397322026</v>
      </c>
      <c r="G23" s="259">
        <v>1105.1774414667373</v>
      </c>
      <c r="H23" s="259">
        <v>-357.07766127582966</v>
      </c>
      <c r="I23" s="259">
        <v>55.453351965988816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K34"/>
  <sheetViews>
    <sheetView workbookViewId="0">
      <selection activeCell="B1" sqref="B1"/>
    </sheetView>
  </sheetViews>
  <sheetFormatPr baseColWidth="10" defaultColWidth="8.83203125" defaultRowHeight="15" x14ac:dyDescent="0.2"/>
  <cols>
    <col min="11" max="11" width="9.5" bestFit="1" customWidth="1"/>
  </cols>
  <sheetData>
    <row r="1" spans="1:11" s="297" customFormat="1" x14ac:dyDescent="0.2">
      <c r="A1" s="350" t="s">
        <v>312</v>
      </c>
      <c r="B1" s="350" t="s">
        <v>313</v>
      </c>
      <c r="C1" s="350" t="s">
        <v>314</v>
      </c>
      <c r="D1" s="350" t="s">
        <v>315</v>
      </c>
      <c r="E1" s="350" t="s">
        <v>316</v>
      </c>
      <c r="F1" s="350" t="s">
        <v>317</v>
      </c>
      <c r="G1" s="350" t="s">
        <v>318</v>
      </c>
      <c r="H1" s="350" t="s">
        <v>319</v>
      </c>
      <c r="I1" s="350" t="s">
        <v>320</v>
      </c>
      <c r="J1" s="350" t="s">
        <v>363</v>
      </c>
      <c r="K1" s="350" t="s">
        <v>400</v>
      </c>
    </row>
    <row r="2" spans="1:11" x14ac:dyDescent="0.2">
      <c r="A2" t="s">
        <v>282</v>
      </c>
      <c r="B2" t="s">
        <v>401</v>
      </c>
      <c r="C2" t="s">
        <v>402</v>
      </c>
      <c r="D2" t="s">
        <v>403</v>
      </c>
      <c r="E2" t="s">
        <v>404</v>
      </c>
      <c r="F2" t="s">
        <v>405</v>
      </c>
      <c r="G2" t="s">
        <v>406</v>
      </c>
      <c r="H2" t="s">
        <v>407</v>
      </c>
      <c r="I2" t="s">
        <v>408</v>
      </c>
      <c r="J2" t="s">
        <v>409</v>
      </c>
      <c r="K2" t="s">
        <v>410</v>
      </c>
    </row>
    <row r="3" spans="1:11" x14ac:dyDescent="0.2">
      <c r="A3" t="s">
        <v>283</v>
      </c>
      <c r="B3" t="s">
        <v>411</v>
      </c>
      <c r="C3" t="s">
        <v>412</v>
      </c>
      <c r="D3" t="s">
        <v>413</v>
      </c>
      <c r="E3" t="s">
        <v>414</v>
      </c>
      <c r="F3" t="s">
        <v>415</v>
      </c>
      <c r="G3" t="s">
        <v>416</v>
      </c>
      <c r="H3" t="s">
        <v>417</v>
      </c>
      <c r="I3" t="s">
        <v>418</v>
      </c>
      <c r="J3" t="s">
        <v>419</v>
      </c>
      <c r="K3" t="s">
        <v>420</v>
      </c>
    </row>
    <row r="4" spans="1:11" x14ac:dyDescent="0.2">
      <c r="A4" t="s">
        <v>284</v>
      </c>
      <c r="B4" t="s">
        <v>421</v>
      </c>
      <c r="C4" t="s">
        <v>422</v>
      </c>
      <c r="D4" t="s">
        <v>423</v>
      </c>
      <c r="E4" t="s">
        <v>424</v>
      </c>
      <c r="F4" t="s">
        <v>425</v>
      </c>
      <c r="G4" t="s">
        <v>426</v>
      </c>
      <c r="H4" t="s">
        <v>427</v>
      </c>
      <c r="I4" t="s">
        <v>428</v>
      </c>
      <c r="J4" t="s">
        <v>429</v>
      </c>
      <c r="K4" t="s">
        <v>430</v>
      </c>
    </row>
    <row r="5" spans="1:11" x14ac:dyDescent="0.2">
      <c r="A5" t="s">
        <v>285</v>
      </c>
      <c r="B5" t="s">
        <v>431</v>
      </c>
      <c r="C5" t="s">
        <v>432</v>
      </c>
      <c r="D5" t="s">
        <v>433</v>
      </c>
      <c r="E5" t="s">
        <v>434</v>
      </c>
      <c r="F5" t="s">
        <v>435</v>
      </c>
      <c r="G5" t="s">
        <v>436</v>
      </c>
      <c r="H5" t="s">
        <v>437</v>
      </c>
      <c r="I5" t="s">
        <v>438</v>
      </c>
      <c r="J5" t="s">
        <v>439</v>
      </c>
      <c r="K5" t="s">
        <v>440</v>
      </c>
    </row>
    <row r="6" spans="1:11" x14ac:dyDescent="0.2">
      <c r="A6" t="s">
        <v>286</v>
      </c>
      <c r="B6" t="s">
        <v>441</v>
      </c>
      <c r="C6" t="s">
        <v>442</v>
      </c>
      <c r="D6" t="s">
        <v>443</v>
      </c>
      <c r="E6" t="s">
        <v>444</v>
      </c>
      <c r="F6" t="s">
        <v>445</v>
      </c>
      <c r="G6" t="s">
        <v>446</v>
      </c>
      <c r="H6" t="s">
        <v>447</v>
      </c>
      <c r="I6" t="s">
        <v>448</v>
      </c>
      <c r="J6" t="s">
        <v>449</v>
      </c>
      <c r="K6" t="s">
        <v>450</v>
      </c>
    </row>
    <row r="7" spans="1:11" x14ac:dyDescent="0.2">
      <c r="A7" t="s">
        <v>287</v>
      </c>
      <c r="B7" t="s">
        <v>451</v>
      </c>
      <c r="C7" t="s">
        <v>452</v>
      </c>
      <c r="D7" t="s">
        <v>453</v>
      </c>
      <c r="E7" t="s">
        <v>454</v>
      </c>
      <c r="F7" t="s">
        <v>455</v>
      </c>
      <c r="G7" t="s">
        <v>456</v>
      </c>
      <c r="H7" t="s">
        <v>457</v>
      </c>
      <c r="I7" t="s">
        <v>458</v>
      </c>
      <c r="J7" t="s">
        <v>459</v>
      </c>
      <c r="K7" t="s">
        <v>460</v>
      </c>
    </row>
    <row r="8" spans="1:11" x14ac:dyDescent="0.2">
      <c r="A8" t="s">
        <v>288</v>
      </c>
      <c r="B8" t="s">
        <v>461</v>
      </c>
      <c r="C8" t="s">
        <v>462</v>
      </c>
      <c r="D8" t="s">
        <v>463</v>
      </c>
      <c r="E8" t="s">
        <v>464</v>
      </c>
      <c r="F8" t="s">
        <v>465</v>
      </c>
      <c r="G8" t="s">
        <v>466</v>
      </c>
      <c r="H8" t="s">
        <v>467</v>
      </c>
      <c r="I8" t="s">
        <v>468</v>
      </c>
      <c r="J8" t="s">
        <v>469</v>
      </c>
      <c r="K8" t="s">
        <v>470</v>
      </c>
    </row>
    <row r="9" spans="1:11" x14ac:dyDescent="0.2">
      <c r="A9" t="s">
        <v>289</v>
      </c>
      <c r="B9" t="s">
        <v>471</v>
      </c>
      <c r="C9" t="s">
        <v>472</v>
      </c>
      <c r="D9" t="s">
        <v>473</v>
      </c>
      <c r="E9" t="s">
        <v>474</v>
      </c>
      <c r="F9" t="s">
        <v>475</v>
      </c>
      <c r="G9" t="s">
        <v>476</v>
      </c>
      <c r="H9" t="s">
        <v>477</v>
      </c>
      <c r="I9" t="s">
        <v>478</v>
      </c>
      <c r="J9" t="s">
        <v>479</v>
      </c>
      <c r="K9" t="s">
        <v>480</v>
      </c>
    </row>
    <row r="10" spans="1:11" x14ac:dyDescent="0.2">
      <c r="A10" t="s">
        <v>321</v>
      </c>
      <c r="B10" t="s">
        <v>481</v>
      </c>
      <c r="C10" t="s">
        <v>482</v>
      </c>
      <c r="D10" t="s">
        <v>483</v>
      </c>
      <c r="E10" t="s">
        <v>484</v>
      </c>
      <c r="F10" t="s">
        <v>485</v>
      </c>
      <c r="G10" t="s">
        <v>486</v>
      </c>
      <c r="H10" t="s">
        <v>487</v>
      </c>
      <c r="I10" t="s">
        <v>488</v>
      </c>
      <c r="J10" t="s">
        <v>489</v>
      </c>
      <c r="K10" t="s">
        <v>490</v>
      </c>
    </row>
    <row r="11" spans="1:11" x14ac:dyDescent="0.2">
      <c r="A11" t="s">
        <v>322</v>
      </c>
      <c r="B11" t="s">
        <v>491</v>
      </c>
      <c r="C11" t="s">
        <v>492</v>
      </c>
      <c r="D11" t="s">
        <v>493</v>
      </c>
      <c r="E11" t="s">
        <v>494</v>
      </c>
      <c r="F11" t="s">
        <v>495</v>
      </c>
      <c r="G11" t="s">
        <v>496</v>
      </c>
      <c r="H11" t="s">
        <v>497</v>
      </c>
      <c r="I11" t="s">
        <v>498</v>
      </c>
      <c r="J11" t="s">
        <v>499</v>
      </c>
      <c r="K11" t="s">
        <v>500</v>
      </c>
    </row>
    <row r="12" spans="1:11" x14ac:dyDescent="0.2">
      <c r="A12" t="s">
        <v>291</v>
      </c>
      <c r="B12" t="s">
        <v>501</v>
      </c>
      <c r="C12" t="s">
        <v>502</v>
      </c>
      <c r="D12" t="s">
        <v>503</v>
      </c>
      <c r="E12" t="s">
        <v>504</v>
      </c>
      <c r="F12" t="s">
        <v>505</v>
      </c>
      <c r="G12" t="s">
        <v>506</v>
      </c>
      <c r="H12" t="s">
        <v>507</v>
      </c>
      <c r="I12" t="s">
        <v>508</v>
      </c>
      <c r="J12" t="s">
        <v>509</v>
      </c>
      <c r="K12" t="s">
        <v>510</v>
      </c>
    </row>
    <row r="13" spans="1:11" x14ac:dyDescent="0.2">
      <c r="A13" t="s">
        <v>292</v>
      </c>
      <c r="B13" t="s">
        <v>511</v>
      </c>
      <c r="C13" t="s">
        <v>512</v>
      </c>
      <c r="D13" t="s">
        <v>513</v>
      </c>
      <c r="E13" t="s">
        <v>514</v>
      </c>
      <c r="F13" t="s">
        <v>515</v>
      </c>
      <c r="G13" t="s">
        <v>516</v>
      </c>
      <c r="H13" t="s">
        <v>517</v>
      </c>
      <c r="I13" t="s">
        <v>518</v>
      </c>
      <c r="J13" t="s">
        <v>519</v>
      </c>
      <c r="K13" t="s">
        <v>520</v>
      </c>
    </row>
    <row r="14" spans="1:11" x14ac:dyDescent="0.2">
      <c r="A14" t="s">
        <v>293</v>
      </c>
      <c r="B14" t="s">
        <v>521</v>
      </c>
      <c r="C14" t="s">
        <v>522</v>
      </c>
      <c r="D14" t="s">
        <v>523</v>
      </c>
      <c r="E14" t="s">
        <v>524</v>
      </c>
      <c r="F14" t="s">
        <v>525</v>
      </c>
      <c r="G14" t="s">
        <v>526</v>
      </c>
      <c r="H14" t="s">
        <v>527</v>
      </c>
      <c r="I14" t="s">
        <v>528</v>
      </c>
      <c r="J14" t="s">
        <v>529</v>
      </c>
      <c r="K14" t="s">
        <v>530</v>
      </c>
    </row>
    <row r="15" spans="1:11" x14ac:dyDescent="0.2">
      <c r="A15" t="s">
        <v>294</v>
      </c>
      <c r="H15" t="s">
        <v>531</v>
      </c>
      <c r="I15" t="s">
        <v>532</v>
      </c>
      <c r="J15" t="s">
        <v>533</v>
      </c>
      <c r="K15" t="s">
        <v>534</v>
      </c>
    </row>
    <row r="16" spans="1:11" x14ac:dyDescent="0.2">
      <c r="A16" t="s">
        <v>295</v>
      </c>
      <c r="B16" t="s">
        <v>535</v>
      </c>
      <c r="C16" t="s">
        <v>536</v>
      </c>
      <c r="D16" t="s">
        <v>537</v>
      </c>
      <c r="E16" t="s">
        <v>538</v>
      </c>
      <c r="F16" t="s">
        <v>539</v>
      </c>
      <c r="G16" t="s">
        <v>540</v>
      </c>
      <c r="H16" t="s">
        <v>541</v>
      </c>
      <c r="I16" t="s">
        <v>542</v>
      </c>
      <c r="J16" t="s">
        <v>543</v>
      </c>
      <c r="K16" t="s">
        <v>544</v>
      </c>
    </row>
    <row r="17" spans="1:11" x14ac:dyDescent="0.2">
      <c r="A17" t="s">
        <v>296</v>
      </c>
      <c r="H17" t="s">
        <v>545</v>
      </c>
      <c r="I17" t="s">
        <v>546</v>
      </c>
      <c r="J17" t="s">
        <v>547</v>
      </c>
      <c r="K17" t="s">
        <v>547</v>
      </c>
    </row>
    <row r="18" spans="1:11" x14ac:dyDescent="0.2">
      <c r="A18" t="s">
        <v>297</v>
      </c>
      <c r="H18" t="s">
        <v>548</v>
      </c>
      <c r="I18" t="s">
        <v>549</v>
      </c>
      <c r="J18" t="s">
        <v>550</v>
      </c>
      <c r="K18" t="s">
        <v>551</v>
      </c>
    </row>
    <row r="19" spans="1:11" x14ac:dyDescent="0.2">
      <c r="A19" t="s">
        <v>298</v>
      </c>
      <c r="B19" t="s">
        <v>552</v>
      </c>
      <c r="C19" t="s">
        <v>553</v>
      </c>
      <c r="D19" t="s">
        <v>554</v>
      </c>
      <c r="E19" t="s">
        <v>555</v>
      </c>
      <c r="F19" t="s">
        <v>556</v>
      </c>
      <c r="G19" t="s">
        <v>557</v>
      </c>
      <c r="H19" t="s">
        <v>558</v>
      </c>
      <c r="I19" t="s">
        <v>559</v>
      </c>
      <c r="J19" t="s">
        <v>560</v>
      </c>
      <c r="K19" t="s">
        <v>561</v>
      </c>
    </row>
    <row r="20" spans="1:11" x14ac:dyDescent="0.2">
      <c r="A20" t="s">
        <v>299</v>
      </c>
      <c r="H20" t="s">
        <v>562</v>
      </c>
      <c r="I20" t="s">
        <v>563</v>
      </c>
      <c r="J20" t="s">
        <v>564</v>
      </c>
      <c r="K20" t="s">
        <v>565</v>
      </c>
    </row>
    <row r="21" spans="1:11" x14ac:dyDescent="0.2">
      <c r="A21" t="s">
        <v>300</v>
      </c>
      <c r="H21" t="s">
        <v>566</v>
      </c>
      <c r="I21" t="s">
        <v>567</v>
      </c>
      <c r="J21" t="s">
        <v>568</v>
      </c>
      <c r="K21" t="s">
        <v>569</v>
      </c>
    </row>
    <row r="22" spans="1:11" x14ac:dyDescent="0.2">
      <c r="A22" t="s">
        <v>301</v>
      </c>
      <c r="H22" t="s">
        <v>570</v>
      </c>
      <c r="I22" t="s">
        <v>570</v>
      </c>
      <c r="J22" t="s">
        <v>570</v>
      </c>
      <c r="K22" t="s">
        <v>570</v>
      </c>
    </row>
    <row r="23" spans="1:11" x14ac:dyDescent="0.2">
      <c r="A23" t="s">
        <v>302</v>
      </c>
      <c r="H23" t="s">
        <v>571</v>
      </c>
      <c r="I23" t="s">
        <v>571</v>
      </c>
      <c r="J23" t="s">
        <v>571</v>
      </c>
      <c r="K23" t="s">
        <v>572</v>
      </c>
    </row>
    <row r="24" spans="1:11" x14ac:dyDescent="0.2">
      <c r="A24" t="s">
        <v>303</v>
      </c>
      <c r="B24" t="s">
        <v>573</v>
      </c>
      <c r="C24" t="s">
        <v>574</v>
      </c>
      <c r="D24" t="s">
        <v>575</v>
      </c>
      <c r="E24" t="s">
        <v>576</v>
      </c>
      <c r="F24" t="s">
        <v>577</v>
      </c>
      <c r="G24" t="s">
        <v>578</v>
      </c>
      <c r="H24" t="s">
        <v>579</v>
      </c>
      <c r="I24" t="s">
        <v>580</v>
      </c>
      <c r="J24" t="s">
        <v>581</v>
      </c>
      <c r="K24" t="s">
        <v>582</v>
      </c>
    </row>
    <row r="25" spans="1:11" x14ac:dyDescent="0.2">
      <c r="A25" t="s">
        <v>306</v>
      </c>
      <c r="B25" t="s">
        <v>583</v>
      </c>
      <c r="C25" t="s">
        <v>584</v>
      </c>
      <c r="D25" t="s">
        <v>585</v>
      </c>
      <c r="E25" t="s">
        <v>586</v>
      </c>
      <c r="F25" t="s">
        <v>587</v>
      </c>
      <c r="G25" t="s">
        <v>588</v>
      </c>
      <c r="H25" t="s">
        <v>589</v>
      </c>
      <c r="I25" t="s">
        <v>590</v>
      </c>
      <c r="J25" t="s">
        <v>591</v>
      </c>
      <c r="K25" t="s">
        <v>592</v>
      </c>
    </row>
    <row r="26" spans="1:11" x14ac:dyDescent="0.2">
      <c r="A26" t="s">
        <v>305</v>
      </c>
      <c r="B26" t="s">
        <v>593</v>
      </c>
      <c r="C26" t="s">
        <v>594</v>
      </c>
      <c r="D26" t="s">
        <v>595</v>
      </c>
      <c r="E26" t="s">
        <v>596</v>
      </c>
      <c r="F26" t="s">
        <v>597</v>
      </c>
      <c r="G26" t="s">
        <v>598</v>
      </c>
      <c r="H26" t="s">
        <v>599</v>
      </c>
      <c r="I26" t="s">
        <v>600</v>
      </c>
      <c r="J26" t="s">
        <v>601</v>
      </c>
      <c r="K26" t="s">
        <v>602</v>
      </c>
    </row>
    <row r="27" spans="1:11" x14ac:dyDescent="0.2">
      <c r="A27" t="s">
        <v>307</v>
      </c>
      <c r="B27" t="s">
        <v>603</v>
      </c>
      <c r="C27" t="s">
        <v>604</v>
      </c>
      <c r="D27" t="s">
        <v>605</v>
      </c>
      <c r="E27" t="s">
        <v>606</v>
      </c>
      <c r="F27" t="s">
        <v>607</v>
      </c>
      <c r="G27" t="s">
        <v>608</v>
      </c>
      <c r="H27" t="s">
        <v>609</v>
      </c>
      <c r="I27" t="s">
        <v>610</v>
      </c>
      <c r="J27" t="s">
        <v>611</v>
      </c>
      <c r="K27" t="s">
        <v>612</v>
      </c>
    </row>
    <row r="28" spans="1:11" x14ac:dyDescent="0.2">
      <c r="A28" t="s">
        <v>308</v>
      </c>
      <c r="B28" t="s">
        <v>613</v>
      </c>
      <c r="C28" t="s">
        <v>614</v>
      </c>
      <c r="D28" t="s">
        <v>615</v>
      </c>
      <c r="E28" t="s">
        <v>616</v>
      </c>
      <c r="F28" t="s">
        <v>617</v>
      </c>
      <c r="G28" t="s">
        <v>618</v>
      </c>
      <c r="H28" t="s">
        <v>619</v>
      </c>
      <c r="I28" t="s">
        <v>620</v>
      </c>
      <c r="J28" t="s">
        <v>621</v>
      </c>
      <c r="K28" t="s">
        <v>622</v>
      </c>
    </row>
    <row r="29" spans="1:11" x14ac:dyDescent="0.2">
      <c r="A29" t="s">
        <v>309</v>
      </c>
      <c r="B29" t="s">
        <v>623</v>
      </c>
      <c r="C29" t="s">
        <v>624</v>
      </c>
      <c r="D29" t="s">
        <v>625</v>
      </c>
      <c r="E29" t="s">
        <v>626</v>
      </c>
      <c r="F29" t="s">
        <v>627</v>
      </c>
      <c r="G29" t="s">
        <v>628</v>
      </c>
      <c r="H29" t="s">
        <v>629</v>
      </c>
      <c r="I29" t="s">
        <v>630</v>
      </c>
      <c r="J29" t="s">
        <v>631</v>
      </c>
      <c r="K29" t="s">
        <v>632</v>
      </c>
    </row>
    <row r="30" spans="1:11" x14ac:dyDescent="0.2">
      <c r="A30" t="s">
        <v>310</v>
      </c>
      <c r="B30" t="s">
        <v>633</v>
      </c>
      <c r="C30" t="s">
        <v>634</v>
      </c>
      <c r="D30" t="s">
        <v>635</v>
      </c>
      <c r="E30" t="s">
        <v>636</v>
      </c>
      <c r="F30" t="s">
        <v>637</v>
      </c>
      <c r="G30" t="s">
        <v>638</v>
      </c>
      <c r="H30" t="s">
        <v>639</v>
      </c>
      <c r="I30" t="s">
        <v>640</v>
      </c>
      <c r="J30" t="s">
        <v>641</v>
      </c>
      <c r="K30" t="s">
        <v>642</v>
      </c>
    </row>
    <row r="31" spans="1:11" x14ac:dyDescent="0.2">
      <c r="A31" t="s">
        <v>311</v>
      </c>
      <c r="B31" t="s">
        <v>643</v>
      </c>
      <c r="C31" t="s">
        <v>644</v>
      </c>
      <c r="D31" t="s">
        <v>645</v>
      </c>
      <c r="E31" t="s">
        <v>646</v>
      </c>
      <c r="F31" t="s">
        <v>647</v>
      </c>
      <c r="G31" t="s">
        <v>648</v>
      </c>
      <c r="H31" t="s">
        <v>649</v>
      </c>
      <c r="I31" t="s">
        <v>650</v>
      </c>
      <c r="J31" t="s">
        <v>651</v>
      </c>
      <c r="K31" t="s">
        <v>652</v>
      </c>
    </row>
    <row r="32" spans="1:11" x14ac:dyDescent="0.2">
      <c r="A32" t="s">
        <v>290</v>
      </c>
      <c r="B32" t="s">
        <v>653</v>
      </c>
      <c r="C32" t="s">
        <v>654</v>
      </c>
      <c r="D32" t="s">
        <v>655</v>
      </c>
      <c r="E32" t="s">
        <v>656</v>
      </c>
      <c r="F32" t="s">
        <v>657</v>
      </c>
      <c r="G32" t="s">
        <v>658</v>
      </c>
      <c r="H32" t="s">
        <v>659</v>
      </c>
      <c r="I32" t="s">
        <v>660</v>
      </c>
      <c r="J32" t="s">
        <v>661</v>
      </c>
      <c r="K32" t="s">
        <v>662</v>
      </c>
    </row>
    <row r="33" spans="1:11" x14ac:dyDescent="0.2">
      <c r="A33" t="s">
        <v>324</v>
      </c>
      <c r="H33" t="s">
        <v>663</v>
      </c>
      <c r="I33" t="s">
        <v>664</v>
      </c>
      <c r="J33" t="s">
        <v>665</v>
      </c>
      <c r="K33" t="s">
        <v>666</v>
      </c>
    </row>
    <row r="34" spans="1:11" x14ac:dyDescent="0.2">
      <c r="A34" t="s">
        <v>304</v>
      </c>
      <c r="H34" t="s">
        <v>667</v>
      </c>
      <c r="I34" t="s">
        <v>668</v>
      </c>
      <c r="J34" t="s">
        <v>669</v>
      </c>
      <c r="K34" t="s">
        <v>670</v>
      </c>
    </row>
  </sheetData>
  <phoneticPr fontId="3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250</v>
      </c>
      <c r="B1" t="s">
        <v>281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226</v>
      </c>
    </row>
    <row r="3" spans="1:16" x14ac:dyDescent="0.2">
      <c r="B3" s="157" t="s">
        <v>227</v>
      </c>
    </row>
    <row r="4" spans="1:16" x14ac:dyDescent="0.2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230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231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232</v>
      </c>
      <c r="C8" s="160"/>
      <c r="D8" s="161">
        <f>SUMPRODUCT(B5:B6,C5:C6)</f>
        <v>0.45</v>
      </c>
    </row>
    <row r="9" spans="1:16" x14ac:dyDescent="0.2">
      <c r="B9" s="157" t="s">
        <v>233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235</v>
      </c>
      <c r="D19" s="157">
        <f>SUMPRODUCT(C15:C17,B15:B17)</f>
        <v>0.86186821348990206</v>
      </c>
    </row>
    <row r="20" spans="1:12" x14ac:dyDescent="0.2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236</v>
      </c>
    </row>
    <row r="23" spans="1:12" x14ac:dyDescent="0.2">
      <c r="A23" s="157" t="s">
        <v>237</v>
      </c>
    </row>
    <row r="24" spans="1:12" x14ac:dyDescent="0.2">
      <c r="C24" s="157" t="s">
        <v>110</v>
      </c>
    </row>
    <row r="25" spans="1:12" x14ac:dyDescent="0.2">
      <c r="B25" s="157" t="s">
        <v>33</v>
      </c>
      <c r="C25" s="157">
        <v>5654.6</v>
      </c>
    </row>
    <row r="26" spans="1:12" x14ac:dyDescent="0.2">
      <c r="B26" s="157" t="s">
        <v>238</v>
      </c>
      <c r="C26" s="157">
        <v>1065.5</v>
      </c>
      <c r="D26" s="157">
        <f>C26/C25</f>
        <v>0.18843065822516181</v>
      </c>
    </row>
    <row r="27" spans="1:12" x14ac:dyDescent="0.2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226</v>
      </c>
    </row>
    <row r="3" spans="1:16" x14ac:dyDescent="0.2">
      <c r="B3" s="157" t="s">
        <v>227</v>
      </c>
    </row>
    <row r="4" spans="1:16" x14ac:dyDescent="0.2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230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231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232</v>
      </c>
      <c r="C8" s="160"/>
      <c r="D8" s="161">
        <f>SUMPRODUCT(B5:B6,C5:C6)</f>
        <v>0.52500000000000002</v>
      </c>
    </row>
    <row r="9" spans="1:16" x14ac:dyDescent="0.2">
      <c r="B9" s="157" t="s">
        <v>233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235</v>
      </c>
      <c r="D19" s="157">
        <f>SUMPRODUCT(C15:C17,B15:B17)</f>
        <v>0.86186821348990206</v>
      </c>
    </row>
    <row r="20" spans="1:12" x14ac:dyDescent="0.2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236</v>
      </c>
    </row>
    <row r="23" spans="1:12" x14ac:dyDescent="0.2">
      <c r="A23" s="157" t="s">
        <v>237</v>
      </c>
    </row>
    <row r="24" spans="1:12" x14ac:dyDescent="0.2">
      <c r="C24" s="157" t="s">
        <v>110</v>
      </c>
    </row>
    <row r="25" spans="1:12" x14ac:dyDescent="0.2">
      <c r="B25" s="157" t="s">
        <v>33</v>
      </c>
      <c r="C25" s="157">
        <v>5654.6</v>
      </c>
    </row>
    <row r="26" spans="1:12" x14ac:dyDescent="0.2">
      <c r="B26" s="157" t="s">
        <v>238</v>
      </c>
      <c r="C26" s="157">
        <v>1065.5</v>
      </c>
      <c r="D26" s="157">
        <f>C26/C25</f>
        <v>0.18843065822516181</v>
      </c>
    </row>
    <row r="27" spans="1:12" x14ac:dyDescent="0.2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29</v>
      </c>
      <c r="B1" s="5"/>
      <c r="C1" s="5"/>
      <c r="D1" s="5"/>
      <c r="E1" s="5"/>
    </row>
    <row r="2" spans="1:19" s="6" customFormat="1" ht="15" customHeight="1" x14ac:dyDescent="0.15">
      <c r="A2" s="7" t="s">
        <v>30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71" t="s">
        <v>31</v>
      </c>
      <c r="B5" s="372"/>
      <c r="C5" s="372"/>
      <c r="D5" s="372"/>
      <c r="E5" s="372"/>
      <c r="F5" s="372"/>
      <c r="G5" s="372"/>
      <c r="H5" s="372"/>
      <c r="I5" s="372"/>
      <c r="J5" s="372"/>
      <c r="K5" s="372"/>
      <c r="L5" s="372"/>
      <c r="M5" s="372"/>
      <c r="N5" s="372"/>
      <c r="O5" s="372"/>
      <c r="P5" s="372"/>
      <c r="Q5" s="372"/>
      <c r="R5" s="372"/>
      <c r="S5" s="372"/>
    </row>
    <row r="6" spans="1:19" s="6" customFormat="1" ht="15" customHeight="1" x14ac:dyDescent="0.15">
      <c r="A6" s="373" t="s">
        <v>32</v>
      </c>
      <c r="B6" s="373"/>
      <c r="C6" s="373"/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74"/>
      <c r="S8" s="375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34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15">
      <c r="A12" s="130"/>
      <c r="B12" s="28"/>
      <c r="C12" s="28"/>
      <c r="D12" s="28" t="s">
        <v>214</v>
      </c>
      <c r="E12" s="28" t="s">
        <v>212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220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213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219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218</v>
      </c>
    </row>
    <row r="15" spans="1:19" x14ac:dyDescent="0.2">
      <c r="A15" t="s">
        <v>217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2">
      <c r="A19" t="s">
        <v>215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55" t="s">
        <v>203</v>
      </c>
      <c r="B1" s="355"/>
      <c r="C1" s="35"/>
      <c r="H1"/>
      <c r="I1"/>
      <c r="J1"/>
      <c r="X1" t="s">
        <v>27</v>
      </c>
      <c r="Z1" s="376" t="s">
        <v>83</v>
      </c>
      <c r="AA1" s="376"/>
      <c r="AB1" s="376"/>
      <c r="AC1" s="354"/>
      <c r="AD1" s="354"/>
      <c r="AE1" s="354"/>
      <c r="AF1" s="354"/>
    </row>
    <row r="2" spans="1:32" x14ac:dyDescent="0.2">
      <c r="A2" s="377" t="s">
        <v>189</v>
      </c>
      <c r="B2" s="107"/>
      <c r="C2" t="s">
        <v>190</v>
      </c>
    </row>
    <row r="3" spans="1:32" x14ac:dyDescent="0.2">
      <c r="A3" s="377"/>
      <c r="B3" s="108"/>
      <c r="C3" t="s">
        <v>191</v>
      </c>
    </row>
    <row r="4" spans="1:32" x14ac:dyDescent="0.2">
      <c r="A4" s="377"/>
      <c r="B4" s="109"/>
      <c r="C4" t="s">
        <v>192</v>
      </c>
    </row>
    <row r="5" spans="1:32" x14ac:dyDescent="0.2">
      <c r="A5" s="377"/>
      <c r="B5" s="98"/>
      <c r="C5" t="s">
        <v>179</v>
      </c>
    </row>
    <row r="7" spans="1:32" x14ac:dyDescent="0.2">
      <c r="C7" s="367" t="s">
        <v>159</v>
      </c>
      <c r="D7" s="368"/>
      <c r="E7" s="368"/>
      <c r="F7" s="369"/>
      <c r="G7" s="367" t="s">
        <v>163</v>
      </c>
      <c r="H7" s="368"/>
      <c r="I7" s="368"/>
      <c r="J7" s="369"/>
      <c r="K7" s="367" t="s">
        <v>174</v>
      </c>
      <c r="L7" s="368"/>
      <c r="M7" s="368"/>
      <c r="N7" s="369"/>
    </row>
    <row r="8" spans="1:32" s="2" customFormat="1" x14ac:dyDescent="0.2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162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168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169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170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171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172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173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164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165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166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167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193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182</v>
      </c>
      <c r="B23" s="110"/>
    </row>
    <row r="24" spans="1:12" x14ac:dyDescent="0.2">
      <c r="B24" t="s">
        <v>183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184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177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175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176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185</v>
      </c>
      <c r="B31" s="110"/>
    </row>
    <row r="32" spans="1:12" x14ac:dyDescent="0.2">
      <c r="B32" t="s">
        <v>183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184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177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175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176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181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177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178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175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176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180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177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178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175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176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186</v>
      </c>
      <c r="B53" s="105"/>
    </row>
    <row r="54" spans="1:12" x14ac:dyDescent="0.2">
      <c r="B54" t="s">
        <v>183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184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177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175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176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187</v>
      </c>
      <c r="B61" s="105"/>
    </row>
    <row r="62" spans="1:12" x14ac:dyDescent="0.2">
      <c r="B62" t="s">
        <v>183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184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177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175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176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188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610.40700000000004</v>
      </c>
      <c r="H70" s="102">
        <f>main!O54/1000</f>
        <v>405.26900000000001</v>
      </c>
      <c r="I70" s="102">
        <f>main!P54/1000</f>
        <v>813.63025000000005</v>
      </c>
      <c r="J70" s="102">
        <f>main!Q54/1000</f>
        <v>813.63025000000005</v>
      </c>
      <c r="K70" s="102">
        <f>main!R54/1000</f>
        <v>77.330250000000007</v>
      </c>
    </row>
    <row r="71" spans="1:11" x14ac:dyDescent="0.2">
      <c r="B71" t="s">
        <v>175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176</v>
      </c>
      <c r="D72" s="103"/>
      <c r="E72" s="103"/>
      <c r="F72" s="103">
        <f>F70-F71</f>
        <v>123.66570595403005</v>
      </c>
      <c r="G72" s="103">
        <f t="shared" ref="G72:K72" si="23">G70-G71</f>
        <v>-482.97633871420987</v>
      </c>
      <c r="H72" s="103">
        <f t="shared" si="23"/>
        <v>-691.81913151564004</v>
      </c>
      <c r="I72" s="103">
        <f t="shared" si="23"/>
        <v>-287.42285823898999</v>
      </c>
      <c r="J72" s="103">
        <f t="shared" si="23"/>
        <v>-291.70458060643989</v>
      </c>
      <c r="K72" s="103">
        <f t="shared" si="23"/>
        <v>-1032.62001713463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194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183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184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195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196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177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175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176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78" t="s">
        <v>103</v>
      </c>
      <c r="B2" s="378"/>
      <c r="C2" s="378"/>
      <c r="D2" s="378"/>
      <c r="E2" s="378"/>
      <c r="F2" s="378"/>
      <c r="G2" s="378"/>
      <c r="H2" s="378"/>
      <c r="I2" s="378"/>
      <c r="J2" s="378"/>
      <c r="K2" s="77"/>
    </row>
    <row r="3" spans="1:24" x14ac:dyDescent="0.2">
      <c r="A3" s="378" t="s">
        <v>104</v>
      </c>
      <c r="B3" s="378"/>
      <c r="C3" s="378"/>
      <c r="D3" s="378"/>
      <c r="E3" s="378"/>
      <c r="F3" s="378"/>
      <c r="G3" s="378"/>
      <c r="H3" s="378"/>
      <c r="I3" s="378"/>
      <c r="J3" s="378"/>
      <c r="K3" s="77"/>
    </row>
    <row r="4" spans="1:24" ht="16" thickBot="1" x14ac:dyDescent="0.25">
      <c r="A4" s="379"/>
      <c r="B4" s="379"/>
      <c r="C4" s="379"/>
      <c r="D4" s="379"/>
      <c r="E4" s="379"/>
      <c r="F4" s="379"/>
      <c r="G4" s="379"/>
      <c r="H4" s="379"/>
      <c r="I4" s="379"/>
      <c r="J4" s="379"/>
      <c r="K4" s="384" t="s">
        <v>159</v>
      </c>
      <c r="L4" s="384"/>
      <c r="M4" s="384"/>
      <c r="N4" s="384"/>
    </row>
    <row r="5" spans="1:24" x14ac:dyDescent="0.2">
      <c r="A5" s="47"/>
      <c r="B5" s="48"/>
      <c r="C5" s="380" t="s">
        <v>105</v>
      </c>
      <c r="D5" s="381"/>
      <c r="E5" s="381"/>
      <c r="F5" s="381"/>
      <c r="G5" s="381"/>
      <c r="H5" s="381"/>
      <c r="I5" s="381"/>
      <c r="J5" s="382"/>
      <c r="K5" s="78"/>
      <c r="L5" s="383" t="s">
        <v>106</v>
      </c>
      <c r="M5" s="354"/>
      <c r="N5" s="354"/>
    </row>
    <row r="6" spans="1:24" x14ac:dyDescent="0.2">
      <c r="A6" s="1" t="s">
        <v>108</v>
      </c>
      <c r="B6" s="49"/>
      <c r="C6" s="386">
        <v>2020</v>
      </c>
      <c r="D6" s="387"/>
      <c r="E6" s="387"/>
      <c r="F6" s="387"/>
      <c r="G6" s="387"/>
      <c r="H6" s="387"/>
      <c r="I6" s="387"/>
      <c r="J6" s="388"/>
      <c r="K6" s="78" t="s">
        <v>134</v>
      </c>
      <c r="L6" t="s">
        <v>109</v>
      </c>
      <c r="M6" t="s">
        <v>110</v>
      </c>
      <c r="N6" t="s">
        <v>111</v>
      </c>
      <c r="O6" t="s">
        <v>134</v>
      </c>
      <c r="P6" t="s">
        <v>109</v>
      </c>
      <c r="Q6" t="s">
        <v>110</v>
      </c>
      <c r="R6" t="s">
        <v>111</v>
      </c>
      <c r="S6" t="s">
        <v>134</v>
      </c>
    </row>
    <row r="7" spans="1:24" x14ac:dyDescent="0.2">
      <c r="A7" s="50"/>
      <c r="B7" s="51"/>
      <c r="C7" s="52" t="s">
        <v>112</v>
      </c>
      <c r="D7" s="53" t="s">
        <v>113</v>
      </c>
      <c r="E7" s="54" t="s">
        <v>114</v>
      </c>
      <c r="F7" s="55" t="s">
        <v>115</v>
      </c>
      <c r="G7" s="55" t="s">
        <v>116</v>
      </c>
      <c r="H7" s="55" t="s">
        <v>117</v>
      </c>
      <c r="I7" s="55"/>
      <c r="J7" s="56" t="s">
        <v>118</v>
      </c>
      <c r="K7" s="78"/>
    </row>
    <row r="8" spans="1:24" x14ac:dyDescent="0.2">
      <c r="A8" s="57">
        <v>23</v>
      </c>
      <c r="B8" s="58" t="s">
        <v>129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130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131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143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132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142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133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141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139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136</v>
      </c>
    </row>
    <row r="17" spans="3:23" x14ac:dyDescent="0.2">
      <c r="D17" t="s">
        <v>119</v>
      </c>
      <c r="J17" s="79" t="s">
        <v>137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138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135</v>
      </c>
    </row>
    <row r="21" spans="3:23" x14ac:dyDescent="0.2">
      <c r="C21" s="69" t="s">
        <v>120</v>
      </c>
      <c r="D21" s="69"/>
      <c r="E21" s="69"/>
      <c r="F21" s="70"/>
      <c r="G21" s="67"/>
    </row>
    <row r="22" spans="3:23" x14ac:dyDescent="0.2">
      <c r="C22" s="69"/>
      <c r="D22" s="71" t="s">
        <v>121</v>
      </c>
      <c r="E22" s="69"/>
      <c r="F22" s="70">
        <v>285.56</v>
      </c>
      <c r="G22" s="70">
        <v>5</v>
      </c>
      <c r="H22">
        <v>0</v>
      </c>
      <c r="K22" s="354" t="s">
        <v>9</v>
      </c>
      <c r="L22" s="354"/>
      <c r="M22" s="354"/>
      <c r="N22" s="354"/>
      <c r="O22" s="354" t="s">
        <v>10</v>
      </c>
      <c r="P22" s="354"/>
      <c r="Q22" s="354"/>
      <c r="R22" s="354"/>
      <c r="S22" s="354" t="s">
        <v>11</v>
      </c>
      <c r="T22" s="354"/>
      <c r="U22" s="354"/>
      <c r="V22" s="354"/>
    </row>
    <row r="23" spans="3:23" x14ac:dyDescent="0.2">
      <c r="C23" s="67"/>
      <c r="D23" s="69" t="s">
        <v>122</v>
      </c>
      <c r="E23" s="67"/>
      <c r="F23" s="70">
        <v>67.209999999999994</v>
      </c>
      <c r="G23" s="70">
        <v>13.68</v>
      </c>
      <c r="H23">
        <v>0</v>
      </c>
      <c r="K23" s="389" t="s">
        <v>107</v>
      </c>
      <c r="L23" s="389"/>
      <c r="M23" s="389"/>
      <c r="N23" s="389"/>
      <c r="O23" s="35" t="s">
        <v>145</v>
      </c>
      <c r="P23" s="35"/>
      <c r="Q23" s="35"/>
      <c r="R23" s="35"/>
    </row>
    <row r="24" spans="3:23" x14ac:dyDescent="0.2">
      <c r="C24" s="67"/>
      <c r="D24" s="69" t="s">
        <v>123</v>
      </c>
      <c r="E24" s="67"/>
      <c r="F24" s="70">
        <v>11.12</v>
      </c>
      <c r="G24" s="70">
        <v>47.8</v>
      </c>
      <c r="H24">
        <v>0</v>
      </c>
      <c r="K24" s="35" t="s">
        <v>134</v>
      </c>
      <c r="L24" s="35" t="s">
        <v>109</v>
      </c>
      <c r="M24" s="35" t="s">
        <v>110</v>
      </c>
      <c r="N24" s="35" t="s">
        <v>111</v>
      </c>
      <c r="O24" s="35" t="s">
        <v>134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57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96</v>
      </c>
      <c r="G26" s="70" t="s">
        <v>96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124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85" t="s">
        <v>252</v>
      </c>
      <c r="J28" s="82" t="s">
        <v>143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125</v>
      </c>
      <c r="F29">
        <f>557</f>
        <v>557</v>
      </c>
      <c r="G29">
        <v>166</v>
      </c>
      <c r="H29">
        <v>67</v>
      </c>
      <c r="I29" s="385"/>
      <c r="J29" s="82" t="s">
        <v>142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126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85"/>
      <c r="J30" s="82" t="s">
        <v>141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127</v>
      </c>
      <c r="F31" s="72">
        <f>F24</f>
        <v>11.12</v>
      </c>
      <c r="G31" s="72">
        <f>G24</f>
        <v>47.8</v>
      </c>
      <c r="H31">
        <f>24</f>
        <v>24</v>
      </c>
      <c r="I31" s="385"/>
      <c r="J31" s="35" t="s">
        <v>139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128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144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85" t="s">
        <v>140</v>
      </c>
      <c r="J33" s="85" t="s">
        <v>252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85"/>
      <c r="J34" t="s">
        <v>253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261</v>
      </c>
    </row>
    <row r="37" spans="3:23" x14ac:dyDescent="0.2">
      <c r="C37" t="s">
        <v>262</v>
      </c>
      <c r="D37" s="72"/>
      <c r="E37" s="72"/>
      <c r="G37">
        <v>90</v>
      </c>
      <c r="J37" t="s">
        <v>144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128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364</v>
      </c>
    </row>
    <row r="43" spans="3:23" x14ac:dyDescent="0.2">
      <c r="N43" s="82" t="s">
        <v>143</v>
      </c>
      <c r="O43" s="72">
        <v>15</v>
      </c>
    </row>
    <row r="44" spans="3:23" x14ac:dyDescent="0.2">
      <c r="N44" s="82" t="s">
        <v>142</v>
      </c>
      <c r="O44" s="72">
        <v>10</v>
      </c>
    </row>
    <row r="45" spans="3:23" x14ac:dyDescent="0.2">
      <c r="N45" s="82" t="s">
        <v>141</v>
      </c>
      <c r="O45" s="72">
        <v>5</v>
      </c>
    </row>
    <row r="46" spans="3:23" x14ac:dyDescent="0.2">
      <c r="N46" s="35" t="s">
        <v>139</v>
      </c>
      <c r="O46" s="72">
        <v>2</v>
      </c>
    </row>
    <row r="47" spans="3:23" x14ac:dyDescent="0.2">
      <c r="N47" s="316" t="s">
        <v>252</v>
      </c>
      <c r="O47">
        <v>32</v>
      </c>
    </row>
    <row r="48" spans="3:23" x14ac:dyDescent="0.2">
      <c r="N48" t="s">
        <v>253</v>
      </c>
      <c r="O48">
        <v>36.75</v>
      </c>
    </row>
    <row r="49" spans="14:15" x14ac:dyDescent="0.2">
      <c r="N49" t="s">
        <v>144</v>
      </c>
      <c r="O49">
        <v>47</v>
      </c>
    </row>
    <row r="50" spans="14:15" x14ac:dyDescent="0.2">
      <c r="N50" t="s">
        <v>128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84</v>
      </c>
    </row>
    <row r="2" spans="1:18" x14ac:dyDescent="0.2">
      <c r="A2" t="s">
        <v>85</v>
      </c>
    </row>
    <row r="4" spans="1:18" x14ac:dyDescent="0.2">
      <c r="A4" s="36" t="s">
        <v>93</v>
      </c>
      <c r="B4" s="36"/>
      <c r="C4" s="36"/>
      <c r="D4" s="36"/>
      <c r="E4" s="37" t="s">
        <v>34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35</v>
      </c>
      <c r="R4" s="18" t="s">
        <v>35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93" t="s">
        <v>86</v>
      </c>
      <c r="F6" s="393"/>
      <c r="G6" s="393"/>
      <c r="H6" s="393"/>
      <c r="I6" s="393"/>
      <c r="J6" s="393"/>
      <c r="K6" s="393"/>
      <c r="L6" s="393"/>
      <c r="M6" s="393"/>
      <c r="N6" s="393"/>
      <c r="O6" s="393"/>
      <c r="P6" s="393"/>
      <c r="Q6" s="393"/>
      <c r="R6" s="393"/>
    </row>
    <row r="7" spans="1:18" x14ac:dyDescent="0.2">
      <c r="A7" s="390" t="s">
        <v>87</v>
      </c>
      <c r="B7" s="390"/>
      <c r="C7" s="390"/>
      <c r="D7" s="390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90" t="s">
        <v>88</v>
      </c>
      <c r="C8" s="390"/>
      <c r="D8" s="390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90" t="s">
        <v>89</v>
      </c>
      <c r="C9" s="390"/>
      <c r="D9" s="390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90" t="s">
        <v>90</v>
      </c>
      <c r="C10" s="390"/>
      <c r="D10" s="390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90" t="s">
        <v>57</v>
      </c>
      <c r="C11" s="390"/>
      <c r="D11" s="390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39</v>
      </c>
      <c r="F12" s="43" t="s">
        <v>39</v>
      </c>
      <c r="G12" s="43" t="s">
        <v>39</v>
      </c>
      <c r="H12" s="43" t="s">
        <v>39</v>
      </c>
      <c r="I12" s="43" t="s">
        <v>39</v>
      </c>
      <c r="J12" s="43" t="s">
        <v>39</v>
      </c>
      <c r="K12" s="43" t="s">
        <v>39</v>
      </c>
      <c r="L12" s="43" t="s">
        <v>39</v>
      </c>
      <c r="M12" s="43" t="s">
        <v>39</v>
      </c>
      <c r="N12" s="43" t="s">
        <v>39</v>
      </c>
      <c r="O12" s="43" t="s">
        <v>39</v>
      </c>
      <c r="P12" s="43" t="s">
        <v>39</v>
      </c>
      <c r="Q12" s="43" t="s">
        <v>39</v>
      </c>
      <c r="R12" s="43" t="s">
        <v>39</v>
      </c>
    </row>
    <row r="13" spans="1:18" x14ac:dyDescent="0.2">
      <c r="A13" s="36"/>
      <c r="B13" s="36"/>
      <c r="C13" s="390" t="s">
        <v>33</v>
      </c>
      <c r="D13" s="390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91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92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102</v>
      </c>
    </row>
    <row r="19" spans="1:20" x14ac:dyDescent="0.2">
      <c r="A19" s="36"/>
      <c r="B19" s="390" t="s">
        <v>88</v>
      </c>
      <c r="C19" s="390"/>
      <c r="D19" s="390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90" t="s">
        <v>89</v>
      </c>
      <c r="C20" s="390"/>
      <c r="D20" s="390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90" t="s">
        <v>90</v>
      </c>
      <c r="C21" s="390"/>
      <c r="D21" s="390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90" t="s">
        <v>57</v>
      </c>
      <c r="C22" s="390"/>
      <c r="D22" s="390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39</v>
      </c>
      <c r="F23" s="43" t="s">
        <v>39</v>
      </c>
      <c r="G23" s="43" t="s">
        <v>39</v>
      </c>
      <c r="H23" s="43" t="s">
        <v>39</v>
      </c>
      <c r="I23" s="43" t="s">
        <v>39</v>
      </c>
      <c r="J23" s="43" t="s">
        <v>39</v>
      </c>
      <c r="K23" s="43" t="s">
        <v>39</v>
      </c>
      <c r="L23" s="43" t="s">
        <v>39</v>
      </c>
      <c r="M23" s="43" t="s">
        <v>39</v>
      </c>
      <c r="N23" s="43" t="s">
        <v>39</v>
      </c>
      <c r="O23" s="43" t="s">
        <v>39</v>
      </c>
      <c r="P23" s="43" t="s">
        <v>39</v>
      </c>
      <c r="Q23" s="43" t="s">
        <v>39</v>
      </c>
      <c r="R23" s="43" t="s">
        <v>39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91" t="s">
        <v>94</v>
      </c>
      <c r="I27" s="391"/>
      <c r="J27" s="391"/>
      <c r="K27" s="391"/>
      <c r="L27" s="391"/>
      <c r="M27" s="391"/>
      <c r="N27" s="391"/>
      <c r="O27" s="391"/>
      <c r="P27" s="391"/>
      <c r="Q27" s="391"/>
      <c r="R27" s="391"/>
      <c r="S27" s="391"/>
      <c r="T27" s="391"/>
    </row>
    <row r="28" spans="1:20" x14ac:dyDescent="0.2">
      <c r="A28" s="24" t="s">
        <v>95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88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89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90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57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96</v>
      </c>
      <c r="G33" s="26" t="s">
        <v>96</v>
      </c>
      <c r="H33" s="26" t="s">
        <v>96</v>
      </c>
      <c r="I33" s="26" t="s">
        <v>96</v>
      </c>
      <c r="J33" s="26" t="s">
        <v>96</v>
      </c>
      <c r="K33" s="26" t="s">
        <v>96</v>
      </c>
      <c r="L33" s="26" t="s">
        <v>96</v>
      </c>
      <c r="M33" s="26" t="s">
        <v>96</v>
      </c>
      <c r="N33" s="26" t="s">
        <v>96</v>
      </c>
      <c r="O33" s="26" t="s">
        <v>96</v>
      </c>
      <c r="P33" s="26"/>
      <c r="Q33" s="26" t="s">
        <v>96</v>
      </c>
      <c r="R33" s="26" t="s">
        <v>96</v>
      </c>
    </row>
    <row r="34" spans="1:18" x14ac:dyDescent="0.2">
      <c r="A34" s="24"/>
      <c r="B34" s="10"/>
      <c r="C34" s="24"/>
      <c r="D34" s="24" t="s">
        <v>97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92" t="s">
        <v>98</v>
      </c>
      <c r="G37" s="392"/>
      <c r="H37" s="392"/>
      <c r="I37" s="392"/>
      <c r="J37" s="392"/>
      <c r="K37" s="392"/>
      <c r="L37" s="392"/>
      <c r="M37" s="392"/>
      <c r="N37" s="392"/>
      <c r="O37" s="392"/>
      <c r="P37" s="392"/>
      <c r="Q37" s="392"/>
      <c r="R37" s="392"/>
    </row>
    <row r="38" spans="1:18" ht="16" x14ac:dyDescent="0.2">
      <c r="A38" s="24" t="s">
        <v>99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88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90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89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57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96</v>
      </c>
      <c r="G43" s="26" t="s">
        <v>96</v>
      </c>
      <c r="H43" s="26" t="s">
        <v>96</v>
      </c>
      <c r="I43" s="26" t="s">
        <v>96</v>
      </c>
      <c r="J43" s="26" t="s">
        <v>96</v>
      </c>
      <c r="K43" s="26" t="s">
        <v>96</v>
      </c>
      <c r="L43" s="26" t="s">
        <v>96</v>
      </c>
      <c r="M43" s="26" t="s">
        <v>96</v>
      </c>
      <c r="N43" s="26" t="s">
        <v>96</v>
      </c>
      <c r="O43" s="26" t="s">
        <v>96</v>
      </c>
      <c r="P43" s="26" t="s">
        <v>96</v>
      </c>
      <c r="Q43" s="26" t="s">
        <v>96</v>
      </c>
      <c r="R43" s="26" t="s">
        <v>96</v>
      </c>
    </row>
    <row r="44" spans="1:18" x14ac:dyDescent="0.2">
      <c r="A44" s="24"/>
      <c r="B44" s="10"/>
      <c r="C44" s="24" t="s">
        <v>97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91" t="s">
        <v>100</v>
      </c>
      <c r="G48" s="391"/>
      <c r="H48" s="391"/>
      <c r="I48" s="391"/>
      <c r="J48" s="391"/>
      <c r="K48" s="391"/>
      <c r="L48" s="391"/>
      <c r="M48" s="391"/>
      <c r="N48" s="391"/>
      <c r="O48" s="391"/>
      <c r="P48" s="391"/>
      <c r="Q48" s="391"/>
      <c r="R48" s="391"/>
    </row>
    <row r="49" spans="1:18" x14ac:dyDescent="0.2">
      <c r="A49" s="24" t="s">
        <v>95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88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90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89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57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96</v>
      </c>
      <c r="G54" s="26" t="s">
        <v>96</v>
      </c>
      <c r="H54" s="26" t="s">
        <v>96</v>
      </c>
      <c r="I54" s="26" t="s">
        <v>96</v>
      </c>
      <c r="J54" s="26" t="s">
        <v>96</v>
      </c>
      <c r="K54" s="26" t="s">
        <v>96</v>
      </c>
      <c r="L54" s="26" t="s">
        <v>96</v>
      </c>
      <c r="M54" s="26" t="s">
        <v>96</v>
      </c>
      <c r="N54" s="26" t="s">
        <v>96</v>
      </c>
      <c r="O54" s="26" t="s">
        <v>96</v>
      </c>
      <c r="P54" s="26" t="s">
        <v>96</v>
      </c>
      <c r="Q54" s="26" t="s">
        <v>96</v>
      </c>
      <c r="R54" s="26" t="s">
        <v>96</v>
      </c>
    </row>
    <row r="55" spans="1:18" x14ac:dyDescent="0.2">
      <c r="A55" s="10"/>
      <c r="B55" s="24"/>
      <c r="C55" s="10"/>
      <c r="D55" s="24" t="s">
        <v>97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29</v>
      </c>
      <c r="B1" s="5"/>
      <c r="C1" s="5"/>
      <c r="D1" s="5"/>
      <c r="E1" s="5"/>
    </row>
    <row r="2" spans="1:19" s="6" customFormat="1" ht="15" customHeight="1" x14ac:dyDescent="0.15">
      <c r="A2" s="7" t="s">
        <v>30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71" t="s">
        <v>31</v>
      </c>
      <c r="B5" s="372"/>
      <c r="C5" s="372"/>
      <c r="D5" s="372"/>
      <c r="E5" s="372"/>
      <c r="F5" s="372"/>
      <c r="G5" s="372"/>
      <c r="H5" s="372"/>
      <c r="I5" s="372"/>
      <c r="J5" s="372"/>
      <c r="K5" s="372"/>
      <c r="L5" s="372"/>
      <c r="M5" s="372"/>
      <c r="N5" s="372"/>
      <c r="O5" s="372"/>
      <c r="P5" s="372"/>
      <c r="Q5" s="372"/>
      <c r="R5" s="372"/>
      <c r="S5" s="372"/>
    </row>
    <row r="6" spans="1:19" s="6" customFormat="1" ht="15" customHeight="1" x14ac:dyDescent="0.15">
      <c r="A6" s="373" t="s">
        <v>32</v>
      </c>
      <c r="B6" s="373"/>
      <c r="C6" s="373"/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74" t="s">
        <v>33</v>
      </c>
      <c r="S8" s="375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34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35</v>
      </c>
      <c r="S9" s="18" t="s">
        <v>35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36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37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38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39</v>
      </c>
      <c r="G14" s="26" t="s">
        <v>39</v>
      </c>
      <c r="H14" s="26" t="s">
        <v>39</v>
      </c>
      <c r="I14" s="26" t="s">
        <v>39</v>
      </c>
      <c r="J14" s="26" t="s">
        <v>39</v>
      </c>
      <c r="K14" s="26" t="s">
        <v>39</v>
      </c>
      <c r="L14" s="26" t="s">
        <v>39</v>
      </c>
      <c r="M14" s="26" t="s">
        <v>39</v>
      </c>
      <c r="N14" s="26" t="s">
        <v>39</v>
      </c>
      <c r="O14" s="26" t="s">
        <v>39</v>
      </c>
      <c r="P14" s="26" t="s">
        <v>39</v>
      </c>
      <c r="Q14" s="26" t="s">
        <v>39</v>
      </c>
      <c r="R14" s="26" t="s">
        <v>39</v>
      </c>
      <c r="S14" s="26" t="s">
        <v>40</v>
      </c>
    </row>
    <row r="15" spans="1:19" s="6" customFormat="1" ht="16.5" customHeight="1" x14ac:dyDescent="0.15">
      <c r="A15" s="10"/>
      <c r="B15" s="10"/>
      <c r="C15" s="10"/>
      <c r="D15" s="10" t="s">
        <v>41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42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43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44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45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39</v>
      </c>
      <c r="G22" s="26" t="s">
        <v>39</v>
      </c>
      <c r="H22" s="26" t="s">
        <v>39</v>
      </c>
      <c r="I22" s="26" t="s">
        <v>39</v>
      </c>
      <c r="J22" s="26" t="s">
        <v>39</v>
      </c>
      <c r="K22" s="26" t="s">
        <v>39</v>
      </c>
      <c r="L22" s="26" t="s">
        <v>39</v>
      </c>
      <c r="M22" s="26" t="s">
        <v>39</v>
      </c>
      <c r="N22" s="26" t="s">
        <v>39</v>
      </c>
      <c r="O22" s="26" t="s">
        <v>39</v>
      </c>
      <c r="P22" s="26" t="s">
        <v>39</v>
      </c>
      <c r="Q22" s="26" t="s">
        <v>39</v>
      </c>
      <c r="R22" s="26" t="s">
        <v>39</v>
      </c>
      <c r="S22" s="26" t="s">
        <v>40</v>
      </c>
    </row>
    <row r="23" spans="1:20" s="6" customFormat="1" ht="15" customHeight="1" x14ac:dyDescent="0.15">
      <c r="A23" s="10"/>
      <c r="B23" s="10"/>
      <c r="C23" s="10"/>
      <c r="D23" s="10" t="s">
        <v>46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47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48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49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50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51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52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53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39</v>
      </c>
      <c r="G32" s="26" t="s">
        <v>39</v>
      </c>
      <c r="H32" s="26" t="s">
        <v>39</v>
      </c>
      <c r="I32" s="26" t="s">
        <v>39</v>
      </c>
      <c r="J32" s="26" t="s">
        <v>39</v>
      </c>
      <c r="K32" s="26" t="s">
        <v>39</v>
      </c>
      <c r="L32" s="26" t="s">
        <v>39</v>
      </c>
      <c r="M32" s="26" t="s">
        <v>39</v>
      </c>
      <c r="N32" s="26" t="s">
        <v>39</v>
      </c>
      <c r="O32" s="26" t="s">
        <v>39</v>
      </c>
      <c r="P32" s="26" t="s">
        <v>39</v>
      </c>
      <c r="Q32" s="26" t="s">
        <v>39</v>
      </c>
      <c r="R32" s="26" t="s">
        <v>39</v>
      </c>
      <c r="S32" s="26" t="s">
        <v>40</v>
      </c>
    </row>
    <row r="33" spans="1:24" s="6" customFormat="1" ht="15" customHeight="1" x14ac:dyDescent="0.15">
      <c r="A33" s="10"/>
      <c r="B33" s="10"/>
      <c r="C33" s="10"/>
      <c r="D33" s="10" t="s">
        <v>41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54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149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55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150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56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57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151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39</v>
      </c>
      <c r="G39" s="26" t="s">
        <v>39</v>
      </c>
      <c r="H39" s="26" t="s">
        <v>39</v>
      </c>
      <c r="I39" s="26" t="s">
        <v>39</v>
      </c>
      <c r="J39" s="26" t="s">
        <v>39</v>
      </c>
      <c r="K39" s="26" t="s">
        <v>39</v>
      </c>
      <c r="L39" s="26" t="s">
        <v>39</v>
      </c>
      <c r="M39" s="26" t="s">
        <v>39</v>
      </c>
      <c r="N39" s="26" t="s">
        <v>39</v>
      </c>
      <c r="O39" s="26" t="s">
        <v>39</v>
      </c>
      <c r="P39" s="26" t="s">
        <v>39</v>
      </c>
      <c r="Q39" s="26" t="s">
        <v>39</v>
      </c>
      <c r="R39" s="26" t="s">
        <v>39</v>
      </c>
      <c r="S39" s="26" t="s">
        <v>40</v>
      </c>
    </row>
    <row r="40" spans="1:24" s="6" customFormat="1" ht="15" customHeight="1" x14ac:dyDescent="0.15">
      <c r="A40" s="10"/>
      <c r="B40" s="10"/>
      <c r="C40" s="10"/>
      <c r="D40" s="10" t="s">
        <v>41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152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153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58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154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59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57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39</v>
      </c>
      <c r="G45" s="26" t="s">
        <v>39</v>
      </c>
      <c r="H45" s="26" t="s">
        <v>39</v>
      </c>
      <c r="I45" s="26" t="s">
        <v>39</v>
      </c>
      <c r="J45" s="26" t="s">
        <v>39</v>
      </c>
      <c r="K45" s="26" t="s">
        <v>39</v>
      </c>
      <c r="L45" s="26" t="s">
        <v>39</v>
      </c>
      <c r="M45" s="26" t="s">
        <v>39</v>
      </c>
      <c r="N45" s="26" t="s">
        <v>39</v>
      </c>
      <c r="O45" s="26" t="s">
        <v>39</v>
      </c>
      <c r="P45" s="26" t="s">
        <v>39</v>
      </c>
      <c r="Q45" s="26" t="s">
        <v>39</v>
      </c>
      <c r="R45" s="26" t="s">
        <v>39</v>
      </c>
      <c r="S45" s="26" t="s">
        <v>40</v>
      </c>
    </row>
    <row r="46" spans="1:24" s="6" customFormat="1" ht="15" customHeight="1" x14ac:dyDescent="0.15">
      <c r="A46" s="10"/>
      <c r="B46" s="10"/>
      <c r="C46" s="10"/>
      <c r="D46" s="10" t="s">
        <v>41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147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155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156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60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61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62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63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64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65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66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67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57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39</v>
      </c>
      <c r="G61" s="26" t="s">
        <v>39</v>
      </c>
      <c r="H61" s="26" t="s">
        <v>39</v>
      </c>
      <c r="I61" s="26" t="s">
        <v>39</v>
      </c>
      <c r="J61" s="26" t="s">
        <v>39</v>
      </c>
      <c r="K61" s="26" t="s">
        <v>39</v>
      </c>
      <c r="L61" s="26" t="s">
        <v>39</v>
      </c>
      <c r="M61" s="26" t="s">
        <v>39</v>
      </c>
      <c r="N61" s="26" t="s">
        <v>39</v>
      </c>
      <c r="O61" s="26" t="s">
        <v>39</v>
      </c>
      <c r="P61" s="26" t="s">
        <v>39</v>
      </c>
      <c r="Q61" s="26" t="s">
        <v>39</v>
      </c>
      <c r="R61" s="26" t="s">
        <v>39</v>
      </c>
      <c r="S61" s="26" t="s">
        <v>40</v>
      </c>
    </row>
    <row r="62" spans="1:19" s="6" customFormat="1" ht="15" customHeight="1" x14ac:dyDescent="0.15">
      <c r="A62" s="10"/>
      <c r="B62" s="10"/>
      <c r="C62" s="10"/>
      <c r="D62" s="10" t="s">
        <v>41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68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69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70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71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72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73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74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75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36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39</v>
      </c>
      <c r="G74" s="26" t="s">
        <v>39</v>
      </c>
      <c r="H74" s="26" t="s">
        <v>39</v>
      </c>
      <c r="I74" s="26" t="s">
        <v>39</v>
      </c>
      <c r="J74" s="26" t="s">
        <v>39</v>
      </c>
      <c r="K74" s="26" t="s">
        <v>39</v>
      </c>
      <c r="L74" s="26" t="s">
        <v>39</v>
      </c>
      <c r="M74" s="26" t="s">
        <v>39</v>
      </c>
      <c r="N74" s="26" t="s">
        <v>39</v>
      </c>
      <c r="O74" s="26" t="s">
        <v>39</v>
      </c>
      <c r="P74" s="26" t="s">
        <v>39</v>
      </c>
      <c r="Q74" s="26" t="s">
        <v>39</v>
      </c>
      <c r="R74" s="26" t="s">
        <v>39</v>
      </c>
      <c r="S74" s="26" t="s">
        <v>40</v>
      </c>
    </row>
    <row r="75" spans="1:19" s="6" customFormat="1" ht="15" customHeight="1" x14ac:dyDescent="0.15">
      <c r="A75" s="10"/>
      <c r="B75" s="10"/>
      <c r="C75" s="10"/>
      <c r="D75" s="394" t="s">
        <v>41</v>
      </c>
      <c r="E75" s="395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76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65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66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57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39</v>
      </c>
      <c r="G81" s="26" t="s">
        <v>39</v>
      </c>
      <c r="H81" s="26" t="s">
        <v>39</v>
      </c>
      <c r="I81" s="26" t="s">
        <v>39</v>
      </c>
      <c r="J81" s="26" t="s">
        <v>39</v>
      </c>
      <c r="K81" s="26" t="s">
        <v>39</v>
      </c>
      <c r="L81" s="26" t="s">
        <v>39</v>
      </c>
      <c r="M81" s="26" t="s">
        <v>39</v>
      </c>
      <c r="N81" s="26" t="s">
        <v>39</v>
      </c>
      <c r="O81" s="26" t="s">
        <v>39</v>
      </c>
      <c r="P81" s="26" t="s">
        <v>39</v>
      </c>
      <c r="Q81" s="26" t="s">
        <v>39</v>
      </c>
      <c r="R81" s="26" t="s">
        <v>39</v>
      </c>
      <c r="S81" s="26" t="s">
        <v>40</v>
      </c>
    </row>
    <row r="82" spans="1:20" s="6" customFormat="1" ht="15" customHeight="1" x14ac:dyDescent="0.15">
      <c r="A82" s="10"/>
      <c r="B82" s="28"/>
      <c r="C82" s="10"/>
      <c r="D82" s="28" t="s">
        <v>41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77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78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79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80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81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82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schemas.openxmlformats.org/package/2006/metadata/core-properties"/>
    <ds:schemaRef ds:uri="http://schemas.microsoft.com/office/infopath/2007/PartnerControls"/>
    <ds:schemaRef ds:uri="cac5d118-ba7b-4807-b700-df6f95cfff50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66951ee6-cd93-49c7-9437-e871b2a117d6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main</vt:lpstr>
      <vt:lpstr>new ui</vt:lpstr>
      <vt:lpstr>PPP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2021-06-01T19:46:02Z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