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715A5811-71FA-4CF4-A6CA-9E31485824B7}" xr6:coauthVersionLast="47" xr6:coauthVersionMax="47" xr10:uidLastSave="{00000000-0000-0000-0000-000000000000}"/>
  <bookViews>
    <workbookView xWindow="-28908" yWindow="-72" windowWidth="29016" windowHeight="15696" firstSheet="3" activeTab="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Deflators" sheetId="70" r:id="rId23"/>
    <sheet name="Taxes" sheetId="48"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3" i="26" l="1"/>
  <c r="V13" i="26"/>
  <c r="W13" i="26"/>
  <c r="X13" i="26"/>
  <c r="Y13" i="26"/>
  <c r="Z13" i="26"/>
  <c r="AA13" i="26"/>
  <c r="AB13" i="26"/>
  <c r="AC13" i="26"/>
  <c r="AB51" i="72" l="1"/>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49" i="30"/>
  <c r="AD50" i="30"/>
  <c r="AD51" i="30"/>
  <c r="AD52" i="30"/>
  <c r="AD53" i="30"/>
  <c r="AD54" i="30"/>
  <c r="AD55" i="30"/>
  <c r="AD56" i="30"/>
  <c r="AD57" i="30"/>
  <c r="AD58" i="30"/>
  <c r="AD59" i="30"/>
  <c r="AD60" i="30"/>
  <c r="AD61" i="30"/>
  <c r="AD62" i="30"/>
  <c r="AD63" i="30"/>
  <c r="AD64" i="30"/>
  <c r="AD48" i="30"/>
  <c r="U9" i="26"/>
  <c r="U11" i="26" s="1"/>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Y46" i="70" s="1"/>
  <c r="Y14" i="70" s="1"/>
  <c r="Y24" i="70" s="1"/>
  <c r="F3" i="71" s="1"/>
  <c r="X62" i="70"/>
  <c r="W62" i="70"/>
  <c r="V62" i="70"/>
  <c r="U62" i="70"/>
  <c r="T62" i="70"/>
  <c r="S62" i="70"/>
  <c r="AF61" i="70"/>
  <c r="AE61" i="70"/>
  <c r="AF45" i="70" s="1"/>
  <c r="AF12" i="70" s="1"/>
  <c r="AF23" i="70" s="1"/>
  <c r="AD61" i="70"/>
  <c r="AC61" i="70"/>
  <c r="AB61" i="70"/>
  <c r="AA61" i="70"/>
  <c r="Z61" i="70"/>
  <c r="Y61" i="70"/>
  <c r="X61" i="70"/>
  <c r="W61" i="70"/>
  <c r="W45" i="70" s="1"/>
  <c r="W12" i="70" s="1"/>
  <c r="W23" i="70" s="1"/>
  <c r="D2" i="71" s="1"/>
  <c r="V61" i="70"/>
  <c r="U61" i="70"/>
  <c r="T61" i="70"/>
  <c r="S61" i="70"/>
  <c r="U49" i="70"/>
  <c r="U20" i="70" s="1"/>
  <c r="U27" i="70" s="1"/>
  <c r="T49" i="70"/>
  <c r="T20" i="70" s="1"/>
  <c r="T27" i="70" s="1"/>
  <c r="S49" i="70"/>
  <c r="S20" i="70" s="1"/>
  <c r="R49" i="70"/>
  <c r="R20" i="70" s="1"/>
  <c r="R27" i="70" s="1"/>
  <c r="Q49" i="70"/>
  <c r="Q20" i="70" s="1"/>
  <c r="Q27" i="70" s="1"/>
  <c r="P49" i="70"/>
  <c r="P20" i="70" s="1"/>
  <c r="P27" i="70" s="1"/>
  <c r="O49" i="70"/>
  <c r="O20" i="70" s="1"/>
  <c r="O27" i="70" s="1"/>
  <c r="N49" i="70"/>
  <c r="N20" i="70" s="1"/>
  <c r="N27" i="70" s="1"/>
  <c r="M49" i="70"/>
  <c r="M20" i="70" s="1"/>
  <c r="M27" i="70" s="1"/>
  <c r="L49" i="70"/>
  <c r="L20" i="70" s="1"/>
  <c r="L27" i="70" s="1"/>
  <c r="K49" i="70"/>
  <c r="K20" i="70" s="1"/>
  <c r="K27" i="70" s="1"/>
  <c r="J49" i="70"/>
  <c r="J20" i="70" s="1"/>
  <c r="J27" i="70" s="1"/>
  <c r="I49" i="70"/>
  <c r="H49" i="70"/>
  <c r="H20" i="70" s="1"/>
  <c r="H27" i="70" s="1"/>
  <c r="G49" i="70"/>
  <c r="G20" i="70" s="1"/>
  <c r="G27" i="70" s="1"/>
  <c r="F49" i="70"/>
  <c r="F20" i="70" s="1"/>
  <c r="F27" i="70" s="1"/>
  <c r="E49" i="70"/>
  <c r="E20" i="70" s="1"/>
  <c r="E27" i="70" s="1"/>
  <c r="D49" i="70"/>
  <c r="D20" i="70" s="1"/>
  <c r="D27" i="70" s="1"/>
  <c r="U48" i="70"/>
  <c r="T48" i="70"/>
  <c r="T18" i="70" s="1"/>
  <c r="T26" i="70" s="1"/>
  <c r="S48" i="70"/>
  <c r="R48" i="70"/>
  <c r="R18" i="70" s="1"/>
  <c r="R26" i="70" s="1"/>
  <c r="Q48" i="70"/>
  <c r="Q18" i="70" s="1"/>
  <c r="Q26" i="70" s="1"/>
  <c r="P48" i="70"/>
  <c r="P18" i="70" s="1"/>
  <c r="P26" i="70" s="1"/>
  <c r="O48" i="70"/>
  <c r="O18" i="70" s="1"/>
  <c r="O26" i="70" s="1"/>
  <c r="N48" i="70"/>
  <c r="N18" i="70" s="1"/>
  <c r="N26" i="70" s="1"/>
  <c r="M48" i="70"/>
  <c r="M18" i="70" s="1"/>
  <c r="M26" i="70" s="1"/>
  <c r="L48" i="70"/>
  <c r="L18" i="70" s="1"/>
  <c r="L26" i="70" s="1"/>
  <c r="K48" i="70"/>
  <c r="J48" i="70"/>
  <c r="J18" i="70" s="1"/>
  <c r="J26" i="70" s="1"/>
  <c r="I48" i="70"/>
  <c r="I18" i="70" s="1"/>
  <c r="I26" i="70" s="1"/>
  <c r="H48" i="70"/>
  <c r="H18" i="70" s="1"/>
  <c r="H26" i="70" s="1"/>
  <c r="G48" i="70"/>
  <c r="G18" i="70" s="1"/>
  <c r="G26" i="70" s="1"/>
  <c r="F48" i="70"/>
  <c r="F18" i="70" s="1"/>
  <c r="F26" i="70" s="1"/>
  <c r="E48" i="70"/>
  <c r="E18" i="70" s="1"/>
  <c r="E26" i="70" s="1"/>
  <c r="D48" i="70"/>
  <c r="D18" i="70" s="1"/>
  <c r="D26" i="70" s="1"/>
  <c r="U47" i="70"/>
  <c r="U16" i="70" s="1"/>
  <c r="U25" i="70" s="1"/>
  <c r="T47" i="70"/>
  <c r="T16" i="70" s="1"/>
  <c r="T25" i="70" s="1"/>
  <c r="S47" i="70"/>
  <c r="S16" i="70" s="1"/>
  <c r="S25" i="70" s="1"/>
  <c r="R47" i="70"/>
  <c r="R16" i="70" s="1"/>
  <c r="R25" i="70" s="1"/>
  <c r="Q47" i="70"/>
  <c r="Q16" i="70" s="1"/>
  <c r="Q25" i="70" s="1"/>
  <c r="P47" i="70"/>
  <c r="P16" i="70" s="1"/>
  <c r="P25" i="70" s="1"/>
  <c r="O47" i="70"/>
  <c r="O16" i="70" s="1"/>
  <c r="O25" i="70" s="1"/>
  <c r="N47" i="70"/>
  <c r="N16" i="70" s="1"/>
  <c r="N25" i="70" s="1"/>
  <c r="M47" i="70"/>
  <c r="M16" i="70" s="1"/>
  <c r="L47" i="70"/>
  <c r="L16" i="70" s="1"/>
  <c r="L25" i="70" s="1"/>
  <c r="K47" i="70"/>
  <c r="K16" i="70" s="1"/>
  <c r="K25" i="70" s="1"/>
  <c r="J47" i="70"/>
  <c r="J16" i="70" s="1"/>
  <c r="J25" i="70" s="1"/>
  <c r="I47" i="70"/>
  <c r="I16" i="70" s="1"/>
  <c r="I25" i="70" s="1"/>
  <c r="H47" i="70"/>
  <c r="H16" i="70" s="1"/>
  <c r="H25" i="70" s="1"/>
  <c r="G47" i="70"/>
  <c r="G16" i="70" s="1"/>
  <c r="G25" i="70" s="1"/>
  <c r="F47" i="70"/>
  <c r="F16" i="70" s="1"/>
  <c r="F25" i="70" s="1"/>
  <c r="E47" i="70"/>
  <c r="E16" i="70" s="1"/>
  <c r="E25" i="70" s="1"/>
  <c r="D47" i="70"/>
  <c r="D16" i="70" s="1"/>
  <c r="D25" i="70" s="1"/>
  <c r="U46" i="70"/>
  <c r="U14" i="70" s="1"/>
  <c r="U24" i="70" s="1"/>
  <c r="T46" i="70"/>
  <c r="T14" i="70" s="1"/>
  <c r="T24" i="70" s="1"/>
  <c r="S46" i="70"/>
  <c r="S14" i="70" s="1"/>
  <c r="S24" i="70" s="1"/>
  <c r="R46" i="70"/>
  <c r="R14" i="70" s="1"/>
  <c r="R24" i="70" s="1"/>
  <c r="Q46" i="70"/>
  <c r="Q14" i="70" s="1"/>
  <c r="Q24" i="70" s="1"/>
  <c r="P46" i="70"/>
  <c r="P14" i="70" s="1"/>
  <c r="P24" i="70" s="1"/>
  <c r="O46" i="70"/>
  <c r="O14" i="70" s="1"/>
  <c r="O24" i="70" s="1"/>
  <c r="N46" i="70"/>
  <c r="N14" i="70" s="1"/>
  <c r="N24" i="70" s="1"/>
  <c r="M46" i="70"/>
  <c r="M14" i="70" s="1"/>
  <c r="M24" i="70" s="1"/>
  <c r="L46" i="70"/>
  <c r="L14" i="70" s="1"/>
  <c r="L24" i="70" s="1"/>
  <c r="K46" i="70"/>
  <c r="J46" i="70"/>
  <c r="J14" i="70" s="1"/>
  <c r="J24" i="70" s="1"/>
  <c r="I46" i="70"/>
  <c r="I14" i="70" s="1"/>
  <c r="I24" i="70" s="1"/>
  <c r="H46" i="70"/>
  <c r="H14" i="70" s="1"/>
  <c r="H24" i="70" s="1"/>
  <c r="G46" i="70"/>
  <c r="G14" i="70" s="1"/>
  <c r="G24" i="70" s="1"/>
  <c r="F46" i="70"/>
  <c r="F14" i="70" s="1"/>
  <c r="F24" i="70" s="1"/>
  <c r="E46" i="70"/>
  <c r="E14" i="70" s="1"/>
  <c r="E24" i="70" s="1"/>
  <c r="D46" i="70"/>
  <c r="D14" i="70" s="1"/>
  <c r="D24" i="70" s="1"/>
  <c r="AD45" i="70"/>
  <c r="AD12" i="70" s="1"/>
  <c r="AD23" i="70" s="1"/>
  <c r="U45" i="70"/>
  <c r="U12" i="70" s="1"/>
  <c r="U23" i="70" s="1"/>
  <c r="T45" i="70"/>
  <c r="T12" i="70" s="1"/>
  <c r="T23" i="70" s="1"/>
  <c r="S45" i="70"/>
  <c r="S12" i="70" s="1"/>
  <c r="S23" i="70" s="1"/>
  <c r="R45" i="70"/>
  <c r="R12" i="70" s="1"/>
  <c r="R23" i="70" s="1"/>
  <c r="Q45" i="70"/>
  <c r="Q12" i="70" s="1"/>
  <c r="Q23" i="70" s="1"/>
  <c r="P45" i="70"/>
  <c r="P12" i="70" s="1"/>
  <c r="P23" i="70" s="1"/>
  <c r="O45" i="70"/>
  <c r="O12" i="70" s="1"/>
  <c r="O23" i="70" s="1"/>
  <c r="N45" i="70"/>
  <c r="N12" i="70" s="1"/>
  <c r="N23" i="70" s="1"/>
  <c r="M45" i="70"/>
  <c r="M12" i="70" s="1"/>
  <c r="M23" i="70" s="1"/>
  <c r="L45" i="70"/>
  <c r="L12" i="70" s="1"/>
  <c r="L23" i="70" s="1"/>
  <c r="K45" i="70"/>
  <c r="K12" i="70" s="1"/>
  <c r="K23" i="70" s="1"/>
  <c r="J45" i="70"/>
  <c r="J12" i="70" s="1"/>
  <c r="J23" i="70" s="1"/>
  <c r="I45" i="70"/>
  <c r="I12" i="70" s="1"/>
  <c r="I23" i="70" s="1"/>
  <c r="H45" i="70"/>
  <c r="H12" i="70" s="1"/>
  <c r="H23" i="70" s="1"/>
  <c r="G45" i="70"/>
  <c r="G12" i="70" s="1"/>
  <c r="G23" i="70" s="1"/>
  <c r="F45" i="70"/>
  <c r="F12" i="70" s="1"/>
  <c r="F23" i="70" s="1"/>
  <c r="E45" i="70"/>
  <c r="E12" i="70" s="1"/>
  <c r="E23" i="70" s="1"/>
  <c r="D45" i="70"/>
  <c r="D12" i="70" s="1"/>
  <c r="D23" i="70" s="1"/>
  <c r="S27" i="70"/>
  <c r="M25" i="70"/>
  <c r="I20" i="70"/>
  <c r="I27" i="70" s="1"/>
  <c r="U18" i="70"/>
  <c r="U26" i="70" s="1"/>
  <c r="S18" i="70"/>
  <c r="S26" i="70" s="1"/>
  <c r="K18" i="70"/>
  <c r="K26" i="70" s="1"/>
  <c r="K14" i="70"/>
  <c r="K24"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W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U21" i="59"/>
  <c r="AD46" i="59" s="1"/>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C12" i="33"/>
  <c r="AB12"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J29" i="49"/>
  <c r="R28" i="49"/>
  <c r="J28" i="49"/>
  <c r="T26" i="49"/>
  <c r="T30" i="59" s="1"/>
  <c r="R26" i="49"/>
  <c r="P26" i="49"/>
  <c r="L26" i="49"/>
  <c r="J26" i="49"/>
  <c r="J30" i="59" s="1"/>
  <c r="D26" i="49"/>
  <c r="R12" i="49"/>
  <c r="J12" i="49"/>
  <c r="U11" i="49"/>
  <c r="T11" i="49"/>
  <c r="T12" i="49" s="1"/>
  <c r="T28" i="49" s="1"/>
  <c r="S11" i="49"/>
  <c r="S12" i="49" s="1"/>
  <c r="R11" i="49"/>
  <c r="Q11" i="49"/>
  <c r="Q12" i="49" s="1"/>
  <c r="P11" i="49"/>
  <c r="O11" i="49"/>
  <c r="N11" i="49"/>
  <c r="M11" i="49"/>
  <c r="L11" i="49"/>
  <c r="L12" i="49" s="1"/>
  <c r="K11" i="49"/>
  <c r="K12" i="49" s="1"/>
  <c r="J11" i="49"/>
  <c r="I11" i="49"/>
  <c r="I12" i="49" s="1"/>
  <c r="I28" i="49" s="1"/>
  <c r="I29" i="49" s="1"/>
  <c r="H11" i="49"/>
  <c r="G11" i="49"/>
  <c r="G12" i="49" s="1"/>
  <c r="F11" i="49"/>
  <c r="E11" i="49"/>
  <c r="D11" i="49"/>
  <c r="D12" i="49" s="1"/>
  <c r="D28" i="49" s="1"/>
  <c r="U10" i="49"/>
  <c r="T10" i="49"/>
  <c r="S10" i="49"/>
  <c r="S26" i="49" s="1"/>
  <c r="R10" i="49"/>
  <c r="Q10" i="49"/>
  <c r="Q26" i="49" s="1"/>
  <c r="Q30" i="59" s="1"/>
  <c r="P10" i="49"/>
  <c r="O10" i="49"/>
  <c r="N10" i="49"/>
  <c r="M10" i="49"/>
  <c r="L10" i="49"/>
  <c r="K10" i="49"/>
  <c r="K26" i="49" s="1"/>
  <c r="J10" i="49"/>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1" i="20"/>
  <c r="N51" i="20"/>
  <c r="M51" i="20"/>
  <c r="L51" i="20"/>
  <c r="K51" i="20"/>
  <c r="J51" i="20"/>
  <c r="I51" i="20"/>
  <c r="H51" i="20"/>
  <c r="G51" i="20"/>
  <c r="F51" i="20"/>
  <c r="E51" i="20"/>
  <c r="D51" i="20"/>
  <c r="O50" i="20"/>
  <c r="N50" i="20"/>
  <c r="M50" i="20"/>
  <c r="L50" i="20"/>
  <c r="K50" i="20"/>
  <c r="J50" i="20"/>
  <c r="I50" i="20"/>
  <c r="H50" i="20"/>
  <c r="G50" i="20"/>
  <c r="F50" i="20"/>
  <c r="E50" i="20"/>
  <c r="D50" i="20"/>
  <c r="O49" i="20"/>
  <c r="N49" i="20"/>
  <c r="M49" i="20"/>
  <c r="L49" i="20"/>
  <c r="K49" i="20"/>
  <c r="J49" i="20"/>
  <c r="AC33" i="20"/>
  <c r="AB33" i="20"/>
  <c r="AA33" i="20"/>
  <c r="Z33" i="20"/>
  <c r="Y33" i="20"/>
  <c r="X33" i="20"/>
  <c r="W33" i="20"/>
  <c r="V33" i="20"/>
  <c r="U31" i="20"/>
  <c r="U34" i="20" s="1"/>
  <c r="T31" i="20"/>
  <c r="T34" i="20" s="1"/>
  <c r="S31" i="20"/>
  <c r="S34" i="20" s="1"/>
  <c r="R31" i="20"/>
  <c r="R34" i="20" s="1"/>
  <c r="Q31" i="20"/>
  <c r="Q34" i="20" s="1"/>
  <c r="P31" i="20"/>
  <c r="O31" i="20"/>
  <c r="N31" i="20"/>
  <c r="N34" i="20" s="1"/>
  <c r="M31" i="20"/>
  <c r="M34" i="20" s="1"/>
  <c r="M33" i="20" s="1"/>
  <c r="L31" i="20"/>
  <c r="L34" i="20" s="1"/>
  <c r="K31" i="20"/>
  <c r="K34" i="20" s="1"/>
  <c r="J31" i="20"/>
  <c r="J34" i="20" s="1"/>
  <c r="I31" i="20"/>
  <c r="H31" i="20"/>
  <c r="U11" i="20"/>
  <c r="T11" i="20"/>
  <c r="S11" i="20"/>
  <c r="R11" i="20"/>
  <c r="Q11" i="20"/>
  <c r="P11" i="20"/>
  <c r="O11" i="20"/>
  <c r="N11" i="20"/>
  <c r="M11" i="20"/>
  <c r="L11" i="20"/>
  <c r="K11" i="20"/>
  <c r="J11" i="20"/>
  <c r="I11" i="20"/>
  <c r="H11" i="20"/>
  <c r="AC141" i="26"/>
  <c r="AB141" i="26"/>
  <c r="AA141" i="26"/>
  <c r="Z141" i="26"/>
  <c r="Y141" i="26"/>
  <c r="X141" i="26"/>
  <c r="W141" i="26"/>
  <c r="V141" i="26"/>
  <c r="U141" i="26"/>
  <c r="T141" i="26"/>
  <c r="Q140" i="26"/>
  <c r="Q63" i="20" s="1"/>
  <c r="P140" i="26"/>
  <c r="I9" i="50" s="1"/>
  <c r="O140" i="26"/>
  <c r="O63" i="20" s="1"/>
  <c r="N140" i="26"/>
  <c r="N63" i="20" s="1"/>
  <c r="M140" i="26"/>
  <c r="M63" i="20" s="1"/>
  <c r="L140" i="26"/>
  <c r="E9" i="50" s="1"/>
  <c r="K140" i="26"/>
  <c r="K63" i="20" s="1"/>
  <c r="J140" i="26"/>
  <c r="J63" i="20" s="1"/>
  <c r="I140" i="26"/>
  <c r="I63" i="20" s="1"/>
  <c r="H140" i="26"/>
  <c r="H63" i="20" s="1"/>
  <c r="AD117" i="26"/>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10" i="26"/>
  <c r="U36" i="26" s="1"/>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5" i="35"/>
  <c r="D7" i="55" s="1"/>
  <c r="D83"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P23" i="25"/>
  <c r="U23" i="25"/>
  <c r="T23" i="25"/>
  <c r="R23" i="25"/>
  <c r="S23" i="25"/>
  <c r="O23" i="25"/>
  <c r="Q23" i="25"/>
  <c r="N23" i="25"/>
  <c r="AE45" i="70" l="1"/>
  <c r="AE12" i="70" s="1"/>
  <c r="AE23" i="70" s="1"/>
  <c r="Y45" i="70"/>
  <c r="Y12" i="70" s="1"/>
  <c r="Y23" i="70" s="1"/>
  <c r="F2" i="71" s="1"/>
  <c r="AA46" i="70"/>
  <c r="AA14" i="70" s="1"/>
  <c r="AA24" i="70" s="1"/>
  <c r="H3" i="71" s="1"/>
  <c r="AC47" i="70"/>
  <c r="Z46" i="70"/>
  <c r="Z14" i="70" s="1"/>
  <c r="Z24" i="70" s="1"/>
  <c r="G3" i="71" s="1"/>
  <c r="AB45" i="70"/>
  <c r="AB12" i="70" s="1"/>
  <c r="AB23" i="70" s="1"/>
  <c r="I2" i="71" s="1"/>
  <c r="V46" i="70"/>
  <c r="V14" i="70" s="1"/>
  <c r="V24" i="70" s="1"/>
  <c r="C3" i="71" s="1"/>
  <c r="AD46" i="70"/>
  <c r="AD14" i="70" s="1"/>
  <c r="AD24" i="70" s="1"/>
  <c r="X47" i="70"/>
  <c r="X16" i="70" s="1"/>
  <c r="X25" i="70" s="1"/>
  <c r="E4" i="71" s="1"/>
  <c r="AF47" i="70"/>
  <c r="AF16" i="70" s="1"/>
  <c r="AF25" i="70" s="1"/>
  <c r="V45" i="70"/>
  <c r="V12" i="70" s="1"/>
  <c r="AC51" i="72" s="1"/>
  <c r="X45" i="70"/>
  <c r="X12" i="70" s="1"/>
  <c r="X23" i="70" s="1"/>
  <c r="E2" i="71" s="1"/>
  <c r="AB47" i="70"/>
  <c r="AB48" i="70" s="1"/>
  <c r="AA45" i="70"/>
  <c r="AA12" i="70" s="1"/>
  <c r="AA23" i="70" s="1"/>
  <c r="H2" i="71" s="1"/>
  <c r="AC46" i="70"/>
  <c r="AC14" i="70" s="1"/>
  <c r="AC24" i="70" s="1"/>
  <c r="J3" i="71" s="1"/>
  <c r="W47" i="70"/>
  <c r="W48" i="70" s="1"/>
  <c r="AE47" i="70"/>
  <c r="AE48" i="70" s="1"/>
  <c r="V47" i="70"/>
  <c r="V16" i="70" s="1"/>
  <c r="V25" i="70" s="1"/>
  <c r="C4" i="71" s="1"/>
  <c r="Z51" i="72"/>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8" i="70"/>
  <c r="V49" i="70" s="1"/>
  <c r="V20" i="70" s="1"/>
  <c r="V27" i="70" s="1"/>
  <c r="C6" i="71" s="1"/>
  <c r="W16" i="70"/>
  <c r="W25" i="70" s="1"/>
  <c r="D4" i="71" s="1"/>
  <c r="Z45" i="70"/>
  <c r="Z12" i="70" s="1"/>
  <c r="Z23" i="70" s="1"/>
  <c r="G2" i="71" s="1"/>
  <c r="AB46" i="70"/>
  <c r="AB14" i="70" s="1"/>
  <c r="AB24" i="70" s="1"/>
  <c r="I3" i="71" s="1"/>
  <c r="AD47" i="70"/>
  <c r="AD48" i="70" s="1"/>
  <c r="AD18" i="70" s="1"/>
  <c r="AD26" i="70" s="1"/>
  <c r="X46" i="70"/>
  <c r="X14" i="70" s="1"/>
  <c r="X24" i="70" s="1"/>
  <c r="E3" i="71" s="1"/>
  <c r="AF46" i="70"/>
  <c r="AF14" i="70" s="1"/>
  <c r="AF24" i="70" s="1"/>
  <c r="Z47" i="70"/>
  <c r="AD100" i="59"/>
  <c r="R72" i="59"/>
  <c r="J31" i="59"/>
  <c r="J72" i="59"/>
  <c r="S72" i="59"/>
  <c r="O72" i="59"/>
  <c r="E116" i="59"/>
  <c r="E120" i="59" s="1"/>
  <c r="P72" i="59"/>
  <c r="T31" i="59"/>
  <c r="V12" i="25"/>
  <c r="W12" i="25" s="1"/>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3"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4" i="20" s="1"/>
  <c r="I65" i="20" s="1"/>
  <c r="I35" i="20" s="1"/>
  <c r="Q11" i="26"/>
  <c r="L11" i="26"/>
  <c r="L20" i="26" s="1"/>
  <c r="L113" i="26" s="1"/>
  <c r="P63"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4" i="20" s="1"/>
  <c r="H65" i="20" s="1"/>
  <c r="P11" i="26"/>
  <c r="W67" i="26"/>
  <c r="R67" i="26"/>
  <c r="X67" i="26"/>
  <c r="J58" i="26"/>
  <c r="AD58" i="26" s="1"/>
  <c r="Y140" i="26"/>
  <c r="Z140" i="26"/>
  <c r="Z63" i="20" s="1"/>
  <c r="X12" i="25"/>
  <c r="W14" i="25"/>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4" i="20"/>
  <c r="O33" i="20" s="1"/>
  <c r="J15" i="30"/>
  <c r="J20" i="74"/>
  <c r="J19" i="74" s="1"/>
  <c r="L187" i="65"/>
  <c r="Y27" i="30"/>
  <c r="E75" i="55"/>
  <c r="K93" i="55"/>
  <c r="S20" i="74"/>
  <c r="S19" i="74" s="1"/>
  <c r="M66" i="26"/>
  <c r="H34" i="20"/>
  <c r="P34" i="20"/>
  <c r="Q33"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3" i="20"/>
  <c r="U140" i="26"/>
  <c r="W140" i="26"/>
  <c r="AC140" i="26"/>
  <c r="R33"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3" i="20"/>
  <c r="V34"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3" i="20"/>
  <c r="F26" i="49"/>
  <c r="F18" i="49"/>
  <c r="F19" i="49" s="1"/>
  <c r="M191" i="65"/>
  <c r="AA26" i="59" s="1"/>
  <c r="Z26" i="59"/>
  <c r="C97" i="26"/>
  <c r="V11" i="20"/>
  <c r="M15" i="30"/>
  <c r="E12" i="49"/>
  <c r="M12" i="49"/>
  <c r="D18" i="49" s="1"/>
  <c r="D19" i="49" s="1"/>
  <c r="L30" i="59"/>
  <c r="L31" i="59" s="1"/>
  <c r="L29" i="49"/>
  <c r="L70" i="59"/>
  <c r="L20" i="59" s="1"/>
  <c r="L72" i="59"/>
  <c r="T70" i="59"/>
  <c r="T20" i="59" s="1"/>
  <c r="T72" i="59"/>
  <c r="H63" i="48"/>
  <c r="L133" i="48"/>
  <c r="L9" i="48"/>
  <c r="T9" i="48"/>
  <c r="T133" i="48"/>
  <c r="T11" i="48"/>
  <c r="Q28" i="38"/>
  <c r="M20" i="74"/>
  <c r="M19" i="74" s="1"/>
  <c r="U20" i="74"/>
  <c r="C80" i="26"/>
  <c r="I34"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39" i="26"/>
  <c r="T33"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J4" i="71" s="1"/>
  <c r="AC48" i="70"/>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45" i="70"/>
  <c r="AC12" i="70" s="1"/>
  <c r="AC23" i="70" s="1"/>
  <c r="J2" i="71" s="1"/>
  <c r="W46" i="70"/>
  <c r="W14" i="70" s="1"/>
  <c r="W24" i="70" s="1"/>
  <c r="D3" i="71" s="1"/>
  <c r="AE46" i="70"/>
  <c r="AE14" i="70" s="1"/>
  <c r="AE24" i="70" s="1"/>
  <c r="Y47"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W18" i="70"/>
  <c r="W26" i="70" s="1"/>
  <c r="D5" i="71" s="1"/>
  <c r="W49" i="70"/>
  <c r="W20" i="70" s="1"/>
  <c r="W27" i="70" s="1"/>
  <c r="D6" i="71" s="1"/>
  <c r="AA47"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V23" i="70" l="1"/>
  <c r="C2" i="71" s="1"/>
  <c r="X48" i="70"/>
  <c r="X18" i="70" s="1"/>
  <c r="X26" i="70" s="1"/>
  <c r="E5" i="71" s="1"/>
  <c r="AB16" i="70"/>
  <c r="AB25" i="70" s="1"/>
  <c r="I4" i="71" s="1"/>
  <c r="AE18" i="70"/>
  <c r="AE26" i="70" s="1"/>
  <c r="AE49" i="70"/>
  <c r="AE20" i="70" s="1"/>
  <c r="AE27" i="70" s="1"/>
  <c r="AE16" i="70"/>
  <c r="AE25" i="70" s="1"/>
  <c r="AF48" i="70"/>
  <c r="AF49" i="70" s="1"/>
  <c r="AF20" i="70" s="1"/>
  <c r="AF27" i="70" s="1"/>
  <c r="V18" i="70"/>
  <c r="V26" i="70" s="1"/>
  <c r="C5" i="71" s="1"/>
  <c r="AE8" i="72"/>
  <c r="AF8" i="72" s="1"/>
  <c r="AA51" i="72" s="1"/>
  <c r="V20" i="25"/>
  <c r="W20" i="25" s="1"/>
  <c r="X20" i="25" s="1"/>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25" i="48"/>
  <c r="V89" i="59"/>
  <c r="V88" i="59" s="1"/>
  <c r="AD49" i="70"/>
  <c r="AD20" i="70" s="1"/>
  <c r="AD27" i="70" s="1"/>
  <c r="AD16" i="70"/>
  <c r="AD25" i="70" s="1"/>
  <c r="Z16" i="70"/>
  <c r="Z25" i="70" s="1"/>
  <c r="G4" i="71" s="1"/>
  <c r="Z48" i="70"/>
  <c r="J33" i="59"/>
  <c r="K33" i="59"/>
  <c r="L33" i="59"/>
  <c r="U24" i="59"/>
  <c r="AD49" i="59" s="1"/>
  <c r="AD43" i="59"/>
  <c r="J82" i="59"/>
  <c r="J83" i="59" s="1"/>
  <c r="S33" i="59"/>
  <c r="W13" i="25"/>
  <c r="W11" i="25" s="1"/>
  <c r="W19" i="25" s="1"/>
  <c r="V13" i="25"/>
  <c r="V11" i="25" s="1"/>
  <c r="V19" i="25" s="1"/>
  <c r="T14" i="59"/>
  <c r="T112" i="26"/>
  <c r="T42" i="26"/>
  <c r="AD69" i="26"/>
  <c r="AE19" i="26" s="1"/>
  <c r="O63" i="26"/>
  <c r="V63" i="20"/>
  <c r="R16" i="26"/>
  <c r="R112" i="26" s="1"/>
  <c r="V16" i="26"/>
  <c r="X16" i="26"/>
  <c r="AB63" i="20"/>
  <c r="P16" i="26"/>
  <c r="P112" i="26" s="1"/>
  <c r="J108" i="26"/>
  <c r="J64" i="20" s="1"/>
  <c r="J65" i="20" s="1"/>
  <c r="U16" i="26"/>
  <c r="N111" i="26"/>
  <c r="W16" i="26"/>
  <c r="N16" i="26"/>
  <c r="N112" i="26" s="1"/>
  <c r="I12" i="20"/>
  <c r="S16" i="26"/>
  <c r="S112" i="26" s="1"/>
  <c r="E81" i="26"/>
  <c r="D78" i="26"/>
  <c r="O16" i="26"/>
  <c r="O112" i="26" s="1"/>
  <c r="H12" i="20"/>
  <c r="H35" i="20"/>
  <c r="Y63" i="20"/>
  <c r="G3" i="35"/>
  <c r="H5" i="55" s="1"/>
  <c r="N62" i="26"/>
  <c r="H3" i="35"/>
  <c r="I5" i="55" s="1"/>
  <c r="I55" i="55" s="1"/>
  <c r="C86" i="26"/>
  <c r="X14" i="25"/>
  <c r="X13" i="25" s="1"/>
  <c r="X11" i="25" s="1"/>
  <c r="X19" i="25" s="1"/>
  <c r="Y12" i="25"/>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4"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3" i="20"/>
  <c r="F3" i="35"/>
  <c r="G5" i="55" s="1"/>
  <c r="W10" i="33"/>
  <c r="V15" i="59"/>
  <c r="D12" i="35"/>
  <c r="E14" i="55" s="1"/>
  <c r="K14" i="59"/>
  <c r="K82" i="59" s="1"/>
  <c r="K83" i="59" s="1"/>
  <c r="I14" i="59"/>
  <c r="N4" i="50"/>
  <c r="C15" i="35"/>
  <c r="D17" i="55" s="1"/>
  <c r="P14" i="59"/>
  <c r="I19" i="21"/>
  <c r="S37" i="30" s="1"/>
  <c r="Y48" i="70"/>
  <c r="Y16" i="70"/>
  <c r="Y25" i="70" s="1"/>
  <c r="F4" i="71" s="1"/>
  <c r="AD67" i="26"/>
  <c r="M16" i="26"/>
  <c r="M20" i="26" s="1"/>
  <c r="M113" i="26" s="1"/>
  <c r="Y152" i="48"/>
  <c r="X28" i="48"/>
  <c r="F22" i="35" s="1"/>
  <c r="G24" i="55" s="1"/>
  <c r="M187" i="65"/>
  <c r="AA27" i="30" s="1"/>
  <c r="Z27" i="30"/>
  <c r="AF18" i="70"/>
  <c r="AF26" i="70" s="1"/>
  <c r="C14" i="21"/>
  <c r="C83" i="21"/>
  <c r="W13" i="21"/>
  <c r="AB18" i="70"/>
  <c r="AB26" i="70" s="1"/>
  <c r="I5" i="71" s="1"/>
  <c r="AB49" i="70"/>
  <c r="AB20" i="70" s="1"/>
  <c r="AB27" i="70" s="1"/>
  <c r="I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H4" i="71" s="1"/>
  <c r="AA48"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0" i="49"/>
  <c r="G50" i="49" s="1"/>
  <c r="H50" i="49" s="1"/>
  <c r="I50" i="49" s="1"/>
  <c r="T63" i="20"/>
  <c r="M9" i="50"/>
  <c r="L14" i="59"/>
  <c r="L82" i="59" s="1"/>
  <c r="L83" i="59" s="1"/>
  <c r="AC63" i="20"/>
  <c r="K3" i="35"/>
  <c r="L5" i="55" s="1"/>
  <c r="P33" i="20"/>
  <c r="E81" i="55"/>
  <c r="E55" i="55"/>
  <c r="P36" i="30"/>
  <c r="I71" i="38"/>
  <c r="I73" i="38"/>
  <c r="W11" i="20"/>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3" i="20"/>
  <c r="K9" i="50"/>
  <c r="G29" i="49"/>
  <c r="G30" i="59"/>
  <c r="G31" i="59" s="1"/>
  <c r="T43" i="38"/>
  <c r="P42" i="38"/>
  <c r="N29" i="49"/>
  <c r="N30" i="59"/>
  <c r="N31" i="59" s="1"/>
  <c r="F20" i="49"/>
  <c r="AA63" i="20"/>
  <c r="I3" i="35"/>
  <c r="J5" i="55" s="1"/>
  <c r="I69" i="48"/>
  <c r="W63" i="20"/>
  <c r="E3" i="35"/>
  <c r="F5" i="55" s="1"/>
  <c r="AD65" i="26"/>
  <c r="M14" i="59"/>
  <c r="X12" i="49"/>
  <c r="P63" i="26"/>
  <c r="O15" i="26"/>
  <c r="O111" i="26"/>
  <c r="O62" i="26"/>
  <c r="K64" i="20"/>
  <c r="K65" i="20" s="1"/>
  <c r="D2" i="50"/>
  <c r="M62" i="26"/>
  <c r="D80" i="21"/>
  <c r="P72" i="26"/>
  <c r="P17" i="26" s="1"/>
  <c r="D16" i="35"/>
  <c r="E18" i="55" s="1"/>
  <c r="I59" i="55"/>
  <c r="I85" i="55"/>
  <c r="M17" i="59"/>
  <c r="F4" i="50" s="1"/>
  <c r="F75" i="21"/>
  <c r="X17" i="59"/>
  <c r="F15" i="35" s="1"/>
  <c r="G17" i="55" s="1"/>
  <c r="X49" i="70"/>
  <c r="X20" i="70" s="1"/>
  <c r="X27" i="70" s="1"/>
  <c r="E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J5" i="71" s="1"/>
  <c r="AC49" i="70"/>
  <c r="AC20" i="70" s="1"/>
  <c r="AC27" i="70" s="1"/>
  <c r="J6" i="71" s="1"/>
  <c r="J67" i="55"/>
  <c r="J93" i="55"/>
  <c r="K69" i="38"/>
  <c r="K66" i="38"/>
  <c r="J16" i="40"/>
  <c r="V14" i="40"/>
  <c r="J15" i="40"/>
  <c r="I87" i="48"/>
  <c r="I94" i="48" s="1"/>
  <c r="I70" i="48"/>
  <c r="J66" i="48"/>
  <c r="E20" i="49"/>
  <c r="K163" i="48"/>
  <c r="K150" i="48"/>
  <c r="Q13" i="30"/>
  <c r="Q12" i="30" s="1"/>
  <c r="R163" i="48"/>
  <c r="R150" i="48"/>
  <c r="P28" i="49"/>
  <c r="P29" i="49" s="1"/>
  <c r="C78" i="26"/>
  <c r="E80" i="26"/>
  <c r="S63" i="20"/>
  <c r="L9" i="50"/>
  <c r="J68" i="48"/>
  <c r="V13" i="48" s="1"/>
  <c r="W13" i="48" s="1"/>
  <c r="K64" i="48"/>
  <c r="J85" i="48"/>
  <c r="J92" i="48" s="1"/>
  <c r="L108" i="26"/>
  <c r="U63" i="20"/>
  <c r="N9" i="50"/>
  <c r="C3" i="35"/>
  <c r="D5" i="55" s="1"/>
  <c r="C9" i="35"/>
  <c r="C8" i="35"/>
  <c r="D10" i="55" s="1"/>
  <c r="R14" i="59"/>
  <c r="E30" i="59"/>
  <c r="E31" i="59" s="1"/>
  <c r="E33" i="59" s="1"/>
  <c r="E29" i="49"/>
  <c r="U28" i="49"/>
  <c r="C10" i="35" s="1"/>
  <c r="D12" i="55" s="1"/>
  <c r="U30" i="59"/>
  <c r="AD55" i="59" s="1"/>
  <c r="U29" i="49"/>
  <c r="C11" i="35"/>
  <c r="V26" i="49"/>
  <c r="F100" i="55" l="1"/>
  <c r="J86" i="48"/>
  <c r="J93" i="48" s="1"/>
  <c r="J69" i="48"/>
  <c r="U17" i="48" s="1"/>
  <c r="V17" i="48" s="1"/>
  <c r="V26" i="48"/>
  <c r="N8" i="50"/>
  <c r="D24" i="55"/>
  <c r="Y151" i="48"/>
  <c r="X27" i="48"/>
  <c r="X150" i="48"/>
  <c r="W26" i="48"/>
  <c r="X149" i="48"/>
  <c r="W25" i="48"/>
  <c r="W87" i="59"/>
  <c r="W89" i="59" s="1"/>
  <c r="W88" i="59"/>
  <c r="X87" i="59" s="1"/>
  <c r="X89" i="59" s="1"/>
  <c r="X88" i="59" s="1"/>
  <c r="Y87" i="59" s="1"/>
  <c r="Y89" i="59" s="1"/>
  <c r="Z49" i="70"/>
  <c r="Z20" i="70" s="1"/>
  <c r="Z27" i="70" s="1"/>
  <c r="G6" i="71" s="1"/>
  <c r="Z18" i="70"/>
  <c r="Z26" i="70" s="1"/>
  <c r="G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Y14" i="25"/>
  <c r="Y13" i="25" s="1"/>
  <c r="Y11" i="25" s="1"/>
  <c r="Y19" i="25" s="1"/>
  <c r="Z12" i="25"/>
  <c r="D8" i="35"/>
  <c r="E10" i="55" s="1"/>
  <c r="E8" i="35"/>
  <c r="F10" i="55" s="1"/>
  <c r="F58" i="55"/>
  <c r="F84" i="55"/>
  <c r="Y88" i="59"/>
  <c r="F81" i="55"/>
  <c r="F55" i="55"/>
  <c r="G16" i="35"/>
  <c r="H18" i="55" s="1"/>
  <c r="I22" i="21"/>
  <c r="S40" i="30" s="1"/>
  <c r="S39" i="30"/>
  <c r="L55" i="55"/>
  <c r="L81" i="55"/>
  <c r="U13" i="30"/>
  <c r="U12" i="30" s="1"/>
  <c r="U15" i="30"/>
  <c r="O32" i="38"/>
  <c r="Q32" i="38" s="1"/>
  <c r="S33" i="38"/>
  <c r="X39" i="26"/>
  <c r="O25" i="21"/>
  <c r="Y43" i="30" s="1"/>
  <c r="Y41" i="30"/>
  <c r="Y24" i="30" s="1"/>
  <c r="V20" i="59"/>
  <c r="W70" i="59"/>
  <c r="C15" i="21"/>
  <c r="C84" i="21"/>
  <c r="W14" i="21"/>
  <c r="X10" i="33"/>
  <c r="W15" i="59"/>
  <c r="E12" i="35"/>
  <c r="F14" i="55" s="1"/>
  <c r="G19" i="33"/>
  <c r="F117" i="59"/>
  <c r="F114" i="59"/>
  <c r="F115" i="59" s="1"/>
  <c r="N25" i="21"/>
  <c r="X43" i="30" s="1"/>
  <c r="K25" i="21"/>
  <c r="W39" i="26"/>
  <c r="W68" i="26"/>
  <c r="D9" i="35"/>
  <c r="E11" i="55" s="1"/>
  <c r="J6" i="50"/>
  <c r="Q46" i="30"/>
  <c r="Q118" i="26"/>
  <c r="E94" i="55"/>
  <c r="E68" i="55"/>
  <c r="K35" i="20"/>
  <c r="K12" i="20"/>
  <c r="G85" i="55"/>
  <c r="G59" i="55"/>
  <c r="H16" i="35"/>
  <c r="I18" i="55" s="1"/>
  <c r="S68" i="26"/>
  <c r="J35" i="20"/>
  <c r="J12" i="20"/>
  <c r="AA49" i="70"/>
  <c r="AA20" i="70" s="1"/>
  <c r="AA27" i="70" s="1"/>
  <c r="H6" i="71" s="1"/>
  <c r="AA18" i="70"/>
  <c r="AA26" i="70" s="1"/>
  <c r="H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39" i="26"/>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39" i="26"/>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39" i="26"/>
  <c r="AB39" i="26"/>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39" i="26"/>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X11" i="2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4" i="20"/>
  <c r="L65" i="20" s="1"/>
  <c r="E2" i="50"/>
  <c r="P47" i="21"/>
  <c r="Z118" i="26" s="1"/>
  <c r="D55" i="55"/>
  <c r="D81" i="55"/>
  <c r="K68" i="48"/>
  <c r="X13" i="48" s="1"/>
  <c r="Y13" i="48" s="1"/>
  <c r="Z13" i="48" s="1"/>
  <c r="AA13" i="48" s="1"/>
  <c r="L64" i="48"/>
  <c r="K85" i="48"/>
  <c r="K92" i="48" s="1"/>
  <c r="I28" i="21"/>
  <c r="H25" i="21"/>
  <c r="V46" i="30"/>
  <c r="D6" i="35" s="1"/>
  <c r="E8" i="55" s="1"/>
  <c r="F94" i="55"/>
  <c r="F68" i="55"/>
  <c r="Q28" i="21"/>
  <c r="AA116" i="26" s="1"/>
  <c r="F15" i="21"/>
  <c r="D85" i="21" s="1"/>
  <c r="D84" i="21"/>
  <c r="D87" i="21" s="1"/>
  <c r="P71" i="26"/>
  <c r="P68" i="26" s="1"/>
  <c r="Y49" i="70"/>
  <c r="Y20" i="70" s="1"/>
  <c r="Y27" i="70" s="1"/>
  <c r="F6" i="71" s="1"/>
  <c r="Y18" i="70"/>
  <c r="Y26" i="70" s="1"/>
  <c r="F5" i="71" s="1"/>
  <c r="E86" i="55"/>
  <c r="E60" i="55"/>
  <c r="W8" i="21"/>
  <c r="V29" i="49"/>
  <c r="V30" i="59"/>
  <c r="W26" i="49"/>
  <c r="V28" i="49"/>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4" i="20"/>
  <c r="E5" i="35"/>
  <c r="F7" i="55" s="1"/>
  <c r="H33" i="59"/>
  <c r="G25" i="21"/>
  <c r="V20" i="48" l="1"/>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AA12" i="25"/>
  <c r="Z14" i="25"/>
  <c r="Z13" i="25" s="1"/>
  <c r="Z11" i="25" s="1"/>
  <c r="Z19" i="25" s="1"/>
  <c r="H92" i="59"/>
  <c r="H23" i="59" s="1"/>
  <c r="V14" i="59"/>
  <c r="F8" i="35"/>
  <c r="G10" i="55" s="1"/>
  <c r="R118" i="26"/>
  <c r="W47" i="21"/>
  <c r="Z87" i="59"/>
  <c r="Z89" i="59" s="1"/>
  <c r="Z88" i="59" s="1"/>
  <c r="F86" i="55"/>
  <c r="F60" i="55"/>
  <c r="E98" i="55"/>
  <c r="E72" i="55"/>
  <c r="N40" i="30"/>
  <c r="D25" i="21"/>
  <c r="D63" i="55"/>
  <c r="D89" i="55"/>
  <c r="D59" i="55"/>
  <c r="D85" i="55"/>
  <c r="Q62" i="26"/>
  <c r="Q15" i="26"/>
  <c r="Q20" i="26" s="1"/>
  <c r="Q113" i="26" s="1"/>
  <c r="R63" i="26"/>
  <c r="Q111" i="26"/>
  <c r="I25" i="59"/>
  <c r="J84" i="59"/>
  <c r="O64" i="20"/>
  <c r="O65" i="20" s="1"/>
  <c r="H2" i="50"/>
  <c r="F90" i="55"/>
  <c r="F64" i="55"/>
  <c r="F57" i="55"/>
  <c r="F83" i="55"/>
  <c r="R43" i="30"/>
  <c r="H26" i="21"/>
  <c r="H100" i="55"/>
  <c r="H74" i="55"/>
  <c r="I92" i="59"/>
  <c r="I23" i="59" s="1"/>
  <c r="Y34" i="20"/>
  <c r="F5" i="35"/>
  <c r="G7" i="55" s="1"/>
  <c r="AA152" i="48"/>
  <c r="Z28" i="48"/>
  <c r="H22" i="35" s="1"/>
  <c r="I24" i="55" s="1"/>
  <c r="N17" i="38"/>
  <c r="J68" i="55"/>
  <c r="J94" i="55"/>
  <c r="I68" i="55"/>
  <c r="I94" i="55"/>
  <c r="E61" i="55"/>
  <c r="E87" i="55"/>
  <c r="T40" i="30"/>
  <c r="J25" i="21"/>
  <c r="W17" i="48"/>
  <c r="V16" i="48"/>
  <c r="O24" i="30"/>
  <c r="N64" i="20"/>
  <c r="N65"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4" i="20"/>
  <c r="M65" i="20" s="1"/>
  <c r="F2" i="50"/>
  <c r="Y11" i="2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35" i="20"/>
  <c r="L12" i="20"/>
  <c r="O36" i="30"/>
  <c r="C85" i="21"/>
  <c r="C87" i="21" s="1"/>
  <c r="W15" i="21"/>
  <c r="Q43" i="30"/>
  <c r="G26" i="21"/>
  <c r="W29" i="49"/>
  <c r="W28" i="49"/>
  <c r="W30" i="59"/>
  <c r="E11" i="35"/>
  <c r="F13" i="55" s="1"/>
  <c r="L68" i="48"/>
  <c r="AB13" i="48" s="1"/>
  <c r="AC13" i="48" s="1"/>
  <c r="L85" i="48"/>
  <c r="E22" i="21"/>
  <c r="O40" i="30" s="1"/>
  <c r="O39" i="30"/>
  <c r="AD13" i="26"/>
  <c r="P40" i="30"/>
  <c r="F25" i="21"/>
  <c r="G18" i="49"/>
  <c r="G19" i="49" s="1"/>
  <c r="G20" i="49" s="1"/>
  <c r="X26" i="49" s="1"/>
  <c r="D58" i="55"/>
  <c r="D84" i="55"/>
  <c r="H68" i="55"/>
  <c r="H94" i="55"/>
  <c r="V19" i="48" l="1"/>
  <c r="D21" i="35" s="1"/>
  <c r="E23" i="55" s="1"/>
  <c r="E73" i="55" s="1"/>
  <c r="D23" i="55"/>
  <c r="N7" i="50"/>
  <c r="AA151" i="48"/>
  <c r="Z27" i="48"/>
  <c r="X23" i="48"/>
  <c r="F20" i="35" s="1"/>
  <c r="G22" i="55" s="1"/>
  <c r="G98" i="55" s="1"/>
  <c r="F98" i="55"/>
  <c r="F72" i="55"/>
  <c r="Y26" i="48"/>
  <c r="Z150" i="48"/>
  <c r="Z149" i="48"/>
  <c r="Y25" i="48"/>
  <c r="V31" i="59"/>
  <c r="W31" i="59" s="1"/>
  <c r="C18" i="35"/>
  <c r="D20" i="55" s="1"/>
  <c r="D70" i="55" s="1"/>
  <c r="P64" i="20"/>
  <c r="P65" i="20" s="1"/>
  <c r="P35" i="20" s="1"/>
  <c r="Q108" i="26"/>
  <c r="Q64" i="20" s="1"/>
  <c r="Q65" i="20" s="1"/>
  <c r="H27" i="59"/>
  <c r="AB12" i="25"/>
  <c r="AA14" i="25"/>
  <c r="AA13" i="25" s="1"/>
  <c r="AA11" i="25" s="1"/>
  <c r="AA19" i="25" s="1"/>
  <c r="AA87" i="59"/>
  <c r="AA89" i="59" s="1"/>
  <c r="AA88" i="59" s="1"/>
  <c r="G60" i="55"/>
  <c r="G86" i="55"/>
  <c r="X30" i="59"/>
  <c r="Y26" i="49"/>
  <c r="X28" i="49"/>
  <c r="F11" i="35"/>
  <c r="G13" i="55" s="1"/>
  <c r="L19" i="38"/>
  <c r="N19" i="38" s="1"/>
  <c r="S20" i="38"/>
  <c r="L20" i="38" s="1"/>
  <c r="N20" i="38" s="1"/>
  <c r="M35" i="20"/>
  <c r="M12" i="20"/>
  <c r="X14" i="59"/>
  <c r="F9" i="35"/>
  <c r="G11" i="55" s="1"/>
  <c r="V86" i="59"/>
  <c r="T43" i="30"/>
  <c r="J26" i="21"/>
  <c r="Z34"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2" i="20"/>
  <c r="O35" i="20"/>
  <c r="N12" i="20"/>
  <c r="N35"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Z11" i="20"/>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E99" i="55" l="1"/>
  <c r="G72" i="55"/>
  <c r="D99" i="55"/>
  <c r="D73" i="55"/>
  <c r="AA27" i="48"/>
  <c r="AB151" i="48"/>
  <c r="Z26" i="48"/>
  <c r="AA150" i="48"/>
  <c r="Y23" i="48"/>
  <c r="G20" i="35" s="1"/>
  <c r="H22" i="55" s="1"/>
  <c r="H98" i="55" s="1"/>
  <c r="AA149" i="48"/>
  <c r="Z25" i="48"/>
  <c r="D96" i="55"/>
  <c r="D18" i="35"/>
  <c r="E20" i="55" s="1"/>
  <c r="E96" i="55" s="1"/>
  <c r="P12" i="20"/>
  <c r="AC12" i="25"/>
  <c r="AB14" i="25"/>
  <c r="AB13" i="25" s="1"/>
  <c r="AB11" i="25" s="1"/>
  <c r="AB19" i="25" s="1"/>
  <c r="H8" i="35"/>
  <c r="I10" i="55" s="1"/>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4" i="20"/>
  <c r="H5" i="35"/>
  <c r="I7" i="55" s="1"/>
  <c r="F73" i="55"/>
  <c r="F99" i="55"/>
  <c r="D71" i="55"/>
  <c r="D97" i="55"/>
  <c r="AA11" i="20"/>
  <c r="H4" i="35"/>
  <c r="I6" i="55" s="1"/>
  <c r="X31" i="59"/>
  <c r="E18" i="35"/>
  <c r="F20" i="55" s="1"/>
  <c r="O43" i="30"/>
  <c r="E26" i="21"/>
  <c r="J100" i="55"/>
  <c r="J74" i="55"/>
  <c r="Z70" i="59"/>
  <c r="Y20" i="59"/>
  <c r="Q12" i="20"/>
  <c r="Q35" i="20"/>
  <c r="H57" i="55"/>
  <c r="H83" i="55"/>
  <c r="Y14" i="59"/>
  <c r="G9" i="35"/>
  <c r="H11" i="55" s="1"/>
  <c r="X29" i="49"/>
  <c r="H72" i="55" l="1"/>
  <c r="AB27" i="48"/>
  <c r="AC151" i="48"/>
  <c r="AC27" i="48" s="1"/>
  <c r="Z23" i="48"/>
  <c r="H20" i="35" s="1"/>
  <c r="I22" i="55" s="1"/>
  <c r="I98" i="55" s="1"/>
  <c r="AA26" i="48"/>
  <c r="AB150" i="48"/>
  <c r="AA25" i="48"/>
  <c r="AB149" i="48"/>
  <c r="E70" i="55"/>
  <c r="AC14" i="25"/>
  <c r="AC13" i="25" s="1"/>
  <c r="AC11" i="25"/>
  <c r="AC19" i="25" s="1"/>
  <c r="I60" i="55"/>
  <c r="I86" i="55"/>
  <c r="AC87" i="59"/>
  <c r="AC89" i="59" s="1"/>
  <c r="AC88" i="59" s="1"/>
  <c r="U63" i="26"/>
  <c r="T15" i="26"/>
  <c r="T62" i="26"/>
  <c r="T111" i="26"/>
  <c r="I56" i="55"/>
  <c r="I82" i="55"/>
  <c r="H89" i="55"/>
  <c r="H63" i="55"/>
  <c r="AB34"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AB11" i="20"/>
  <c r="I4" i="35"/>
  <c r="J6" i="55" s="1"/>
  <c r="L74" i="55"/>
  <c r="L100" i="55"/>
  <c r="G73" i="55"/>
  <c r="G99" i="55"/>
  <c r="R64" i="20"/>
  <c r="R65"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I72" i="55" l="1"/>
  <c r="AA23" i="48"/>
  <c r="I20" i="35" s="1"/>
  <c r="J22" i="55" s="1"/>
  <c r="J98" i="55" s="1"/>
  <c r="AB26" i="48"/>
  <c r="AC150" i="48"/>
  <c r="AC26" i="48" s="1"/>
  <c r="AB25" i="48"/>
  <c r="AB23" i="48" s="1"/>
  <c r="J20" i="35" s="1"/>
  <c r="K22" i="55" s="1"/>
  <c r="AC149" i="48"/>
  <c r="AC25" i="48" s="1"/>
  <c r="AC23" i="48" s="1"/>
  <c r="K20" i="35" s="1"/>
  <c r="L22" i="55" s="1"/>
  <c r="T20" i="26"/>
  <c r="T41" i="26"/>
  <c r="J8" i="35"/>
  <c r="K10" i="55" s="1"/>
  <c r="L27" i="59"/>
  <c r="E3" i="50" s="1"/>
  <c r="X85" i="59"/>
  <c r="Y86" i="59"/>
  <c r="N84" i="59"/>
  <c r="M25" i="59"/>
  <c r="M92" i="59"/>
  <c r="M23" i="59" s="1"/>
  <c r="F97" i="55"/>
  <c r="F71" i="55"/>
  <c r="AC15" i="30"/>
  <c r="AC13" i="30"/>
  <c r="AC11" i="30" s="1"/>
  <c r="AC46" i="30" s="1"/>
  <c r="K6" i="35" s="1"/>
  <c r="L8" i="55" s="1"/>
  <c r="AB70" i="59"/>
  <c r="AA20" i="59"/>
  <c r="G97" i="55"/>
  <c r="G71" i="55"/>
  <c r="J83" i="55"/>
  <c r="J57" i="55"/>
  <c r="S64" i="20"/>
  <c r="S65"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AC11" i="20"/>
  <c r="J4" i="35"/>
  <c r="K6" i="55" s="1"/>
  <c r="AA30" i="59"/>
  <c r="AA28" i="49"/>
  <c r="AA29" i="49" s="1"/>
  <c r="AB26" i="49"/>
  <c r="I11" i="35"/>
  <c r="J13" i="55" s="1"/>
  <c r="I87" i="55"/>
  <c r="I61" i="55"/>
  <c r="K58" i="55"/>
  <c r="K84" i="55"/>
  <c r="AC34" i="20"/>
  <c r="J5" i="35"/>
  <c r="K7" i="55" s="1"/>
  <c r="G96" i="55"/>
  <c r="G70" i="55"/>
  <c r="AB15" i="59"/>
  <c r="AC10" i="33"/>
  <c r="J12" i="35"/>
  <c r="K14" i="55" s="1"/>
  <c r="Z16" i="48"/>
  <c r="AA17" i="48"/>
  <c r="Z10" i="26"/>
  <c r="Z36" i="26" s="1"/>
  <c r="H10" i="35"/>
  <c r="I12" i="55" s="1"/>
  <c r="AA14" i="59"/>
  <c r="I9" i="35"/>
  <c r="J11" i="55" s="1"/>
  <c r="R35" i="20"/>
  <c r="R12" i="20"/>
  <c r="J72" i="55" l="1"/>
  <c r="L98" i="55"/>
  <c r="L72" i="55"/>
  <c r="K98" i="55"/>
  <c r="K72" i="55"/>
  <c r="U20" i="26"/>
  <c r="U46" i="26" s="1"/>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35" i="20"/>
  <c r="S12" i="20"/>
  <c r="AB29" i="49"/>
  <c r="AB28" i="49"/>
  <c r="AC26" i="49"/>
  <c r="AB30" i="59"/>
  <c r="J11" i="35"/>
  <c r="K13" i="55" s="1"/>
  <c r="O84" i="59"/>
  <c r="N25" i="59"/>
  <c r="N92" i="59"/>
  <c r="N23" i="59" s="1"/>
  <c r="T64" i="20"/>
  <c r="T65"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113" i="26" l="1"/>
  <c r="V20" i="26"/>
  <c r="V46" i="26" s="1"/>
  <c r="AD126" i="26"/>
  <c r="U108" i="26"/>
  <c r="AD121" i="26" s="1"/>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2" i="20"/>
  <c r="T35" i="20"/>
  <c r="AC20" i="48"/>
  <c r="AC19" i="48" s="1"/>
  <c r="K21" i="35" s="1"/>
  <c r="L23" i="55" s="1"/>
  <c r="AB19" i="48"/>
  <c r="J21" i="35" s="1"/>
  <c r="K23" i="55" s="1"/>
  <c r="AC14" i="59"/>
  <c r="K9" i="35"/>
  <c r="L11" i="55" s="1"/>
  <c r="J88" i="55"/>
  <c r="J62" i="55"/>
  <c r="V11" i="26" l="1"/>
  <c r="V113" i="26"/>
  <c r="V108" i="26" s="1"/>
  <c r="V64" i="20" s="1"/>
  <c r="V65" i="20" s="1"/>
  <c r="W20" i="26"/>
  <c r="W46" i="26" s="1"/>
  <c r="C2" i="35"/>
  <c r="D4" i="55" s="1"/>
  <c r="D54" i="55" s="1"/>
  <c r="N2" i="50"/>
  <c r="U64" i="20"/>
  <c r="U65" i="20" s="1"/>
  <c r="U12" i="20" s="1"/>
  <c r="V9" i="26"/>
  <c r="V35" i="26" s="1"/>
  <c r="V37" i="26"/>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X20" i="26"/>
  <c r="X46" i="26" s="1"/>
  <c r="K99" i="55"/>
  <c r="K73" i="55"/>
  <c r="L99" i="55"/>
  <c r="L73" i="55"/>
  <c r="K62" i="55"/>
  <c r="K88" i="55"/>
  <c r="W11" i="26"/>
  <c r="P25" i="59"/>
  <c r="Q84" i="59"/>
  <c r="P92" i="59"/>
  <c r="P23" i="59" s="1"/>
  <c r="L87" i="55"/>
  <c r="L61" i="55"/>
  <c r="D118" i="59"/>
  <c r="L63" i="55"/>
  <c r="L89" i="55"/>
  <c r="AC31" i="59"/>
  <c r="K18" i="35" s="1"/>
  <c r="L20" i="55" s="1"/>
  <c r="J18" i="35"/>
  <c r="K20" i="55" s="1"/>
  <c r="X111" i="26"/>
  <c r="X62" i="26"/>
  <c r="AD62" i="26" s="1"/>
  <c r="X15" i="26"/>
  <c r="X41" i="26" s="1"/>
  <c r="AD63" i="26"/>
  <c r="AE15" i="26" s="1"/>
  <c r="W113" i="26" l="1"/>
  <c r="W108" i="26" s="1"/>
  <c r="D2" i="35"/>
  <c r="E4" i="55" s="1"/>
  <c r="U35" i="20"/>
  <c r="D80" i="55"/>
  <c r="W9" i="26"/>
  <c r="W35" i="26" s="1"/>
  <c r="W37" i="26"/>
  <c r="AC86" i="59"/>
  <c r="AC85" i="59" s="1"/>
  <c r="AB85" i="59"/>
  <c r="L62" i="55"/>
  <c r="L88" i="55"/>
  <c r="W64" i="20"/>
  <c r="W65" i="20" s="1"/>
  <c r="E2" i="35"/>
  <c r="F4" i="55" s="1"/>
  <c r="P27" i="59"/>
  <c r="I3" i="50" s="1"/>
  <c r="L71" i="55"/>
  <c r="L97" i="55"/>
  <c r="X113" i="26"/>
  <c r="X108" i="26" s="1"/>
  <c r="Y20" i="26"/>
  <c r="Y46" i="26" s="1"/>
  <c r="Q25" i="59"/>
  <c r="R84" i="59"/>
  <c r="Q92" i="59"/>
  <c r="Q23" i="59" s="1"/>
  <c r="L70" i="55"/>
  <c r="L96" i="55"/>
  <c r="E54" i="55"/>
  <c r="E80" i="55"/>
  <c r="K70" i="55"/>
  <c r="K96" i="55"/>
  <c r="X11" i="26"/>
  <c r="AD15" i="26"/>
  <c r="K71" i="55"/>
  <c r="K97" i="55"/>
  <c r="V35" i="20"/>
  <c r="V12" i="20"/>
  <c r="X9" i="26" l="1"/>
  <c r="X35" i="26" s="1"/>
  <c r="X37" i="26"/>
  <c r="Q27" i="59"/>
  <c r="J3" i="50" s="1"/>
  <c r="X64" i="20"/>
  <c r="X65" i="20" s="1"/>
  <c r="F2" i="35"/>
  <c r="G4" i="55" s="1"/>
  <c r="W35" i="20"/>
  <c r="W12" i="20"/>
  <c r="F54" i="55"/>
  <c r="F80" i="55"/>
  <c r="R25" i="59"/>
  <c r="S84" i="59"/>
  <c r="R92" i="59"/>
  <c r="R23" i="59" s="1"/>
  <c r="Y113" i="26"/>
  <c r="Y108" i="26" s="1"/>
  <c r="Z20" i="26"/>
  <c r="Z46" i="26" s="1"/>
  <c r="Y11" i="26"/>
  <c r="R27" i="59" l="1"/>
  <c r="K3" i="50" s="1"/>
  <c r="Y9" i="26"/>
  <c r="Y35" i="26" s="1"/>
  <c r="Y37" i="26"/>
  <c r="Z113" i="26"/>
  <c r="Z108" i="26" s="1"/>
  <c r="AA20" i="26"/>
  <c r="AA46" i="26" s="1"/>
  <c r="Z11" i="26"/>
  <c r="Y64" i="20"/>
  <c r="Y65" i="20" s="1"/>
  <c r="G2" i="35"/>
  <c r="H4" i="55" s="1"/>
  <c r="G80" i="55"/>
  <c r="G54" i="55"/>
  <c r="S25" i="59"/>
  <c r="T84" i="59"/>
  <c r="AD97" i="59" s="1"/>
  <c r="S92" i="59"/>
  <c r="S23" i="59" s="1"/>
  <c r="X35" i="20"/>
  <c r="X12" i="20"/>
  <c r="Z9" i="26" l="1"/>
  <c r="Z35" i="26" s="1"/>
  <c r="Z37" i="26"/>
  <c r="Y12" i="20"/>
  <c r="Y35" i="20"/>
  <c r="S27" i="59"/>
  <c r="L3" i="50" s="1"/>
  <c r="E118" i="59"/>
  <c r="AB20" i="26"/>
  <c r="AB46" i="26" s="1"/>
  <c r="AA113" i="26"/>
  <c r="AA108" i="26" s="1"/>
  <c r="AA11" i="26"/>
  <c r="H80" i="55"/>
  <c r="H54" i="55"/>
  <c r="T25" i="59"/>
  <c r="T92" i="59"/>
  <c r="T23" i="59" s="1"/>
  <c r="H2" i="35"/>
  <c r="I4" i="55" s="1"/>
  <c r="Z64" i="20"/>
  <c r="Z65" i="20" s="1"/>
  <c r="T27" i="59" l="1"/>
  <c r="AA9" i="26"/>
  <c r="AA35" i="26" s="1"/>
  <c r="AA37" i="26"/>
  <c r="Z12" i="20"/>
  <c r="Z35" i="20"/>
  <c r="AA64" i="20"/>
  <c r="AA65"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2" i="20"/>
  <c r="AA35" i="20"/>
  <c r="AB64" i="20"/>
  <c r="AB65" i="20" s="1"/>
  <c r="J2" i="35"/>
  <c r="K4" i="55" s="1"/>
  <c r="M3" i="50"/>
  <c r="AD48" i="59" l="1"/>
  <c r="AD52" i="59"/>
  <c r="AC9" i="26"/>
  <c r="AC35" i="26" s="1"/>
  <c r="AC37" i="26"/>
  <c r="W92" i="59"/>
  <c r="V23" i="59"/>
  <c r="V12" i="59" s="1"/>
  <c r="K54" i="55"/>
  <c r="K80" i="55"/>
  <c r="AB12" i="20"/>
  <c r="AB35" i="20"/>
  <c r="X84" i="59"/>
  <c r="W25" i="59"/>
  <c r="F118" i="59" s="1"/>
  <c r="AC64" i="20"/>
  <c r="AC65" i="20" s="1"/>
  <c r="K2" i="35"/>
  <c r="L4" i="55" s="1"/>
  <c r="V27" i="59"/>
  <c r="D17" i="35" s="1"/>
  <c r="E19" i="55" s="1"/>
  <c r="N3" i="50" l="1"/>
  <c r="C17" i="35"/>
  <c r="D19" i="55" s="1"/>
  <c r="D95" i="55" s="1"/>
  <c r="E69" i="55"/>
  <c r="E95" i="55"/>
  <c r="L54" i="55"/>
  <c r="L80" i="55"/>
  <c r="X92" i="59"/>
  <c r="W23" i="59"/>
  <c r="W12" i="59" s="1"/>
  <c r="F116" i="59" s="1"/>
  <c r="F120" i="59" s="1"/>
  <c r="AC35" i="20"/>
  <c r="AC12"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60" authorId="1"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2"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3"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4"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5"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6"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7"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3"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2"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5"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1"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2"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3"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4"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<sst xmlns="http://schemas.openxmlformats.org/spreadsheetml/2006/main" count="4745" uniqueCount="2241">
  <si>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</si>
  <si>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</si>
  <si>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</si>
  <si>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</si>
  <si>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</si>
  <si>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</si>
  <si>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</si>
  <si>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</si>
  <si>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</si>
  <si>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</si>
  <si>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</si>
  <si>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</si>
  <si>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</si>
  <si>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</si>
  <si>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</si>
  <si>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</si>
  <si>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</si>
  <si>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</si>
  <si>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</si>
  <si>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</si>
  <si>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</si>
  <si>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</si>
  <si>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</si>
  <si>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</si>
  <si>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</si>
  <si>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</si>
  <si>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</si>
  <si>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</si>
  <si>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</si>
  <si>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</si>
  <si>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</si>
  <si>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</si>
  <si>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</si>
  <si>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</si>
  <si>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</si>
  <si>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</si>
  <si>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</si>
  <si>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</si>
  <si>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</si>
  <si>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</si>
  <si>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</si>
  <si>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</si>
  <si>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</si>
  <si>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</si>
  <si>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</si>
  <si>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</si>
  <si>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</si>
  <si>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</si>
  <si>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</si>
  <si>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</si>
  <si>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</si>
  <si>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</si>
  <si>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</si>
  <si>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</si>
  <si>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</si>
  <si>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</si>
  <si>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</si>
  <si>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</si>
  <si>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</si>
  <si>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</si>
  <si>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</si>
  <si>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</si>
  <si>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</si>
  <si>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</si>
  <si>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</si>
  <si>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</si>
  <si>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</si>
  <si>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</si>
  <si>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</si>
  <si>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</si>
  <si>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</si>
  <si>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</si>
  <si>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</si>
  <si>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</si>
  <si>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</si>
  <si>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</si>
  <si>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</si>
  <si>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</si>
  <si>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</si>
  <si>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</si>
  <si>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</si>
  <si>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</si>
  <si>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</si>
  <si>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</si>
  <si>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</si>
  <si>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</si>
  <si>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</si>
  <si>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</si>
  <si>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</si>
  <si>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</si>
  <si>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</si>
  <si>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</si>
  <si>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</si>
  <si>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</si>
  <si>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</si>
  <si>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</si>
  <si>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</si>
  <si>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</si>
  <si>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</si>
  <si>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</si>
  <si>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</si>
  <si>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</si>
  <si>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</si>
  <si>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</si>
  <si>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</si>
  <si>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</si>
  <si>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</si>
  <si>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</si>
  <si>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</si>
  <si>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</si>
  <si>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</si>
  <si>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</si>
  <si>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</si>
  <si>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</si>
  <si>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</si>
  <si>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</si>
  <si>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</si>
  <si>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</si>
  <si>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</si>
  <si>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</si>
  <si>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</si>
  <si>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</si>
  <si>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</si>
  <si>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</si>
  <si>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</si>
  <si>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</si>
  <si>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</si>
  <si>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</si>
  <si>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</si>
  <si>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</si>
  <si>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</si>
  <si>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</si>
  <si>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</si>
  <si>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</si>
  <si>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</si>
  <si>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</si>
  <si>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</si>
  <si>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</si>
  <si>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</si>
  <si>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</si>
  <si>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</si>
  <si>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</si>
  <si>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</si>
  <si>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</si>
  <si>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</si>
  <si>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</si>
  <si>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</si>
  <si>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</si>
  <si>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</si>
  <si>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</si>
  <si>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</si>
  <si>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</si>
  <si>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</si>
  <si>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</si>
  <si>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</si>
  <si>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</si>
  <si>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</si>
  <si>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</si>
  <si>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</si>
  <si>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</si>
  <si>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</si>
  <si>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</si>
  <si>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</si>
  <si>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</si>
  <si>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</si>
  <si>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</si>
  <si>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</si>
  <si>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</si>
  <si>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</si>
  <si>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</si>
  <si>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</si>
  <si>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</si>
  <si>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</si>
  <si>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</si>
  <si>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</si>
  <si>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</si>
  <si>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</si>
  <si>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</si>
  <si>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</si>
  <si>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</si>
  <si>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</si>
  <si>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</si>
  <si>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</si>
  <si>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</si>
  <si>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</si>
  <si>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</si>
  <si>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</si>
  <si>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</si>
  <si>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</si>
  <si>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</si>
  <si>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</si>
  <si>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</si>
  <si>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</si>
  <si>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</si>
  <si>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</si>
  <si>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</si>
  <si>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</si>
  <si>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</si>
  <si>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</si>
  <si>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</si>
  <si>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</si>
  <si>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</si>
  <si>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</si>
  <si>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</si>
  <si>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</si>
  <si>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</si>
  <si>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</si>
  <si>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</si>
  <si>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</si>
  <si>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</si>
  <si>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</si>
  <si>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</si>
  <si>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</si>
  <si>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</si>
  <si>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</si>
  <si>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</si>
  <si>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</si>
  <si>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</si>
  <si>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</si>
  <si>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</si>
  <si>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</si>
  <si>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</si>
  <si>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</si>
  <si>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</si>
  <si>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</si>
  <si>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</si>
  <si>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</si>
  <si>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</si>
  <si>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</si>
  <si>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</si>
  <si>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</si>
  <si>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</si>
  <si>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</si>
  <si>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</si>
  <si>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</si>
  <si>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</si>
  <si>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</si>
  <si>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</si>
  <si>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</si>
  <si>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</si>
  <si>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</si>
  <si>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</si>
  <si>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</si>
  <si>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</si>
  <si>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</si>
  <si>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</si>
  <si>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</si>
  <si>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</si>
  <si>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</si>
  <si>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</si>
  <si>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</si>
  <si>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</si>
  <si>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</si>
  <si>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</si>
  <si>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</si>
  <si>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</si>
  <si>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</si>
  <si>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</si>
  <si>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</si>
  <si>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</si>
  <si>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</si>
  <si>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</si>
  <si>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</si>
  <si>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</si>
  <si>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</si>
  <si>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</si>
  <si>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</si>
  <si>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</si>
  <si>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</si>
  <si>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</si>
  <si>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</si>
  <si>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</si>
  <si>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</si>
  <si>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</si>
  <si>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</si>
  <si>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</si>
  <si>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</si>
  <si>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</si>
  <si>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</si>
  <si>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</si>
  <si>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</si>
  <si>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</si>
  <si>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</si>
  <si>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</si>
  <si>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</si>
  <si>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</si>
  <si>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</si>
  <si>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</si>
  <si>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</si>
  <si>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</si>
  <si>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</si>
  <si>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</si>
  <si>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</si>
  <si>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</si>
  <si>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</si>
  <si>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</si>
  <si>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</si>
  <si>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</si>
  <si>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</si>
  <si>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</si>
  <si>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</si>
  <si>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</si>
  <si>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</si>
  <si>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</si>
  <si>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</si>
  <si>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</si>
  <si>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</si>
  <si>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</si>
  <si>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</si>
  <si>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</si>
  <si>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</si>
  <si>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</si>
  <si>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</si>
  <si>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</si>
  <si>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</si>
  <si>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</si>
  <si>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</si>
  <si>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</si>
  <si>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</si>
  <si>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</si>
  <si>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</si>
  <si>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</si>
  <si>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</si>
  <si>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</si>
  <si>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</si>
  <si>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</si>
  <si>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</si>
  <si>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</si>
  <si>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</si>
  <si>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</si>
  <si>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</si>
  <si>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</si>
  <si>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</si>
  <si>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</si>
  <si>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</si>
  <si>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</si>
  <si>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</si>
  <si>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</si>
  <si>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</si>
  <si>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</si>
  <si>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</si>
  <si>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</si>
  <si>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</si>
  <si>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</si>
  <si>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</si>
  <si>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</si>
  <si>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</si>
  <si>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</si>
  <si>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</si>
  <si>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</si>
  <si>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</si>
  <si>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</si>
  <si>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</si>
  <si>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</si>
  <si>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</si>
  <si>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</si>
  <si>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</si>
  <si>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</si>
  <si>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</si>
  <si>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</si>
  <si>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</si>
  <si>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</si>
  <si>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</si>
  <si>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</si>
  <si>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</si>
  <si>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</si>
  <si>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</si>
  <si>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</si>
  <si>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</si>
  <si>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</si>
  <si>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</si>
  <si>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</si>
  <si>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</si>
  <si>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</si>
  <si>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</si>
  <si>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</si>
  <si>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</si>
  <si>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</si>
  <si>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</si>
  <si>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</si>
  <si>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</si>
  <si>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</si>
  <si>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</si>
  <si>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</si>
  <si>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</si>
  <si>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</si>
  <si>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</si>
  <si>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</si>
  <si>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</si>
  <si>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</si>
  <si>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</si>
  <si>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</si>
  <si>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</si>
  <si>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</si>
  <si>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</si>
  <si>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</si>
  <si>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</si>
  <si>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</si>
  <si>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</si>
  <si>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</si>
  <si>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</si>
  <si>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</si>
  <si>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</si>
  <si>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</si>
  <si>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</si>
  <si>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</si>
  <si>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</si>
  <si>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</si>
  <si>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</si>
  <si>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</si>
  <si>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</si>
  <si>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</si>
  <si>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</si>
  <si>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</si>
  <si>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</si>
  <si>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</si>
  <si>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</si>
  <si>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</si>
  <si>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</si>
  <si>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</si>
  <si>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</si>
  <si>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</si>
  <si>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</si>
  <si>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</si>
  <si>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</si>
  <si>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</si>
  <si>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</si>
  <si>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</si>
  <si>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</si>
  <si>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</si>
  <si>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</si>
  <si>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</si>
  <si>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</si>
  <si>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</si>
  <si>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</si>
  <si>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</si>
  <si>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</si>
  <si>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</si>
  <si>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</si>
  <si>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</si>
  <si>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</si>
  <si>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</si>
  <si>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</si>
  <si>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</si>
  <si>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</si>
  <si>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</si>
  <si>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</si>
  <si>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</si>
  <si>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</si>
  <si>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</si>
  <si>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</si>
  <si>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</si>
  <si>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</si>
  <si>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</si>
  <si>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</si>
  <si>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</si>
  <si>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</si>
  <si>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</si>
  <si>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</si>
  <si>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</si>
  <si>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</si>
  <si>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</si>
  <si>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</si>
  <si>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</si>
  <si>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</si>
  <si>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</si>
  <si>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</si>
  <si>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</si>
  <si>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</si>
  <si>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</si>
  <si>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</si>
  <si>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</si>
  <si>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</si>
  <si>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</si>
  <si>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</si>
  <si>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</si>
  <si>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</si>
  <si>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</si>
  <si>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</si>
  <si>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</si>
  <si>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</si>
  <si>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</si>
  <si>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</si>
  <si>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</si>
  <si>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</si>
  <si>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</si>
  <si>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</si>
  <si>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</si>
  <si>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</si>
  <si>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</si>
  <si>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</si>
  <si>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</si>
  <si>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</si>
  <si>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</si>
  <si>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</si>
  <si>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</si>
  <si>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</si>
  <si>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</si>
  <si>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</si>
  <si>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</si>
  <si>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</si>
  <si>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</si>
  <si>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</si>
  <si>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</si>
  <si>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</si>
  <si>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</si>
  <si>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</si>
  <si>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</si>
  <si>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</si>
  <si>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</si>
  <si>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</si>
  <si>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</si>
  <si>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</si>
  <si>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</si>
  <si>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</si>
  <si>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</si>
  <si>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</si>
  <si>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</si>
  <si>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</si>
  <si>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</si>
  <si>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</si>
  <si>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</si>
  <si>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</si>
  <si>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</si>
  <si>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</si>
  <si>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</si>
  <si>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</si>
  <si>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</si>
  <si>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</si>
  <si>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</si>
  <si>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</si>
  <si>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</si>
  <si>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</si>
  <si>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</si>
  <si>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</si>
  <si>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</si>
  <si>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</si>
  <si>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</si>
  <si>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</si>
  <si>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</si>
  <si>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</si>
  <si>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</si>
  <si>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</si>
  <si>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</si>
  <si>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</si>
  <si>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</si>
  <si>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</si>
  <si>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</si>
  <si>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</si>
  <si>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</si>
  <si>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</si>
  <si>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</si>
  <si>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</si>
  <si>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</si>
  <si>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</si>
  <si>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</si>
  <si>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</si>
  <si>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</si>
  <si>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</si>
  <si>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</si>
  <si>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</si>
  <si>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</si>
  <si>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</si>
  <si>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</si>
  <si>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</si>
  <si>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</si>
  <si>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</si>
  <si>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</si>
  <si>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</si>
  <si>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</si>
  <si>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</si>
  <si>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</si>
  <si>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</si>
  <si>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</si>
  <si>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</si>
  <si>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</si>
  <si>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</si>
  <si>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</si>
  <si>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</si>
  <si>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</si>
  <si>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</si>
  <si>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</si>
  <si>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</si>
  <si>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</si>
  <si>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</si>
  <si>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</si>
  <si>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</si>
  <si>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</si>
  <si>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</si>
  <si>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</si>
  <si>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</si>
  <si>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</si>
  <si>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</si>
  <si>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</si>
  <si>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</si>
  <si>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</si>
  <si>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</si>
  <si>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</si>
  <si>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</si>
  <si>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</si>
  <si>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</si>
  <si>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</si>
  <si>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</si>
  <si>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</si>
  <si>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</si>
  <si>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</si>
  <si>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</si>
  <si>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</si>
  <si>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</si>
  <si>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</si>
  <si>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</si>
  <si>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</si>
  <si>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</si>
  <si>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</si>
  <si>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</si>
  <si>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</si>
  <si>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</si>
  <si>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</si>
  <si>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</si>
  <si>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</si>
  <si>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</si>
  <si>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</si>
  <si>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</si>
  <si>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</si>
  <si>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</si>
  <si>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</si>
  <si>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</si>
  <si>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</si>
  <si>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</si>
  <si>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</si>
  <si>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</si>
  <si>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</si>
  <si>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</si>
  <si>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</si>
  <si>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</si>
  <si>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</si>
  <si>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</si>
  <si>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</si>
  <si>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</si>
  <si>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</si>
  <si>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</si>
  <si>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</si>
  <si>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</si>
  <si>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</si>
  <si>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</si>
  <si>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</si>
  <si>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</si>
  <si>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</si>
  <si>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</si>
  <si>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</si>
  <si>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</si>
  <si>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</si>
  <si>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</si>
  <si>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</si>
  <si>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</si>
  <si>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</si>
  <si>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</si>
  <si>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</si>
  <si>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</si>
  <si>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</si>
  <si>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</si>
  <si>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</si>
  <si>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</si>
  <si>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</si>
  <si>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</si>
  <si>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</si>
  <si>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</si>
  <si>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</si>
  <si>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</si>
  <si>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</si>
  <si>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</si>
  <si>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</si>
  <si>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</si>
  <si>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</si>
  <si>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</si>
  <si>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</si>
  <si>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</si>
  <si>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</si>
  <si>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</si>
  <si>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</si>
  <si>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</si>
  <si>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</si>
  <si>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</si>
  <si>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</si>
  <si>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</si>
  <si>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</si>
  <si>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</si>
  <si>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</si>
  <si>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</si>
  <si>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</si>
  <si>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</si>
  <si>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</si>
  <si>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</si>
  <si>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</si>
  <si>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</si>
  <si>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</si>
  <si>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</si>
  <si>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</si>
  <si>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</si>
  <si>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</si>
  <si>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</si>
  <si>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</si>
  <si>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</si>
  <si>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</si>
  <si>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</si>
  <si>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</si>
  <si>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</si>
  <si>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</si>
  <si>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</si>
  <si>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</si>
  <si>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</si>
  <si>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</si>
  <si>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</si>
  <si>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</si>
  <si>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</si>
  <si>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</si>
  <si>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</si>
  <si>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</si>
  <si>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</si>
  <si>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</si>
  <si>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</si>
  <si>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</si>
  <si>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</si>
  <si>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</si>
  <si>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</si>
  <si>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</si>
  <si>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</si>
  <si>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</si>
  <si>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</si>
  <si>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</si>
  <si>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</si>
  <si>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</si>
  <si>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</si>
  <si>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</si>
  <si>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</si>
  <si>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</si>
  <si>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</si>
  <si>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</si>
  <si>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</si>
  <si>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</si>
  <si>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</si>
  <si>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</si>
  <si>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</si>
  <si>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</si>
  <si>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</si>
  <si>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</si>
  <si>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</si>
  <si>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</si>
  <si>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</si>
  <si>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</si>
  <si>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</si>
  <si>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</si>
  <si>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</si>
  <si>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</si>
  <si>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</si>
  <si>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</si>
  <si>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</si>
  <si>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</si>
  <si>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</si>
  <si>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</si>
  <si>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</si>
  <si>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</si>
  <si>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</si>
  <si>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</si>
  <si>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</si>
  <si>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</si>
  <si>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</si>
  <si>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</si>
  <si>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</si>
  <si>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</si>
  <si>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</si>
  <si>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</si>
  <si>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</si>
  <si>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</si>
  <si>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</si>
  <si>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</si>
  <si>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</si>
  <si>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</si>
  <si>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</si>
  <si>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</si>
  <si>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</si>
  <si>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</si>
  <si>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</si>
  <si>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</si>
  <si>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</si>
  <si>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</si>
  <si>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</si>
  <si>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</si>
  <si>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</si>
  <si>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</si>
  <si>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</si>
  <si>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</si>
  <si>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</si>
  <si>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</si>
  <si>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</si>
  <si>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</si>
  <si>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</si>
  <si>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</si>
  <si>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</si>
  <si>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</si>
  <si>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</si>
  <si>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</si>
  <si>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</si>
  <si>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</si>
  <si>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</si>
  <si>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</si>
  <si>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</si>
  <si>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</si>
  <si>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</si>
  <si>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</si>
  <si>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</si>
  <si>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</si>
  <si>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</si>
  <si>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</si>
  <si>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</si>
  <si>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</si>
  <si>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</si>
  <si>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</si>
  <si>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</si>
  <si>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</si>
  <si>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</si>
  <si>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</si>
  <si>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</si>
  <si>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</si>
  <si>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</si>
  <si>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</si>
  <si>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</si>
  <si>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</si>
  <si>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</si>
  <si>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</si>
  <si>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</si>
  <si>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</si>
  <si>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</si>
  <si>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</si>
  <si>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</si>
  <si>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</si>
  <si>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</si>
  <si>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</si>
  <si>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</si>
  <si>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</si>
  <si>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</si>
  <si>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</si>
  <si>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</si>
  <si>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</si>
  <si>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</si>
  <si>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</si>
  <si>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</si>
  <si>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</si>
  <si>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</si>
  <si>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</si>
  <si>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</si>
  <si>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</si>
  <si>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</si>
  <si>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</si>
  <si>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</si>
  <si>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</si>
  <si>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</si>
  <si>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</si>
  <si>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</si>
  <si>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</si>
  <si>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</si>
  <si>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</si>
  <si>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</si>
  <si>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</si>
  <si>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</si>
  <si>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</si>
  <si>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</si>
  <si>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</si>
  <si>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</si>
  <si>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</si>
  <si>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</si>
  <si>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</si>
  <si>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</si>
  <si>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</si>
  <si>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</si>
  <si>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</si>
  <si>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</si>
  <si>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</si>
  <si>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</si>
  <si>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</si>
  <si>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</si>
  <si>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</si>
  <si>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</si>
  <si>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</si>
  <si>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</si>
  <si>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</si>
  <si>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</si>
  <si>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</si>
  <si>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</si>
  <si>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</si>
  <si>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</si>
  <si>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</si>
  <si>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</si>
  <si>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</si>
  <si>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</si>
  <si>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</si>
  <si>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</si>
  <si>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</si>
  <si>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</si>
  <si>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</si>
  <si>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</si>
  <si>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</si>
  <si>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</si>
  <si>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</si>
  <si>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</si>
  <si>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</si>
  <si>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</si>
  <si>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</si>
  <si>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</si>
  <si>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</si>
  <si>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</si>
  <si>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</si>
  <si>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</si>
  <si>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</si>
  <si>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</si>
  <si>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</si>
  <si>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</si>
  <si>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</si>
  <si>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</si>
  <si>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</si>
  <si>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</si>
  <si>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</si>
  <si>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</si>
  <si>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</si>
  <si>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</si>
  <si>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</si>
  <si>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</si>
  <si>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</si>
  <si>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</si>
  <si>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</si>
  <si>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</si>
  <si>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</si>
  <si>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</si>
  <si>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</si>
  <si>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</si>
  <si>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</si>
  <si>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</si>
  <si>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</si>
  <si>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</si>
  <si>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</si>
  <si>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</si>
  <si>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</si>
  <si>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</si>
  <si>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</si>
  <si>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</si>
  <si>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</si>
  <si>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</si>
  <si>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</si>
  <si>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</si>
  <si>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</si>
  <si>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</si>
  <si>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</si>
  <si>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</si>
  <si>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</si>
  <si>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</si>
  <si>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</si>
  <si>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</si>
  <si>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</si>
  <si>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</si>
  <si>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</si>
  <si>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</si>
  <si>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</si>
  <si>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</si>
  <si>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</si>
  <si>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</si>
  <si>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</si>
  <si>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</si>
  <si>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</si>
  <si>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</si>
  <si>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</si>
  <si>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</si>
  <si>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</si>
  <si>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</si>
  <si>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</si>
  <si>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</si>
  <si>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</si>
  <si>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</si>
  <si>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</si>
  <si>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</si>
  <si>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</si>
  <si>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</si>
  <si>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</si>
  <si>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</si>
  <si>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</si>
  <si>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</si>
  <si>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</si>
  <si>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</si>
  <si>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</si>
  <si>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</si>
  <si>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</si>
  <si>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</si>
  <si>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</si>
  <si>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</si>
  <si>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</si>
  <si>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</si>
  <si>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</si>
  <si>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</si>
  <si>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</si>
  <si>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</si>
  <si>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</si>
  <si>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</si>
  <si>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</si>
  <si>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</si>
  <si>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</si>
  <si>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</si>
  <si>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</si>
  <si>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</si>
  <si>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</si>
  <si>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</si>
  <si>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</si>
  <si>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</si>
  <si>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</si>
  <si>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</si>
  <si>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</si>
  <si>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</si>
  <si>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</si>
  <si>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</si>
  <si>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</si>
  <si>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</si>
  <si>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</si>
  <si>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</si>
  <si>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</si>
  <si>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</si>
  <si>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</si>
  <si>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</si>
  <si>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</si>
  <si>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</si>
  <si>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</si>
  <si>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</si>
  <si>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</si>
  <si>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</si>
  <si>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</si>
  <si>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</si>
  <si>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</si>
  <si>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</si>
  <si>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</si>
  <si>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</si>
  <si>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</si>
  <si>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</si>
  <si>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</si>
  <si>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</si>
  <si>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</si>
  <si>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</si>
  <si>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</si>
  <si>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</si>
  <si>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</si>
  <si>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</si>
  <si>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</si>
  <si>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</si>
  <si>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</si>
  <si>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</si>
  <si>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</si>
  <si>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</si>
  <si>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</si>
  <si>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</si>
  <si>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</si>
  <si>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</si>
  <si>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</si>
  <si>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</si>
  <si>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</si>
  <si>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</si>
  <si>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</si>
  <si>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</si>
  <si>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</si>
  <si>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</si>
  <si>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</si>
  <si>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</si>
  <si>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</si>
  <si>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</si>
  <si>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</si>
  <si>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</si>
  <si>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</si>
  <si>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</si>
  <si>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</si>
  <si>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</si>
  <si>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</si>
  <si>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</si>
  <si>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</si>
  <si>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</si>
  <si>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</si>
  <si>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</si>
  <si>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</si>
  <si>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</si>
  <si>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</si>
  <si>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</si>
  <si>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</si>
  <si>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</si>
  <si>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</si>
  <si>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</si>
  <si>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</si>
  <si>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</si>
  <si>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</si>
  <si>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</si>
  <si>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</si>
  <si>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</si>
  <si>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</si>
  <si>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</si>
  <si>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</si>
  <si>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</si>
  <si>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</si>
  <si>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</si>
  <si>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</si>
  <si>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</si>
  <si>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</si>
  <si>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</si>
  <si>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</si>
  <si>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</si>
  <si>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</si>
  <si>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</si>
  <si>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</si>
  <si>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</si>
  <si>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</si>
  <si>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</si>
  <si>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</si>
  <si>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</si>
  <si>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</si>
  <si>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</si>
  <si>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</si>
  <si>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</si>
  <si>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</si>
  <si>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</si>
  <si>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</si>
  <si>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</si>
  <si>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</si>
  <si>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</si>
  <si>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</si>
  <si>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</si>
  <si>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</si>
  <si>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</si>
  <si>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</si>
  <si>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</si>
  <si>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</si>
  <si>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</si>
  <si>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</si>
  <si>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</si>
  <si>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</si>
  <si>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</si>
  <si>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</si>
  <si>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</si>
  <si>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</si>
  <si>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</si>
  <si>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</si>
  <si>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</si>
  <si>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</si>
  <si>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</si>
  <si>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</si>
  <si>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</si>
  <si>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</si>
  <si>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</si>
  <si>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</si>
  <si>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</si>
  <si>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</si>
  <si>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</si>
  <si>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</si>
  <si>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</si>
  <si>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</si>
  <si>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</si>
  <si>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</si>
  <si>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</si>
  <si>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</si>
  <si>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</si>
  <si>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</si>
  <si>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</si>
  <si>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</si>
  <si>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</si>
  <si>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</si>
  <si>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</si>
  <si>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</si>
  <si>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</si>
  <si>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</si>
  <si>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</si>
  <si>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</si>
  <si>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</si>
  <si>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</si>
  <si>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</si>
  <si>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</si>
  <si>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</si>
  <si>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</si>
  <si>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</si>
  <si>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</si>
  <si>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</si>
  <si>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</si>
  <si>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</si>
  <si>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</si>
  <si>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</si>
  <si>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</si>
  <si>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</si>
  <si>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</si>
  <si>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</si>
  <si>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</si>
  <si>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</si>
  <si>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</si>
  <si>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</si>
  <si>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</si>
  <si>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</si>
  <si>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</si>
  <si>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</si>
  <si>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</si>
  <si>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</si>
  <si>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</si>
  <si>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</si>
  <si>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</si>
  <si>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</si>
  <si>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</si>
  <si>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</si>
  <si>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</si>
  <si>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</si>
  <si>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</si>
  <si>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</si>
  <si>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</si>
  <si>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</si>
  <si>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</si>
  <si>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</si>
  <si>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</si>
  <si>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</si>
  <si>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</si>
  <si>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</si>
  <si>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</si>
  <si>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</si>
  <si>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</si>
  <si>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</si>
  <si>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</si>
  <si>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</si>
  <si>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</si>
  <si>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</si>
  <si>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</si>
  <si>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</si>
  <si>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</si>
  <si>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</si>
  <si>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</si>
  <si>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</si>
  <si>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</si>
  <si>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</si>
  <si>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</si>
  <si>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</si>
  <si>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</si>
  <si>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</si>
  <si>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</si>
  <si>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</si>
  <si>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</si>
  <si>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</si>
  <si>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</si>
  <si>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</si>
  <si>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</si>
  <si>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</si>
  <si>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</si>
  <si>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</si>
  <si>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</si>
  <si>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</si>
  <si>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</si>
  <si>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</si>
  <si>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</si>
  <si>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</si>
  <si>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</si>
  <si>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</si>
  <si>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</si>
  <si>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</si>
  <si>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</si>
  <si>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</si>
  <si>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</si>
  <si>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</si>
  <si>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</si>
  <si>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</si>
  <si>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</si>
  <si>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</si>
  <si>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</si>
  <si>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</si>
  <si>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</si>
  <si>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</si>
  <si>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</si>
  <si>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</si>
  <si>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</si>
  <si>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</si>
  <si>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</si>
  <si>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</si>
  <si>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</si>
  <si>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</si>
  <si>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</si>
  <si>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</si>
  <si>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</si>
  <si>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</si>
  <si>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</si>
  <si>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</si>
  <si>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</si>
  <si>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</si>
  <si>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</si>
  <si>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</si>
  <si>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</si>
  <si>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</si>
  <si>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</si>
  <si>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</si>
  <si>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</si>
  <si>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</si>
  <si>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</si>
  <si>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</si>
  <si>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</si>
  <si>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</si>
  <si>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</si>
  <si>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</si>
  <si>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</si>
  <si>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</si>
  <si>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</si>
  <si>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</si>
  <si>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</si>
  <si>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</si>
  <si>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</si>
  <si>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</si>
  <si>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</si>
  <si>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</si>
  <si>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</si>
  <si>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</si>
  <si>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</si>
  <si>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</si>
  <si>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</si>
  <si>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</si>
  <si>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</si>
  <si>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</si>
  <si>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</si>
  <si>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</si>
  <si>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</si>
  <si>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</si>
  <si>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</si>
  <si>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</si>
  <si>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</si>
  <si>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</si>
  <si>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</si>
  <si>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</si>
  <si>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</si>
  <si>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</si>
  <si>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</si>
  <si>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</si>
  <si>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</si>
  <si>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</si>
  <si>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</si>
  <si>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</si>
  <si>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</si>
  <si>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</si>
  <si>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</si>
  <si>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</si>
  <si>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</si>
  <si>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</si>
  <si>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</si>
  <si>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</si>
  <si>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</si>
  <si>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</si>
  <si>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</si>
  <si>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</si>
  <si>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</si>
  <si>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</si>
  <si>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</si>
  <si>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</si>
  <si>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</si>
  <si>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</si>
  <si>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</si>
  <si>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</si>
  <si>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</si>
  <si>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</si>
  <si>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</si>
  <si>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</si>
  <si>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</si>
  <si>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</si>
  <si>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</si>
  <si>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</si>
  <si>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</si>
  <si>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</si>
  <si>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</si>
  <si>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</si>
  <si>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</si>
  <si>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</si>
  <si>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</si>
  <si>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</si>
  <si>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</si>
  <si>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</si>
  <si>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</si>
  <si>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</si>
  <si>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</si>
  <si>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</si>
  <si>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</si>
  <si>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</si>
  <si>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</si>
  <si>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</si>
  <si>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</si>
  <si>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</si>
  <si>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</si>
  <si>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</si>
  <si>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</si>
  <si>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</si>
  <si>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</si>
  <si>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</si>
  <si>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</si>
  <si>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</si>
  <si>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</si>
  <si>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</si>
  <si>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</si>
  <si>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</si>
  <si>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</si>
  <si>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</si>
  <si>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</si>
  <si>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</si>
  <si>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</si>
  <si>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</si>
  <si>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</si>
  <si>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</si>
  <si>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</si>
  <si>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</si>
  <si>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</si>
  <si>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</si>
  <si>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</si>
  <si>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</si>
  <si>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</si>
  <si>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</si>
  <si>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</si>
  <si>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</si>
  <si>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</si>
  <si>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</si>
  <si>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</si>
  <si>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</si>
  <si>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</si>
  <si>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</si>
  <si>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</si>
  <si>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</si>
  <si>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</si>
  <si>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</si>
  <si>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</si>
  <si>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</si>
  <si>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</si>
  <si>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</si>
  <si>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</si>
  <si>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</si>
  <si>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</si>
  <si>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</si>
  <si>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</si>
  <si>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</si>
  <si>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</si>
  <si>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</si>
  <si>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</si>
  <si>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</si>
  <si>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</si>
  <si>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</si>
  <si>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</si>
  <si>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</si>
  <si>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</si>
  <si>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</si>
  <si>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</si>
  <si>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</si>
  <si>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</si>
  <si>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</si>
  <si>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</si>
  <si>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</si>
  <si>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</si>
  <si>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</si>
  <si>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</si>
  <si>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</si>
  <si>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</si>
  <si>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</si>
  <si>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</si>
  <si>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</si>
  <si>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</si>
  <si>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</si>
  <si>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</si>
  <si>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</si>
  <si>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</si>
  <si>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</si>
  <si>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</si>
  <si>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</si>
  <si>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</si>
  <si>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</si>
  <si>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</si>
  <si>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</si>
  <si>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</si>
  <si>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</si>
  <si>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</si>
  <si>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</si>
  <si>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</si>
  <si>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</si>
  <si>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</si>
  <si>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</si>
  <si>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</si>
  <si>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</si>
  <si>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</si>
  <si>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</si>
  <si>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</si>
  <si>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</si>
  <si>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</si>
  <si>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</si>
  <si>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</si>
  <si>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</si>
  <si>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</si>
  <si>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</si>
  <si>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</si>
  <si>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</si>
  <si>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</si>
  <si>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</si>
  <si>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</si>
  <si>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</si>
  <si>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</si>
  <si>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</si>
  <si>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</si>
  <si>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</si>
  <si>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</si>
  <si>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</si>
  <si>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</si>
  <si>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</si>
  <si>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</si>
  <si>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</si>
  <si>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</si>
  <si>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</si>
  <si>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</si>
  <si>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</si>
  <si>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</si>
  <si>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</si>
  <si>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</si>
  <si>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</si>
  <si>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</si>
  <si>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</si>
  <si>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</si>
  <si>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</si>
  <si>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</si>
  <si>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</si>
  <si>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</si>
  <si>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</si>
  <si>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</si>
  <si>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</si>
  <si>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</si>
  <si>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</si>
  <si>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</si>
  <si>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</si>
  <si>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</si>
  <si>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</si>
  <si>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</si>
  <si>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</si>
  <si>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</si>
  <si>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</si>
  <si>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</si>
  <si>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</si>
  <si>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</si>
  <si>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</si>
  <si>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</si>
  <si>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</si>
  <si>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</si>
  <si>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</si>
  <si>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</si>
  <si>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</si>
  <si>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</si>
  <si>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</si>
  <si>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</si>
  <si>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</si>
  <si>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</si>
  <si>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</si>
  <si>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</si>
  <si>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</si>
  <si>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</si>
  <si>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</si>
  <si>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</si>
  <si>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</si>
  <si>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</si>
  <si>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</si>
  <si>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</si>
  <si>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</si>
  <si>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</si>
  <si>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</si>
  <si>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</si>
  <si>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</si>
  <si>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</si>
  <si>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</si>
  <si>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</si>
  <si>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</si>
  <si>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</si>
  <si>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</si>
  <si>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</si>
  <si>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</si>
  <si>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</si>
  <si>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</si>
  <si>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</si>
  <si>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</si>
  <si>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</si>
  <si>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</si>
  <si>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</si>
  <si>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</si>
  <si>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</si>
  <si>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</si>
  <si>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</si>
  <si>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</si>
  <si>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</si>
  <si>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</si>
  <si>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</si>
  <si>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</si>
  <si>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</si>
  <si>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</si>
  <si>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</si>
  <si>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</si>
  <si>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</si>
  <si>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</si>
  <si>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</si>
  <si>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</si>
  <si>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</si>
  <si>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</si>
  <si>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</si>
  <si>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</si>
  <si>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</si>
  <si>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</si>
  <si>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</si>
  <si>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</si>
  <si>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</si>
  <si>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</si>
  <si>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</si>
  <si>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</si>
  <si>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</si>
  <si>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</si>
  <si>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</si>
  <si>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</si>
  <si>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</si>
  <si>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</si>
  <si>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</si>
  <si>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</si>
  <si>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</si>
  <si>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</si>
  <si>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</si>
  <si>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</si>
  <si>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</si>
  <si>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</si>
  <si>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</si>
  <si>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</si>
  <si>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</si>
  <si>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</si>
  <si>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</si>
  <si>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</si>
  <si>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</si>
  <si>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</si>
  <si>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</si>
  <si>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</si>
  <si>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</si>
  <si>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</si>
  <si>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</si>
  <si>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</si>
  <si>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</si>
  <si>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</si>
  <si>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</si>
  <si>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</si>
  <si>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</si>
  <si>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</si>
  <si>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</si>
  <si>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</si>
  <si>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</si>
  <si>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</si>
  <si>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</si>
  <si>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</si>
  <si>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</si>
  <si>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</si>
  <si>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</si>
  <si>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</si>
  <si>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</si>
  <si>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</si>
  <si>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</si>
  <si>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</si>
  <si>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</si>
  <si>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</si>
  <si>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</si>
  <si>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</si>
  <si>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</si>
  <si>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</si>
  <si>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</si>
  <si>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</si>
  <si>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</si>
  <si>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</si>
  <si>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</si>
  <si>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</si>
  <si>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</si>
  <si>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</si>
  <si>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</si>
  <si>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</si>
  <si>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</si>
  <si>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</si>
  <si>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</si>
  <si>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</si>
  <si>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</si>
  <si>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</si>
  <si>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</si>
  <si>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</si>
  <si>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</si>
  <si>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</si>
  <si>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</si>
  <si>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</si>
  <si>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</si>
  <si>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</si>
  <si>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</si>
  <si>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</si>
  <si>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</si>
  <si>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</si>
  <si>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</si>
  <si>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</si>
  <si>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</si>
  <si>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</si>
  <si>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</si>
  <si>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</si>
  <si>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</si>
  <si>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</si>
  <si>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</si>
  <si>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</si>
  <si>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</si>
  <si>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</si>
  <si>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</si>
  <si>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</si>
  <si>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</si>
  <si>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</si>
  <si>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</si>
  <si>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</si>
  <si>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</si>
  <si>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</si>
  <si>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</si>
  <si>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</si>
  <si>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</si>
  <si>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</si>
  <si>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</si>
  <si>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</si>
  <si>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</si>
  <si>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</si>
  <si>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</si>
  <si>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</si>
  <si>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</si>
  <si>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</si>
  <si>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</si>
  <si>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</si>
  <si>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</si>
  <si>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</si>
  <si>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</si>
  <si>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</si>
  <si>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</si>
  <si>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</si>
  <si>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</si>
  <si>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</si>
  <si>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</si>
  <si>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</si>
  <si>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</si>
  <si>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</si>
  <si>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</si>
  <si>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</si>
  <si>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</si>
  <si>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</si>
  <si>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</si>
  <si>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</si>
  <si>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</si>
  <si>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</si>
  <si>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</si>
  <si>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</si>
  <si>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</si>
  <si>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</si>
  <si>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</si>
  <si>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</si>
  <si>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</si>
  <si>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</si>
  <si>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</si>
  <si>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</si>
  <si>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</si>
  <si>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</si>
  <si>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</si>
  <si>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</si>
  <si>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</si>
  <si>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</si>
  <si>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</si>
  <si>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</si>
  <si>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</si>
  <si>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</si>
  <si>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</si>
  <si>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</si>
  <si>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</si>
  <si>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</si>
  <si>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</si>
  <si>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</si>
  <si>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</si>
  <si>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</si>
  <si>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</si>
  <si>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</si>
  <si>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</si>
  <si>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</si>
  <si>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</si>
  <si>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</si>
  <si>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</si>
  <si>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</si>
  <si>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</si>
  <si>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</si>
  <si>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</si>
  <si>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</si>
  <si>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</si>
  <si>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</si>
  <si>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</si>
  <si>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</si>
  <si>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</si>
  <si>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</si>
  <si>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</si>
  <si>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</si>
  <si>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</si>
  <si>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</si>
  <si>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</si>
  <si>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</si>
  <si>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</si>
  <si>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</si>
  <si>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</si>
  <si>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</si>
  <si>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</si>
  <si>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</si>
  <si>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</si>
  <si>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</si>
  <si>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</si>
  <si>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</si>
  <si>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</si>
  <si>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</si>
  <si>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</si>
  <si>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</si>
  <si>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</si>
  <si>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</si>
  <si>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</si>
  <si>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</si>
  <si>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</si>
  <si>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</si>
  <si>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</si>
  <si>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</si>
  <si>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</si>
  <si>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</si>
  <si>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</si>
  <si>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</si>
  <si>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</si>
  <si>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</si>
  <si>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</si>
  <si>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</si>
  <si>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</si>
  <si>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</si>
  <si>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</si>
  <si>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</si>
  <si>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</si>
  <si>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</si>
  <si>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</si>
  <si>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</si>
  <si>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</si>
  <si>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</si>
  <si>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</si>
  <si>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</si>
  <si>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</si>
  <si>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</si>
  <si>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</si>
  <si>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</si>
  <si>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</si>
  <si>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</si>
  <si>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</si>
  <si>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</si>
  <si>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</si>
  <si>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</si>
  <si>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</si>
  <si>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</si>
  <si>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</si>
  <si>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</si>
  <si>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</si>
  <si>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</si>
  <si>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</si>
  <si>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</si>
  <si>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</si>
  <si>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</si>
  <si>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</si>
  <si>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</si>
  <si>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</si>
  <si>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</si>
  <si>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</si>
  <si>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</si>
  <si>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</si>
  <si>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</si>
  <si>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</si>
  <si>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</si>
  <si>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</si>
  <si>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</si>
  <si>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</si>
  <si>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</si>
  <si>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</si>
  <si>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</si>
  <si>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</si>
  <si>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</si>
  <si>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</si>
  <si>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</si>
  <si>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</si>
  <si>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</si>
  <si>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</si>
  <si>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</si>
  <si>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</si>
  <si>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</si>
  <si>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</si>
  <si>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</si>
  <si>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</si>
  <si>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</si>
  <si>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</si>
  <si>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</si>
  <si>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</si>
  <si>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</si>
  <si>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</si>
  <si>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</si>
  <si>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</si>
  <si>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</si>
  <si>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</si>
  <si>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</si>
  <si>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</si>
  <si>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</si>
  <si>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</si>
  <si>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</si>
  <si>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</si>
  <si>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</si>
  <si>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</si>
  <si>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</si>
  <si>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</si>
  <si>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</si>
  <si>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</si>
  <si>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</si>
  <si>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</si>
  <si>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</si>
  <si>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</si>
  <si>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</si>
  <si>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</si>
  <si>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</si>
  <si>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</si>
  <si>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</si>
  <si>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</si>
  <si>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</si>
  <si>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</si>
  <si>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</si>
  <si>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</si>
  <si>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</si>
  <si>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</si>
  <si>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</si>
  <si>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</si>
  <si>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</si>
  <si>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</si>
  <si>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</si>
  <si>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</si>
  <si>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</si>
  <si>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</si>
  <si>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</si>
  <si>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</si>
  <si>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</si>
  <si>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</si>
  <si>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</si>
  <si>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</si>
  <si>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</si>
  <si>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</si>
  <si>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</si>
  <si>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</si>
  <si>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</si>
  <si>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</si>
  <si>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</si>
  <si>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</si>
  <si>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</si>
  <si>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</si>
  <si>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</si>
  <si>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</si>
  <si>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</si>
  <si>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</si>
  <si>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</si>
  <si>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</si>
  <si>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</si>
  <si>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</si>
  <si>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</si>
  <si>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</si>
  <si>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</si>
  <si>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</si>
  <si>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</si>
  <si>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</si>
  <si>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</si>
  <si>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</si>
  <si>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</si>
  <si>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</si>
  <si>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</si>
  <si>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</si>
  <si>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</si>
  <si>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</si>
  <si>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</si>
  <si>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</si>
  <si>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</si>
  <si>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</si>
  <si>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</si>
  <si>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</si>
  <si>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</si>
  <si>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</si>
  <si>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</si>
  <si>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</si>
  <si>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</si>
  <si>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</si>
  <si>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</si>
  <si>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</si>
  <si>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</si>
  <si>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</si>
  <si>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</si>
  <si>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</si>
  <si>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</si>
  <si>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</si>
  <si>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</si>
  <si>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</si>
  <si>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</si>
  <si>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</si>
  <si>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</si>
  <si>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</si>
  <si>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</si>
  <si>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</si>
  <si>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</si>
  <si>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</si>
  <si>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</si>
  <si>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</si>
  <si>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</si>
  <si>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</si>
  <si>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</si>
  <si>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</si>
  <si>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</si>
  <si>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</si>
  <si>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</si>
  <si>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</si>
  <si>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</si>
  <si>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</si>
  <si>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</si>
  <si>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</si>
  <si>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</si>
  <si>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</si>
  <si>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</si>
  <si>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</si>
  <si>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</si>
  <si>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</si>
  <si>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</si>
  <si>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</si>
  <si>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</si>
  <si>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</si>
  <si>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</si>
  <si>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</si>
  <si>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</si>
  <si>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</si>
  <si>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</si>
  <si>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</si>
  <si>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</si>
  <si>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</si>
  <si>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</si>
  <si>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</si>
  <si>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</si>
  <si>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</si>
  <si>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</si>
  <si>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</si>
  <si>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</si>
  <si>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</si>
  <si>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</si>
  <si>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</si>
  <si>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</si>
  <si>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</si>
  <si>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</si>
  <si>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</si>
  <si>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</si>
  <si>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</si>
  <si>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</si>
  <si>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</si>
  <si>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</si>
  <si>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</si>
  <si>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</si>
  <si>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</si>
  <si>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</si>
  <si>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</si>
  <si>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</si>
  <si>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</si>
  <si>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</si>
  <si>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</si>
  <si>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</si>
  <si>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</si>
  <si>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</si>
  <si>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</si>
  <si>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</si>
  <si>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</si>
  <si>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</si>
  <si>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</si>
  <si>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</si>
  <si>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</si>
  <si>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</si>
  <si>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</si>
  <si>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</si>
  <si>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</si>
  <si>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</si>
  <si>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</si>
  <si>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</si>
  <si>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</si>
  <si>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</si>
  <si>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</si>
  <si>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</si>
  <si>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</si>
  <si>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</si>
  <si>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</si>
  <si>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</si>
  <si>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</si>
  <si>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</si>
  <si>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</si>
  <si>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</si>
  <si>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</si>
  <si>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</si>
  <si>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</si>
  <si>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</si>
  <si>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</si>
  <si>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</si>
  <si>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</si>
  <si>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</si>
  <si>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</si>
  <si>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</si>
  <si>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</si>
  <si>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</si>
  <si>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</si>
  <si>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</si>
  <si>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</si>
  <si>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</si>
  <si>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</si>
  <si>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</si>
  <si>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</si>
  <si>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</si>
  <si>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</si>
  <si>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</si>
  <si>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</si>
  <si>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</si>
  <si>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</si>
  <si>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</si>
  <si>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</si>
  <si>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</si>
  <si>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</si>
  <si>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</si>
  <si>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</si>
  <si>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</si>
  <si>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</si>
  <si>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</si>
  <si>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</si>
  <si>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</si>
  <si>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</si>
  <si>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</si>
  <si>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</si>
  <si>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</si>
  <si>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</si>
  <si>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</si>
  <si>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</si>
  <si>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</si>
  <si>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</si>
  <si>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</si>
  <si>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</si>
  <si>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</si>
  <si>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</si>
  <si>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</si>
  <si>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</si>
  <si>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</si>
  <si>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</si>
  <si>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</si>
  <si>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</si>
  <si>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</si>
  <si>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</si>
  <si>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</si>
  <si>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</si>
  <si>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</si>
  <si>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</si>
  <si>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</si>
  <si>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</si>
  <si>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</si>
  <si>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</si>
  <si>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</si>
  <si>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</si>
  <si>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</si>
  <si>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</si>
  <si>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</si>
  <si>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</si>
  <si>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</si>
  <si>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</si>
  <si>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</si>
  <si>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</si>
  <si>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</si>
  <si>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</si>
  <si>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</si>
  <si>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</si>
  <si>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</si>
  <si>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</si>
  <si>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</si>
  <si>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</si>
  <si>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</si>
  <si>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</si>
  <si>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</si>
  <si>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</si>
  <si>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</si>
  <si>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</si>
  <si>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</si>
  <si>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</si>
  <si>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</si>
  <si>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</si>
  <si>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</si>
  <si>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</si>
  <si>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</si>
  <si>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</si>
  <si>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</si>
  <si>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</si>
  <si>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</si>
  <si>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</si>
  <si>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</si>
  <si>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</si>
  <si>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</si>
  <si>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</si>
  <si>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</si>
  <si>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</si>
  <si>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</si>
  <si>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</si>
  <si>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</si>
  <si>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</si>
  <si>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</si>
  <si>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</si>
  <si>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</si>
  <si>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</si>
  <si>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</si>
  <si>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</si>
  <si>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</si>
  <si>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</si>
  <si>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</si>
  <si>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</si>
  <si>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</si>
  <si>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</si>
  <si>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</si>
  <si>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</si>
  <si>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</si>
  <si>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</si>
  <si>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</si>
  <si>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</si>
  <si>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</si>
  <si>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</si>
  <si>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</si>
  <si>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</si>
  <si>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</si>
  <si>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</si>
  <si>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</si>
  <si>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</si>
  <si>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</si>
  <si>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</si>
  <si>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</si>
  <si>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</si>
  <si>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</si>
  <si>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</si>
  <si>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</si>
  <si>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</si>
  <si>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</si>
  <si>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</si>
  <si>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</si>
  <si>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</si>
  <si>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</si>
  <si>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</si>
  <si>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We've set the ESF to 0 in the forecast period because it's included in the top line and should be counted in "other" now.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</si>
</sst>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7"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i/>
      <sz val="11"/>
      <color theme="1"/>
      <name val="Arial"/>
      <family val="2"/>
    </font>
    <font>
      <sz val="11"/>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5">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s>
  <cellStyleXfs count="4">
    <xf numFmtId="0" fontId="0" fillId="0" borderId="0"/>
    <xf numFmtId="9" fontId="16" fillId="0" borderId="0" applyFont="0" applyFill="0" applyBorder="0" applyAlignment="0" applyProtection="0"/>
    <xf numFmtId="0" fontId="74" fillId="0" borderId="0"/>
    <xf numFmtId="0" fontId="18" fillId="0" borderId="0"/>
  </cellStyleXfs>
  <cellXfs count="179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0" fontId="35" fillId="0" borderId="1" xfId="0" applyFont="1" applyBorder="1"/>
    <xf numFmtId="168" fontId="35" fillId="9" borderId="6" xfId="0" applyNumberFormat="1" applyFont="1" applyFill="1" applyBorder="1" applyAlignment="1">
      <alignment horizontal="center"/>
    </xf>
    <xf numFmtId="168" fontId="35" fillId="7" borderId="36" xfId="0" applyNumberFormat="1" applyFont="1" applyFill="1" applyBorder="1" applyAlignment="1">
      <alignment horizontal="center"/>
    </xf>
    <xf numFmtId="168" fontId="35" fillId="7" borderId="6" xfId="0" applyNumberFormat="1" applyFont="1" applyFill="1" applyBorder="1" applyAlignment="1">
      <alignment horizontal="center"/>
    </xf>
    <xf numFmtId="168" fontId="35" fillId="9" borderId="4" xfId="0" applyNumberFormat="1" applyFont="1" applyFill="1" applyBorder="1" applyAlignment="1">
      <alignment horizontal="center"/>
    </xf>
    <xf numFmtId="168" fontId="35" fillId="7" borderId="0" xfId="0" applyNumberFormat="1" applyFont="1" applyFill="1" applyAlignment="1">
      <alignment horizontal="center"/>
    </xf>
    <xf numFmtId="168" fontId="35" fillId="0" borderId="4" xfId="0" applyNumberFormat="1" applyFont="1" applyBorder="1" applyAlignment="1">
      <alignment horizontal="center"/>
    </xf>
    <xf numFmtId="168" fontId="36" fillId="0" borderId="8" xfId="0" applyNumberFormat="1" applyFont="1" applyBorder="1" applyAlignment="1">
      <alignment horizontal="center"/>
    </xf>
    <xf numFmtId="168" fontId="36" fillId="7" borderId="7" xfId="0" applyNumberFormat="1" applyFont="1" applyFill="1" applyBorder="1" applyAlignment="1">
      <alignment horizontal="center"/>
    </xf>
    <xf numFmtId="168" fontId="36" fillId="7" borderId="8" xfId="0" applyNumberFormat="1" applyFont="1" applyFill="1" applyBorder="1" applyAlignment="1">
      <alignment horizontal="center"/>
    </xf>
    <xf numFmtId="0" fontId="35" fillId="0" borderId="3" xfId="0" applyFont="1" applyBorder="1"/>
    <xf numFmtId="0" fontId="36" fillId="14" borderId="2" xfId="0" applyFont="1" applyFill="1" applyBorder="1"/>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1" borderId="3" xfId="0" applyFont="1" applyFill="1" applyBorder="1"/>
    <xf numFmtId="0" fontId="4" fillId="11" borderId="36" xfId="0" applyFont="1" applyFill="1" applyBorder="1" applyAlignment="1">
      <alignment horizontal="center"/>
    </xf>
    <xf numFmtId="0" fontId="4" fillId="11"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7"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9"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41" fillId="0" borderId="3" xfId="0" applyFont="1" applyBorder="1" applyAlignment="1">
      <alignment wrapText="1"/>
    </xf>
    <xf numFmtId="174" fontId="41" fillId="0" borderId="36" xfId="0" applyNumberFormat="1" applyFont="1" applyBorder="1" applyAlignment="1">
      <alignment horizontal="center"/>
    </xf>
    <xf numFmtId="174" fontId="41" fillId="0" borderId="6" xfId="0" applyNumberFormat="1" applyFont="1" applyBorder="1" applyAlignment="1">
      <alignment horizontal="center"/>
    </xf>
    <xf numFmtId="174" fontId="41" fillId="7" borderId="36" xfId="0" applyNumberFormat="1" applyFont="1" applyFill="1" applyBorder="1" applyAlignment="1">
      <alignment horizontal="center"/>
    </xf>
    <xf numFmtId="174" fontId="41"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41"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41"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41" fillId="0" borderId="41" xfId="0" applyNumberFormat="1" applyFont="1" applyBorder="1" applyAlignment="1">
      <alignment horizontal="center"/>
    </xf>
    <xf numFmtId="174" fontId="41" fillId="0" borderId="3" xfId="0" applyNumberFormat="1" applyFont="1" applyBorder="1" applyAlignment="1">
      <alignment horizontal="center"/>
    </xf>
    <xf numFmtId="174" fontId="41"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8" borderId="1"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2"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41"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41"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3" fillId="0" borderId="0" xfId="0" applyFont="1"/>
    <xf numFmtId="0" fontId="32" fillId="0" borderId="0" xfId="0" applyFont="1"/>
    <xf numFmtId="0" fontId="41" fillId="0" borderId="0" xfId="0" applyFont="1"/>
    <xf numFmtId="0" fontId="44"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41" fillId="0" borderId="0" xfId="0" applyNumberFormat="1" applyFont="1" applyAlignment="1">
      <alignment horizontal="center"/>
    </xf>
    <xf numFmtId="43" fontId="4" fillId="0" borderId="0" xfId="0" applyNumberFormat="1" applyFont="1"/>
    <xf numFmtId="1" fontId="41" fillId="0" borderId="0" xfId="0" applyNumberFormat="1" applyFont="1" applyAlignment="1">
      <alignment horizontal="center"/>
    </xf>
    <xf numFmtId="174" fontId="41" fillId="0" borderId="0" xfId="0" applyNumberFormat="1" applyFont="1"/>
    <xf numFmtId="0" fontId="41" fillId="0" borderId="0" xfId="0" applyFont="1" applyAlignment="1">
      <alignment horizontal="left" indent="2"/>
    </xf>
    <xf numFmtId="175" fontId="41" fillId="0" borderId="0" xfId="0" applyNumberFormat="1" applyFont="1" applyAlignment="1">
      <alignment horizontal="center"/>
    </xf>
    <xf numFmtId="1" fontId="12" fillId="0" borderId="0" xfId="0" applyNumberFormat="1" applyFont="1" applyAlignment="1">
      <alignment horizontal="center"/>
    </xf>
    <xf numFmtId="174" fontId="41"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41" fillId="13" borderId="6" xfId="0" applyNumberFormat="1" applyFont="1" applyFill="1" applyBorder="1" applyAlignment="1">
      <alignment horizontal="center"/>
    </xf>
    <xf numFmtId="174" fontId="41" fillId="13" borderId="42" xfId="0" applyNumberFormat="1" applyFont="1" applyFill="1" applyBorder="1" applyAlignment="1">
      <alignment horizontal="center"/>
    </xf>
    <xf numFmtId="174" fontId="41"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6" fillId="15" borderId="7" xfId="0" applyNumberFormat="1" applyFont="1" applyFill="1" applyBorder="1" applyAlignment="1">
      <alignment horizontal="center"/>
    </xf>
    <xf numFmtId="10" fontId="46" fillId="15" borderId="8" xfId="0" applyNumberFormat="1" applyFont="1" applyFill="1" applyBorder="1" applyAlignment="1">
      <alignment horizontal="center"/>
    </xf>
    <xf numFmtId="10" fontId="46" fillId="0" borderId="0" xfId="0" applyNumberFormat="1" applyFont="1" applyAlignment="1">
      <alignment horizontal="center"/>
    </xf>
    <xf numFmtId="10" fontId="46" fillId="0" borderId="36" xfId="0" applyNumberFormat="1" applyFont="1" applyBorder="1" applyAlignment="1">
      <alignment horizontal="center"/>
    </xf>
    <xf numFmtId="10" fontId="46"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6" fillId="0" borderId="48" xfId="0" applyNumberFormat="1" applyFont="1" applyBorder="1" applyAlignment="1">
      <alignment horizontal="center"/>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6" fillId="9" borderId="7" xfId="0" applyNumberFormat="1" applyFont="1" applyFill="1" applyBorder="1" applyAlignment="1">
      <alignment horizontal="center"/>
    </xf>
    <xf numFmtId="10" fontId="46" fillId="9" borderId="0" xfId="0" applyNumberFormat="1" applyFont="1" applyFill="1" applyAlignment="1">
      <alignment horizontal="center"/>
    </xf>
    <xf numFmtId="10" fontId="46" fillId="0" borderId="3" xfId="0" applyNumberFormat="1" applyFont="1" applyBorder="1" applyAlignment="1">
      <alignment horizontal="center"/>
    </xf>
    <xf numFmtId="10" fontId="46" fillId="9" borderId="36" xfId="0" applyNumberFormat="1" applyFont="1" applyFill="1" applyBorder="1" applyAlignment="1">
      <alignment horizontal="center"/>
    </xf>
    <xf numFmtId="10" fontId="46" fillId="9" borderId="6" xfId="0" applyNumberFormat="1" applyFont="1" applyFill="1" applyBorder="1" applyAlignment="1">
      <alignment horizontal="center"/>
    </xf>
    <xf numFmtId="10" fontId="46" fillId="9" borderId="4" xfId="0" applyNumberFormat="1" applyFont="1" applyFill="1" applyBorder="1" applyAlignment="1">
      <alignment horizontal="center"/>
    </xf>
    <xf numFmtId="10" fontId="46" fillId="9" borderId="8"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6" fillId="0" borderId="5"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2"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6" fillId="0" borderId="0" xfId="0"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5"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3" xfId="0" applyFont="1" applyBorder="1" applyAlignment="1">
      <alignment vertical="center" wrapText="1"/>
    </xf>
    <xf numFmtId="0" fontId="47" fillId="0" borderId="3" xfId="0" applyFont="1" applyBorder="1" applyAlignment="1">
      <alignment wrapText="1"/>
    </xf>
    <xf numFmtId="0" fontId="47" fillId="0" borderId="6" xfId="0" applyFont="1" applyBorder="1" applyAlignment="1">
      <alignment wrapText="1"/>
    </xf>
    <xf numFmtId="0" fontId="47" fillId="0" borderId="42" xfId="0" applyFont="1" applyBorder="1" applyAlignment="1">
      <alignment wrapText="1"/>
    </xf>
    <xf numFmtId="0" fontId="47" fillId="0" borderId="43" xfId="0" applyFont="1" applyBorder="1" applyAlignment="1">
      <alignment wrapText="1"/>
    </xf>
    <xf numFmtId="10" fontId="46" fillId="15" borderId="0" xfId="0" applyNumberFormat="1" applyFont="1" applyFill="1" applyAlignment="1">
      <alignment horizontal="center"/>
    </xf>
    <xf numFmtId="10" fontId="46"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9"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50" fillId="19" borderId="0" xfId="0" applyFont="1" applyFill="1" applyAlignment="1">
      <alignment horizontal="left" vertical="top" wrapText="1"/>
    </xf>
    <xf numFmtId="1" fontId="51" fillId="0" borderId="51" xfId="0" applyNumberFormat="1" applyFont="1" applyBorder="1" applyAlignment="1">
      <alignment vertical="top"/>
    </xf>
    <xf numFmtId="1" fontId="51" fillId="0" borderId="51" xfId="0" applyNumberFormat="1" applyFont="1" applyBorder="1" applyAlignment="1">
      <alignment horizontal="right" vertical="top"/>
    </xf>
    <xf numFmtId="0" fontId="52" fillId="20"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0" borderId="0" xfId="0" applyFont="1" applyFill="1" applyAlignment="1">
      <alignment vertical="top"/>
    </xf>
    <xf numFmtId="0" fontId="52" fillId="20" borderId="7" xfId="0" applyFont="1" applyFill="1" applyBorder="1" applyAlignment="1">
      <alignment vertical="top"/>
    </xf>
    <xf numFmtId="1" fontId="53" fillId="0" borderId="0" xfId="0" applyNumberFormat="1" applyFont="1"/>
    <xf numFmtId="1" fontId="54" fillId="19" borderId="0" xfId="0" applyNumberFormat="1" applyFont="1" applyFill="1" applyAlignment="1">
      <alignment horizontal="center"/>
    </xf>
    <xf numFmtId="0" fontId="55" fillId="20" borderId="0" xfId="0" applyFont="1" applyFill="1" applyAlignment="1">
      <alignment horizontal="center" vertical="center"/>
    </xf>
    <xf numFmtId="0" fontId="54" fillId="20" borderId="0" xfId="0" applyFont="1" applyFill="1" applyAlignment="1">
      <alignment horizontal="left" vertical="center" wrapText="1"/>
    </xf>
    <xf numFmtId="1" fontId="55" fillId="6" borderId="0" xfId="0" applyNumberFormat="1" applyFont="1" applyFill="1" applyAlignment="1">
      <alignment horizontal="center" vertical="top"/>
    </xf>
    <xf numFmtId="0" fontId="54" fillId="6" borderId="0" xfId="0" applyFont="1" applyFill="1" applyAlignment="1">
      <alignment horizontal="center" vertical="top"/>
    </xf>
    <xf numFmtId="0" fontId="53" fillId="0" borderId="0" xfId="0" applyFont="1"/>
    <xf numFmtId="0" fontId="2" fillId="21"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2" borderId="0" xfId="0" applyFont="1" applyFill="1" applyAlignment="1">
      <alignment horizontal="left"/>
    </xf>
    <xf numFmtId="0" fontId="2" fillId="23"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6" fillId="0" borderId="0" xfId="0" applyFont="1"/>
    <xf numFmtId="0" fontId="54" fillId="0" borderId="0" xfId="0" applyFont="1" applyAlignment="1">
      <alignment horizontal="left"/>
    </xf>
    <xf numFmtId="0" fontId="54" fillId="0" borderId="0" xfId="0" applyFont="1" applyAlignment="1">
      <alignment horizontal="center" wrapText="1"/>
    </xf>
    <xf numFmtId="1" fontId="55" fillId="0" borderId="51" xfId="0" applyNumberFormat="1" applyFont="1" applyBorder="1" applyAlignment="1">
      <alignment horizontal="center" vertical="top"/>
    </xf>
    <xf numFmtId="0" fontId="54" fillId="20" borderId="51" xfId="0" applyFont="1" applyFill="1" applyBorder="1" applyAlignment="1">
      <alignment horizontal="center" vertical="top"/>
    </xf>
    <xf numFmtId="0" fontId="54" fillId="0" borderId="0" xfId="0" applyFont="1" applyAlignment="1">
      <alignment horizontal="center"/>
    </xf>
    <xf numFmtId="0" fontId="54" fillId="0" borderId="0" xfId="0" applyFont="1" applyAlignment="1">
      <alignment horizontal="left" wrapText="1"/>
    </xf>
    <xf numFmtId="0" fontId="55" fillId="0" borderId="0" xfId="0" applyFont="1" applyAlignment="1">
      <alignment horizontal="left" vertical="top"/>
    </xf>
    <xf numFmtId="0" fontId="55" fillId="0" borderId="0" xfId="0" applyFont="1" applyAlignment="1">
      <alignment horizontal="center" vertical="top" wrapText="1"/>
    </xf>
    <xf numFmtId="1" fontId="55" fillId="21" borderId="0" xfId="0" applyNumberFormat="1" applyFont="1" applyFill="1" applyAlignment="1">
      <alignment horizontal="center" vertical="top"/>
    </xf>
    <xf numFmtId="0" fontId="54" fillId="21" borderId="0" xfId="0" applyFont="1" applyFill="1" applyAlignment="1">
      <alignment horizontal="center" vertical="top"/>
    </xf>
    <xf numFmtId="0" fontId="54" fillId="21" borderId="0" xfId="0" applyFont="1" applyFill="1" applyAlignment="1">
      <alignment horizontal="left" vertical="top" wrapText="1"/>
    </xf>
    <xf numFmtId="0" fontId="54" fillId="0" borderId="0" xfId="0" applyFont="1" applyAlignment="1">
      <alignment horizontal="left" vertical="top" wrapText="1"/>
    </xf>
    <xf numFmtId="0" fontId="55" fillId="0" borderId="42" xfId="0" applyFont="1" applyBorder="1" applyAlignment="1">
      <alignment horizontal="left" vertical="top"/>
    </xf>
    <xf numFmtId="0" fontId="55" fillId="0" borderId="42" xfId="0" applyFont="1" applyBorder="1" applyAlignment="1">
      <alignment horizontal="center" vertical="top" wrapText="1"/>
    </xf>
    <xf numFmtId="1" fontId="55" fillId="3" borderId="42" xfId="0" applyNumberFormat="1" applyFont="1" applyFill="1" applyBorder="1" applyAlignment="1">
      <alignment horizontal="center" vertical="top"/>
    </xf>
    <xf numFmtId="3" fontId="55" fillId="3" borderId="42" xfId="0" applyNumberFormat="1" applyFont="1" applyFill="1" applyBorder="1" applyAlignment="1">
      <alignment horizontal="center" vertical="top"/>
    </xf>
    <xf numFmtId="0" fontId="54" fillId="3" borderId="42" xfId="0" applyFont="1" applyFill="1" applyBorder="1" applyAlignment="1">
      <alignment horizontal="center" vertical="top"/>
    </xf>
    <xf numFmtId="0" fontId="54" fillId="0" borderId="42" xfId="0" applyFont="1" applyBorder="1" applyAlignment="1">
      <alignment horizontal="left" vertical="top" wrapText="1"/>
    </xf>
    <xf numFmtId="0" fontId="55" fillId="0" borderId="5" xfId="0" applyFont="1" applyBorder="1" applyAlignment="1">
      <alignment horizontal="left" vertical="top"/>
    </xf>
    <xf numFmtId="0" fontId="55" fillId="0" borderId="5" xfId="0" applyFont="1" applyBorder="1" applyAlignment="1">
      <alignment horizontal="center" vertical="top" wrapText="1"/>
    </xf>
    <xf numFmtId="3" fontId="51" fillId="0" borderId="0" xfId="0" applyNumberFormat="1" applyFont="1" applyAlignment="1">
      <alignment vertical="top"/>
    </xf>
    <xf numFmtId="0" fontId="55" fillId="21" borderId="5" xfId="0" applyFont="1" applyFill="1" applyBorder="1" applyAlignment="1">
      <alignment horizontal="center" vertical="top"/>
    </xf>
    <xf numFmtId="0" fontId="54" fillId="0" borderId="5" xfId="0" applyFont="1" applyBorder="1" applyAlignment="1">
      <alignment horizontal="left" vertical="top" wrapText="1"/>
    </xf>
    <xf numFmtId="0" fontId="54" fillId="0" borderId="0" xfId="0" applyFont="1" applyAlignment="1">
      <alignment horizontal="left" vertical="top"/>
    </xf>
    <xf numFmtId="0" fontId="54" fillId="0" borderId="0" xfId="0" applyFont="1" applyAlignment="1">
      <alignment horizontal="center" vertical="top" wrapText="1"/>
    </xf>
    <xf numFmtId="3" fontId="55" fillId="21" borderId="0" xfId="0" applyNumberFormat="1" applyFont="1" applyFill="1" applyAlignment="1">
      <alignment horizontal="center" vertical="top"/>
    </xf>
    <xf numFmtId="0" fontId="55" fillId="21" borderId="0" xfId="0" applyFont="1" applyFill="1" applyAlignment="1">
      <alignment horizontal="center" vertical="top"/>
    </xf>
    <xf numFmtId="1" fontId="54" fillId="21" borderId="0" xfId="0" applyNumberFormat="1" applyFont="1" applyFill="1" applyAlignment="1">
      <alignment horizontal="center" vertical="top"/>
    </xf>
    <xf numFmtId="0" fontId="54" fillId="0" borderId="0" xfId="0" applyFont="1" applyAlignment="1">
      <alignment horizontal="center" vertical="top"/>
    </xf>
    <xf numFmtId="1" fontId="54" fillId="21" borderId="0" xfId="0" applyNumberFormat="1" applyFont="1" applyFill="1" applyAlignment="1">
      <alignment horizontal="center"/>
    </xf>
    <xf numFmtId="1" fontId="54" fillId="21" borderId="0" xfId="0" applyNumberFormat="1" applyFont="1" applyFill="1" applyAlignment="1">
      <alignment horizontal="center" vertical="center"/>
    </xf>
    <xf numFmtId="1" fontId="55" fillId="21" borderId="0" xfId="0" applyNumberFormat="1" applyFont="1" applyFill="1" applyAlignment="1">
      <alignment horizontal="center"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5" fillId="0" borderId="0" xfId="0" applyFont="1" applyAlignment="1">
      <alignment horizontal="left" vertical="top" wrapText="1"/>
    </xf>
    <xf numFmtId="1" fontId="55" fillId="21" borderId="5" xfId="0" applyNumberFormat="1" applyFont="1" applyFill="1" applyBorder="1" applyAlignment="1">
      <alignment horizontal="center" vertical="top"/>
    </xf>
    <xf numFmtId="3" fontId="55" fillId="21" borderId="5" xfId="0" applyNumberFormat="1" applyFont="1" applyFill="1" applyBorder="1" applyAlignment="1">
      <alignment horizontal="center" vertical="top"/>
    </xf>
    <xf numFmtId="0" fontId="54" fillId="21" borderId="5" xfId="0" applyFont="1" applyFill="1" applyBorder="1" applyAlignment="1">
      <alignment horizontal="center" vertical="top"/>
    </xf>
    <xf numFmtId="0" fontId="13" fillId="21" borderId="5" xfId="0" applyFont="1" applyFill="1" applyBorder="1" applyAlignment="1">
      <alignment horizontal="left" vertical="top" wrapText="1"/>
    </xf>
    <xf numFmtId="0" fontId="55" fillId="20" borderId="0" xfId="0" applyFont="1" applyFill="1" applyAlignment="1">
      <alignment horizontal="center"/>
    </xf>
    <xf numFmtId="0" fontId="54" fillId="20" borderId="0" xfId="0" applyFont="1" applyFill="1" applyAlignment="1">
      <alignment horizontal="left" wrapText="1"/>
    </xf>
    <xf numFmtId="1" fontId="55" fillId="24" borderId="0" xfId="0" applyNumberFormat="1" applyFont="1" applyFill="1" applyAlignment="1">
      <alignment horizontal="center" vertical="top"/>
    </xf>
    <xf numFmtId="3" fontId="55" fillId="24" borderId="0" xfId="0" applyNumberFormat="1" applyFont="1" applyFill="1" applyAlignment="1">
      <alignment horizontal="center" vertical="top"/>
    </xf>
    <xf numFmtId="0" fontId="54" fillId="24" borderId="0" xfId="0" applyFont="1" applyFill="1" applyAlignment="1">
      <alignment horizontal="center" vertical="top"/>
    </xf>
    <xf numFmtId="0" fontId="54" fillId="24" borderId="0" xfId="0" applyFont="1" applyFill="1" applyAlignment="1">
      <alignment horizontal="left" vertical="top" wrapText="1"/>
    </xf>
    <xf numFmtId="1" fontId="54" fillId="25" borderId="0" xfId="0" applyNumberFormat="1" applyFont="1" applyFill="1" applyAlignment="1">
      <alignment horizontal="center" vertical="top"/>
    </xf>
    <xf numFmtId="0" fontId="54" fillId="25" borderId="0" xfId="0" applyFont="1" applyFill="1" applyAlignment="1">
      <alignment horizontal="center" vertical="top"/>
    </xf>
    <xf numFmtId="0" fontId="54" fillId="25" borderId="0" xfId="0" applyFont="1" applyFill="1" applyAlignment="1">
      <alignment horizontal="left" vertical="top" wrapText="1"/>
    </xf>
    <xf numFmtId="1" fontId="54" fillId="25" borderId="0" xfId="0" applyNumberFormat="1" applyFont="1" applyFill="1" applyAlignment="1">
      <alignment horizontal="center"/>
    </xf>
    <xf numFmtId="1" fontId="55" fillId="25" borderId="0" xfId="0" applyNumberFormat="1" applyFont="1" applyFill="1" applyAlignment="1">
      <alignment horizontal="center" vertical="top"/>
    </xf>
    <xf numFmtId="3" fontId="55" fillId="25" borderId="0" xfId="0" applyNumberFormat="1" applyFont="1" applyFill="1" applyAlignment="1">
      <alignment horizontal="center" vertical="top"/>
    </xf>
    <xf numFmtId="1" fontId="55" fillId="23" borderId="0" xfId="0" applyNumberFormat="1" applyFont="1" applyFill="1" applyAlignment="1">
      <alignment horizontal="center" vertical="top"/>
    </xf>
    <xf numFmtId="0" fontId="54" fillId="23" borderId="0" xfId="0" applyFont="1" applyFill="1" applyAlignment="1">
      <alignment horizontal="center" vertical="top"/>
    </xf>
    <xf numFmtId="3" fontId="55" fillId="23" borderId="0" xfId="0" applyNumberFormat="1" applyFont="1" applyFill="1" applyAlignment="1">
      <alignment horizontal="center" vertical="top"/>
    </xf>
    <xf numFmtId="0" fontId="55" fillId="23" borderId="0" xfId="0" applyFont="1" applyFill="1" applyAlignment="1">
      <alignment horizontal="center" vertical="top"/>
    </xf>
    <xf numFmtId="0" fontId="55" fillId="26" borderId="0" xfId="0" applyFont="1" applyFill="1" applyAlignment="1">
      <alignment horizontal="left" vertical="top"/>
    </xf>
    <xf numFmtId="0" fontId="55" fillId="26" borderId="0" xfId="0" applyFont="1" applyFill="1" applyAlignment="1">
      <alignment horizontal="center" vertical="top" wrapText="1"/>
    </xf>
    <xf numFmtId="0" fontId="54" fillId="26" borderId="0" xfId="0" applyFont="1" applyFill="1" applyAlignment="1">
      <alignment horizontal="left" vertical="top" wrapText="1"/>
    </xf>
    <xf numFmtId="1" fontId="55" fillId="23" borderId="41" xfId="0" applyNumberFormat="1" applyFont="1" applyFill="1" applyBorder="1" applyAlignment="1">
      <alignment horizontal="center" vertical="top"/>
    </xf>
    <xf numFmtId="1" fontId="55" fillId="23" borderId="42" xfId="0" applyNumberFormat="1" applyFont="1" applyFill="1" applyBorder="1" applyAlignment="1">
      <alignment horizontal="center" vertical="top"/>
    </xf>
    <xf numFmtId="3" fontId="55" fillId="23" borderId="42" xfId="0" applyNumberFormat="1" applyFont="1" applyFill="1" applyBorder="1" applyAlignment="1">
      <alignment horizontal="center" vertical="top"/>
    </xf>
    <xf numFmtId="0" fontId="54" fillId="23" borderId="43" xfId="0" applyFont="1" applyFill="1" applyBorder="1" applyAlignment="1">
      <alignment horizontal="center" vertical="top" wrapText="1"/>
    </xf>
    <xf numFmtId="1" fontId="55" fillId="9" borderId="0" xfId="0" applyNumberFormat="1" applyFont="1" applyFill="1" applyAlignment="1">
      <alignment horizontal="center" vertical="top"/>
    </xf>
    <xf numFmtId="1" fontId="54" fillId="9" borderId="0" xfId="0" applyNumberFormat="1" applyFont="1" applyFill="1" applyAlignment="1">
      <alignment horizontal="center" vertical="top"/>
    </xf>
    <xf numFmtId="0" fontId="55" fillId="9" borderId="0" xfId="0" applyFont="1" applyFill="1" applyAlignment="1">
      <alignment horizontal="center" vertical="top"/>
    </xf>
    <xf numFmtId="0" fontId="13" fillId="0" borderId="0" xfId="0" applyFont="1" applyAlignment="1">
      <alignment horizontal="left" vertical="top" wrapText="1"/>
    </xf>
    <xf numFmtId="1" fontId="55" fillId="19" borderId="0" xfId="0" applyNumberFormat="1" applyFont="1" applyFill="1" applyAlignment="1">
      <alignment horizontal="center" vertical="top"/>
    </xf>
    <xf numFmtId="3" fontId="55" fillId="19" borderId="0" xfId="0" applyNumberFormat="1" applyFont="1" applyFill="1" applyAlignment="1">
      <alignment horizontal="center" vertical="top"/>
    </xf>
    <xf numFmtId="0" fontId="55" fillId="0" borderId="0" xfId="0" applyFont="1" applyAlignment="1">
      <alignment horizontal="center" vertical="top"/>
    </xf>
    <xf numFmtId="0" fontId="54" fillId="19" borderId="0" xfId="0" applyFont="1" applyFill="1" applyAlignment="1">
      <alignment horizontal="left" vertical="top" wrapText="1"/>
    </xf>
    <xf numFmtId="0" fontId="54" fillId="19" borderId="0" xfId="0" applyFont="1" applyFill="1" applyAlignment="1">
      <alignment horizontal="center" vertical="top"/>
    </xf>
    <xf numFmtId="0" fontId="55" fillId="19"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7" fillId="0" borderId="0" xfId="0" applyFont="1" applyAlignment="1">
      <alignment horizontal="left" vertical="top"/>
    </xf>
    <xf numFmtId="0" fontId="12" fillId="0" borderId="0" xfId="0" applyFont="1" applyAlignment="1">
      <alignment horizontal="left"/>
    </xf>
    <xf numFmtId="0" fontId="58" fillId="0" borderId="0" xfId="0" applyFont="1"/>
    <xf numFmtId="0" fontId="12" fillId="27" borderId="0" xfId="0" applyFont="1" applyFill="1"/>
    <xf numFmtId="0" fontId="12" fillId="27" borderId="0" xfId="0" applyFont="1" applyFill="1" applyAlignment="1">
      <alignment horizontal="left"/>
    </xf>
    <xf numFmtId="0" fontId="4" fillId="27" borderId="0" xfId="0" applyFont="1" applyFill="1" applyAlignment="1">
      <alignment horizontal="left" indent="2"/>
    </xf>
    <xf numFmtId="0" fontId="4" fillId="27" borderId="0" xfId="0" applyFont="1" applyFill="1" applyAlignment="1">
      <alignment horizontal="right"/>
    </xf>
    <xf numFmtId="0" fontId="59" fillId="0" borderId="0" xfId="0" applyFont="1" applyAlignment="1">
      <alignment horizontal="right" vertical="top"/>
    </xf>
    <xf numFmtId="3" fontId="46" fillId="0" borderId="0" xfId="0" applyNumberFormat="1" applyFont="1"/>
    <xf numFmtId="3" fontId="60" fillId="0" borderId="0" xfId="0" applyNumberFormat="1" applyFont="1" applyAlignment="1">
      <alignment horizontal="right" vertical="top"/>
    </xf>
    <xf numFmtId="0" fontId="61" fillId="29" borderId="0" xfId="0" applyFont="1" applyFill="1" applyAlignment="1">
      <alignment horizontal="right"/>
    </xf>
    <xf numFmtId="0" fontId="62" fillId="0" borderId="0" xfId="0" applyFont="1"/>
    <xf numFmtId="0" fontId="55" fillId="0" borderId="0" xfId="0" applyFont="1" applyAlignment="1">
      <alignment horizontal="right"/>
    </xf>
    <xf numFmtId="165" fontId="63" fillId="0" borderId="0" xfId="0" applyNumberFormat="1" applyFont="1" applyAlignment="1">
      <alignment horizontal="right" vertical="top"/>
    </xf>
    <xf numFmtId="165" fontId="61" fillId="29" borderId="0" xfId="0" applyNumberFormat="1" applyFont="1" applyFill="1" applyAlignment="1">
      <alignment horizontal="right"/>
    </xf>
    <xf numFmtId="3" fontId="7" fillId="0" borderId="0" xfId="0" applyNumberFormat="1" applyFont="1"/>
    <xf numFmtId="0" fontId="7" fillId="0" borderId="0" xfId="0" applyFont="1"/>
    <xf numFmtId="165" fontId="55" fillId="0" borderId="0" xfId="0" applyNumberFormat="1" applyFont="1" applyAlignment="1">
      <alignment horizontal="right"/>
    </xf>
    <xf numFmtId="3" fontId="55" fillId="0" borderId="0" xfId="0" applyNumberFormat="1" applyFont="1" applyAlignment="1">
      <alignment horizontal="right"/>
    </xf>
    <xf numFmtId="0" fontId="7" fillId="30" borderId="0" xfId="0" applyFont="1" applyFill="1" applyAlignment="1">
      <alignment wrapText="1"/>
    </xf>
    <xf numFmtId="0" fontId="8" fillId="30" borderId="0" xfId="0" applyFont="1" applyFill="1" applyAlignment="1">
      <alignment vertical="top"/>
    </xf>
    <xf numFmtId="0" fontId="7" fillId="30" borderId="0" xfId="0" applyFont="1" applyFill="1" applyAlignment="1">
      <alignment horizontal="right"/>
    </xf>
    <xf numFmtId="0" fontId="7" fillId="30" borderId="0" xfId="0" applyFont="1" applyFill="1"/>
    <xf numFmtId="168" fontId="7" fillId="30" borderId="0" xfId="0" applyNumberFormat="1" applyFont="1" applyFill="1" applyAlignment="1">
      <alignment horizontal="center"/>
    </xf>
    <xf numFmtId="0" fontId="1" fillId="30" borderId="0" xfId="0" applyFont="1" applyFill="1" applyAlignment="1">
      <alignment wrapText="1"/>
    </xf>
    <xf numFmtId="170" fontId="7" fillId="0" borderId="0" xfId="0" applyNumberFormat="1" applyFont="1" applyAlignment="1">
      <alignment horizontal="right"/>
    </xf>
    <xf numFmtId="0" fontId="64" fillId="30" borderId="0" xfId="0" applyFont="1" applyFill="1" applyAlignment="1">
      <alignment horizontal="center" wrapText="1"/>
    </xf>
    <xf numFmtId="0" fontId="7" fillId="30"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1" borderId="0" xfId="0" applyFont="1" applyFill="1" applyAlignment="1">
      <alignment horizontal="center" wrapText="1"/>
    </xf>
    <xf numFmtId="0" fontId="8" fillId="32" borderId="0" xfId="0" applyFont="1" applyFill="1" applyAlignment="1">
      <alignment vertical="top"/>
    </xf>
    <xf numFmtId="0" fontId="46" fillId="32" borderId="0" xfId="0" applyFont="1" applyFill="1"/>
    <xf numFmtId="0" fontId="7" fillId="32" borderId="0" xfId="0" applyFont="1" applyFill="1"/>
    <xf numFmtId="0" fontId="65" fillId="32" borderId="0" xfId="0" applyFont="1" applyFill="1"/>
    <xf numFmtId="0" fontId="7" fillId="32" borderId="0" xfId="0" applyFont="1" applyFill="1" applyAlignment="1">
      <alignment horizontal="right"/>
    </xf>
    <xf numFmtId="0" fontId="1" fillId="32"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2" borderId="0" xfId="0" applyFont="1" applyFill="1" applyAlignment="1">
      <alignment vertical="top" wrapText="1"/>
    </xf>
    <xf numFmtId="0" fontId="8" fillId="30"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46"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3" borderId="0" xfId="0" applyFont="1" applyFill="1" applyAlignment="1">
      <alignment wrapText="1"/>
    </xf>
    <xf numFmtId="0" fontId="7" fillId="34" borderId="0" xfId="0" applyFont="1" applyFill="1" applyAlignment="1">
      <alignment horizontal="center" wrapText="1"/>
    </xf>
    <xf numFmtId="0" fontId="46" fillId="8" borderId="0" xfId="0" applyFont="1" applyFill="1" applyAlignment="1">
      <alignment horizontal="right"/>
    </xf>
    <xf numFmtId="0" fontId="7" fillId="8" borderId="0" xfId="0" applyFont="1" applyFill="1" applyAlignment="1">
      <alignment horizontal="right"/>
    </xf>
    <xf numFmtId="0" fontId="61" fillId="0" borderId="0" xfId="0" applyFont="1"/>
    <xf numFmtId="170" fontId="59"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3" borderId="0" xfId="0" applyFont="1" applyFill="1"/>
    <xf numFmtId="0" fontId="32" fillId="21" borderId="1" xfId="0" applyFont="1" applyFill="1" applyBorder="1" applyAlignment="1">
      <alignment horizontal="left" indent="2"/>
    </xf>
    <xf numFmtId="0" fontId="66"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3"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41"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68" fontId="4" fillId="8" borderId="59"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60"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1"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2"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2" xfId="1" applyNumberFormat="1" applyFont="1" applyFill="1" applyBorder="1"/>
    <xf numFmtId="167" fontId="4" fillId="7" borderId="22" xfId="1" applyNumberFormat="1" applyFont="1" applyFill="1" applyBorder="1"/>
    <xf numFmtId="167" fontId="4" fillId="7" borderId="62"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8"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2" xfId="0" applyNumberFormat="1" applyFont="1" applyFill="1" applyBorder="1" applyAlignment="1">
      <alignment horizontal="center" vertical="top" wrapText="1"/>
    </xf>
    <xf numFmtId="1" fontId="4" fillId="7" borderId="62"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2"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8"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2"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6" fillId="0" borderId="0" xfId="0" applyNumberFormat="1" applyFont="1" applyBorder="1" applyAlignment="1">
      <alignment horizontal="center"/>
    </xf>
    <xf numFmtId="10" fontId="46"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6" fillId="9" borderId="5" xfId="0" applyNumberFormat="1" applyFont="1" applyFill="1" applyBorder="1" applyAlignment="1">
      <alignment horizontal="center"/>
    </xf>
    <xf numFmtId="10" fontId="46"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68" fontId="72" fillId="0" borderId="24" xfId="0" applyNumberFormat="1" applyFont="1" applyBorder="1" applyAlignment="1">
      <alignment horizontal="center"/>
    </xf>
    <xf numFmtId="165" fontId="75" fillId="0" borderId="17" xfId="2" applyNumberFormat="1" applyFont="1" applyBorder="1" applyAlignment="1">
      <alignment horizontal="right"/>
    </xf>
    <xf numFmtId="165" fontId="75" fillId="0" borderId="18" xfId="2" applyNumberFormat="1" applyFont="1" applyBorder="1" applyAlignment="1">
      <alignment horizontal="right"/>
    </xf>
    <xf numFmtId="165" fontId="75" fillId="0" borderId="0" xfId="2" applyNumberFormat="1" applyFont="1" applyAlignment="1">
      <alignment horizontal="right"/>
    </xf>
    <xf numFmtId="165" fontId="75" fillId="0" borderId="20" xfId="2" applyNumberFormat="1" applyFont="1" applyBorder="1" applyAlignment="1">
      <alignment horizontal="right"/>
    </xf>
    <xf numFmtId="165" fontId="72" fillId="0" borderId="0" xfId="2" applyNumberFormat="1" applyFont="1" applyAlignment="1">
      <alignment horizontal="right"/>
    </xf>
    <xf numFmtId="165" fontId="72" fillId="0" borderId="20" xfId="2" applyNumberFormat="1" applyFont="1" applyBorder="1" applyAlignment="1">
      <alignment horizontal="right"/>
    </xf>
    <xf numFmtId="3" fontId="72" fillId="0" borderId="0" xfId="2" applyNumberFormat="1" applyFont="1" applyAlignment="1">
      <alignment horizontal="right"/>
    </xf>
    <xf numFmtId="3" fontId="72" fillId="0" borderId="20" xfId="2" applyNumberFormat="1" applyFont="1" applyBorder="1" applyAlignment="1">
      <alignment horizontal="right"/>
    </xf>
    <xf numFmtId="3" fontId="72" fillId="0" borderId="22" xfId="2" applyNumberFormat="1" applyFont="1" applyBorder="1" applyAlignment="1">
      <alignment horizontal="right"/>
    </xf>
    <xf numFmtId="3" fontId="72" fillId="0" borderId="23" xfId="2" applyNumberFormat="1" applyFont="1" applyBorder="1" applyAlignment="1">
      <alignment horizontal="right"/>
    </xf>
    <xf numFmtId="165" fontId="75" fillId="0" borderId="16" xfId="2" applyNumberFormat="1" applyFont="1" applyBorder="1" applyAlignment="1">
      <alignment horizontal="right"/>
    </xf>
    <xf numFmtId="165" fontId="75" fillId="0" borderId="19" xfId="2" applyNumberFormat="1" applyFont="1" applyBorder="1" applyAlignment="1">
      <alignment horizontal="right"/>
    </xf>
    <xf numFmtId="165" fontId="72" fillId="0" borderId="19" xfId="2" applyNumberFormat="1" applyFont="1" applyBorder="1" applyAlignment="1">
      <alignment horizontal="right"/>
    </xf>
    <xf numFmtId="3" fontId="72" fillId="0" borderId="19" xfId="2" applyNumberFormat="1" applyFont="1" applyBorder="1" applyAlignment="1">
      <alignment horizontal="right"/>
    </xf>
    <xf numFmtId="3" fontId="72"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9" borderId="32" xfId="0" applyFont="1" applyFill="1" applyBorder="1" applyAlignment="1">
      <alignment horizontal="center" vertical="center"/>
    </xf>
    <xf numFmtId="0" fontId="1" fillId="39" borderId="9" xfId="0" applyFont="1" applyFill="1" applyBorder="1" applyAlignment="1"/>
    <xf numFmtId="0" fontId="1" fillId="39" borderId="10" xfId="0" applyFont="1" applyFill="1" applyBorder="1" applyAlignment="1"/>
    <xf numFmtId="0" fontId="1" fillId="39" borderId="11" xfId="0" applyFont="1" applyFill="1" applyBorder="1" applyAlignment="1"/>
    <xf numFmtId="0" fontId="18" fillId="0" borderId="0" xfId="3"/>
    <xf numFmtId="0" fontId="19" fillId="40" borderId="63" xfId="3" applyFont="1" applyFill="1" applyBorder="1" applyAlignment="1">
      <alignment horizontal="center" vertical="center"/>
    </xf>
    <xf numFmtId="0" fontId="75" fillId="0" borderId="0" xfId="3" applyFont="1"/>
    <xf numFmtId="0" fontId="1" fillId="9" borderId="0" xfId="0" applyFont="1" applyFill="1"/>
    <xf numFmtId="0" fontId="18" fillId="0" borderId="0" xfId="3"/>
    <xf numFmtId="0" fontId="19" fillId="40" borderId="63" xfId="3" applyFont="1" applyFill="1" applyBorder="1" applyAlignment="1">
      <alignment horizontal="center" vertical="center"/>
    </xf>
    <xf numFmtId="0" fontId="75" fillId="0" borderId="0" xfId="3" applyFont="1"/>
    <xf numFmtId="0" fontId="18" fillId="0" borderId="0" xfId="3"/>
    <xf numFmtId="0" fontId="19" fillId="40" borderId="63" xfId="3" applyFont="1" applyFill="1" applyBorder="1" applyAlignment="1">
      <alignment horizontal="center" vertical="center"/>
    </xf>
    <xf numFmtId="0" fontId="75" fillId="0" borderId="0" xfId="3" applyFont="1"/>
    <xf numFmtId="10" fontId="0" fillId="0" borderId="0" xfId="0" applyNumberFormat="1"/>
    <xf numFmtId="0" fontId="1" fillId="0" borderId="0" xfId="0" applyFont="1"/>
    <xf numFmtId="10" fontId="46" fillId="0" borderId="64"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5"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5" xfId="0" applyFont="1" applyBorder="1" applyAlignment="1">
      <alignment horizontal="center"/>
    </xf>
    <xf numFmtId="1" fontId="72" fillId="0" borderId="31" xfId="2" applyNumberFormat="1" applyFont="1" applyBorder="1" applyAlignment="1">
      <alignment horizontal="center"/>
    </xf>
    <xf numFmtId="1" fontId="72" fillId="0" borderId="29" xfId="2" applyNumberFormat="1" applyFont="1" applyBorder="1" applyAlignment="1">
      <alignment horizontal="center"/>
    </xf>
    <xf numFmtId="1" fontId="72" fillId="0" borderId="30" xfId="2"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0" fontId="21" fillId="0" borderId="0" xfId="0" applyFont="1"/>
    <xf numFmtId="0" fontId="18" fillId="0" borderId="0" xfId="0" applyFont="1"/>
    <xf numFmtId="0" fontId="22" fillId="0" borderId="0" xfId="0" applyFont="1"/>
    <xf numFmtId="0" fontId="1" fillId="9" borderId="0" xfId="0" applyFont="1" applyFill="1" applyAlignment="1">
      <alignment horizontal="center"/>
    </xf>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19" fillId="39" borderId="32" xfId="0" applyFont="1" applyFill="1" applyBorder="1" applyAlignment="1">
      <alignment horizontal="center" vertical="center"/>
    </xf>
    <xf numFmtId="0" fontId="19" fillId="40" borderId="63" xfId="3" applyFont="1" applyFill="1" applyBorder="1" applyAlignment="1">
      <alignment horizontal="center" vertical="center"/>
    </xf>
    <xf numFmtId="0" fontId="0" fillId="0" borderId="0" xfId="0"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20" fillId="0" borderId="0" xfId="0" applyFont="1" applyAlignment="1">
      <alignment horizontal="center"/>
    </xf>
    <xf numFmtId="0" fontId="25" fillId="0" borderId="0" xfId="0" applyFont="1" applyAlignment="1">
      <alignment horizontal="center"/>
    </xf>
    <xf numFmtId="0" fontId="0" fillId="8" borderId="0" xfId="0" applyFill="1" applyAlignment="1">
      <alignment horizontal="center" wrapText="1"/>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7" borderId="53"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Border="1" applyAlignment="1">
      <alignment horizontal="center"/>
    </xf>
    <xf numFmtId="0" fontId="4" fillId="9" borderId="4" xfId="0" applyFont="1" applyFill="1" applyBorder="1" applyAlignment="1">
      <alignment horizontal="center"/>
    </xf>
    <xf numFmtId="0" fontId="12" fillId="9" borderId="53" xfId="0" applyFont="1" applyFill="1" applyBorder="1" applyAlignment="1">
      <alignment horizontal="center"/>
    </xf>
    <xf numFmtId="0" fontId="12" fillId="9" borderId="54"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4" fillId="9" borderId="0"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6" xfId="0" applyFont="1" applyFill="1" applyBorder="1" applyAlignment="1">
      <alignment horizontal="center"/>
    </xf>
    <xf numFmtId="0" fontId="12" fillId="9" borderId="5" xfId="0" applyFont="1" applyFill="1" applyBorder="1" applyAlignment="1">
      <alignment horizont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42"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8" fillId="0" borderId="0" xfId="0" applyFont="1" applyAlignment="1">
      <alignment horizontal="left" vertical="top" wrapText="1"/>
    </xf>
    <xf numFmtId="0" fontId="4" fillId="9" borderId="5" xfId="0" applyFont="1" applyFill="1" applyBorder="1" applyAlignment="1">
      <alignment horizontal="right"/>
    </xf>
    <xf numFmtId="0" fontId="12" fillId="0" borderId="0" xfId="0" applyFont="1" applyBorder="1" applyAlignment="1">
      <alignment horizontal="center"/>
    </xf>
    <xf numFmtId="0" fontId="12" fillId="11" borderId="0" xfId="0"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9" borderId="53" xfId="0" applyFont="1" applyFill="1" applyBorder="1" applyAlignment="1">
      <alignment horizontal="right"/>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0" fontId="40" fillId="0" borderId="7" xfId="0" applyFont="1" applyBorder="1" applyAlignment="1">
      <alignment horizontal="center"/>
    </xf>
    <xf numFmtId="0" fontId="40" fillId="0" borderId="0" xfId="0" applyFont="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5" fillId="9" borderId="3" xfId="0" applyFont="1" applyFill="1" applyBorder="1" applyAlignment="1">
      <alignment horizontal="center"/>
    </xf>
    <xf numFmtId="0" fontId="45" fillId="9" borderId="5" xfId="0" applyFont="1" applyFill="1" applyBorder="1" applyAlignment="1">
      <alignment horizontal="center"/>
    </xf>
    <xf numFmtId="0" fontId="45"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1" fillId="0" borderId="52"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1" xfId="0" applyNumberFormat="1" applyFont="1" applyBorder="1" applyAlignment="1">
      <alignment horizontal="center" vertical="top"/>
    </xf>
    <xf numFmtId="1" fontId="51" fillId="0" borderId="42" xfId="0" applyNumberFormat="1" applyFont="1" applyBorder="1" applyAlignment="1">
      <alignment horizontal="center" vertical="top"/>
    </xf>
    <xf numFmtId="1" fontId="51" fillId="0" borderId="4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33"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8" borderId="0" xfId="0" applyFont="1" applyFill="1" applyAlignment="1">
      <alignment horizontal="center" wrapText="1"/>
    </xf>
    <xf numFmtId="0" fontId="7" fillId="34" borderId="0" xfId="0" applyFont="1" applyFill="1" applyAlignment="1">
      <alignment horizontal="center" wrapText="1"/>
    </xf>
    <xf numFmtId="0" fontId="7" fillId="36" borderId="0" xfId="0" applyFont="1" applyFill="1" applyAlignment="1">
      <alignment horizontal="center" wrapText="1"/>
    </xf>
    <xf numFmtId="1" fontId="1" fillId="8" borderId="20" xfId="0" applyNumberFormat="1" applyFont="1" applyFill="1" applyBorder="1" applyAlignment="1">
      <alignment horizontal="center"/>
    </xf>
    <xf numFmtId="0" fontId="1" fillId="8" borderId="0" xfId="0" applyFont="1" applyFill="1" applyAlignment="1">
      <alignment horizontal="left" indent="3"/>
    </xf>
    <xf numFmtId="165" fontId="1" fillId="8" borderId="19" xfId="0" applyNumberFormat="1" applyFont="1" applyFill="1" applyBorder="1" applyAlignment="1">
      <alignment horizontal="right"/>
    </xf>
    <xf numFmtId="165" fontId="72" fillId="8" borderId="19" xfId="2" applyNumberFormat="1" applyFont="1" applyFill="1" applyBorder="1" applyAlignment="1">
      <alignment horizontal="right"/>
    </xf>
    <xf numFmtId="165" fontId="72" fillId="8" borderId="0" xfId="2" applyNumberFormat="1" applyFont="1" applyFill="1" applyAlignment="1">
      <alignment horizontal="right"/>
    </xf>
    <xf numFmtId="165" fontId="72" fillId="8" borderId="20" xfId="2" applyNumberFormat="1" applyFont="1" applyFill="1" applyBorder="1" applyAlignment="1">
      <alignment horizontal="right"/>
    </xf>
    <xf numFmtId="2" fontId="1" fillId="8" borderId="4" xfId="0" applyNumberFormat="1" applyFont="1" applyFill="1" applyBorder="1"/>
    <xf numFmtId="0" fontId="0" fillId="8" borderId="0" xfId="0" applyFill="1"/>
    <xf numFmtId="2" fontId="1" fillId="8" borderId="15"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19" xfId="0" applyNumberFormat="1" applyFont="1" applyFill="1" applyBorder="1" applyAlignment="1">
      <alignment horizontal="right"/>
    </xf>
    <xf numFmtId="165" fontId="75" fillId="8" borderId="19" xfId="2" applyNumberFormat="1" applyFont="1" applyFill="1" applyBorder="1" applyAlignment="1">
      <alignment horizontal="right"/>
    </xf>
    <xf numFmtId="165" fontId="75" fillId="8" borderId="0" xfId="2" applyNumberFormat="1" applyFont="1" applyFill="1" applyAlignment="1">
      <alignment horizontal="right"/>
    </xf>
    <xf numFmtId="165" fontId="75" fillId="8" borderId="20" xfId="2" applyNumberFormat="1" applyFont="1" applyFill="1" applyBorder="1" applyAlignment="1">
      <alignment horizontal="right"/>
    </xf>
    <xf numFmtId="0" fontId="2" fillId="8" borderId="0" xfId="0" applyFont="1" applyFill="1" applyAlignment="1">
      <alignment horizontal="left"/>
    </xf>
    <xf numFmtId="2" fontId="1" fillId="26" borderId="15" xfId="0" applyNumberFormat="1" applyFont="1" applyFill="1" applyBorder="1"/>
    <xf numFmtId="2" fontId="1" fillId="26" borderId="4" xfId="0" applyNumberFormat="1" applyFont="1" applyFill="1" applyBorder="1"/>
  </cellXfs>
  <cellStyles count="4">
    <cellStyle name="Normal" xfId="0" builtinId="0"/>
    <cellStyle name="Normal 2" xfId="2" xr:uid="{35E765C7-AE20-4FCA-9C6E-1305BB88AFE8}"/>
    <cellStyle name="Normal 3" xfId="3" xr:uid="{FAC3CA7E-CDF8-4E23-A1B8-F965AA8C4F6D}"/>
    <cellStyle name="Percent" xfId="1" builtinId="5"/>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164564</xdr:rowOff>
    </xdr:from>
    <xdr:to>
      <xdr:col>38</xdr:col>
      <xdr:colOff>641241</xdr:colOff>
      <xdr:row>67</xdr:row>
      <xdr:rowOff>164564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164564</xdr:rowOff>
    </xdr:from>
    <xdr:to>
      <xdr:col>38</xdr:col>
      <xdr:colOff>526941</xdr:colOff>
      <xdr:row>69</xdr:row>
      <xdr:rowOff>57030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76</xdr:row>
      <xdr:rowOff>48081</xdr:rowOff>
    </xdr:from>
    <xdr:to>
      <xdr:col>38</xdr:col>
      <xdr:colOff>526941</xdr:colOff>
      <xdr:row>76</xdr:row>
      <xdr:rowOff>48081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76</xdr:row>
      <xdr:rowOff>48081</xdr:rowOff>
    </xdr:from>
    <xdr:to>
      <xdr:col>38</xdr:col>
      <xdr:colOff>603141</xdr:colOff>
      <xdr:row>76</xdr:row>
      <xdr:rowOff>48081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164564</xdr:rowOff>
    </xdr:from>
    <xdr:to>
      <xdr:col>38</xdr:col>
      <xdr:colOff>603141</xdr:colOff>
      <xdr:row>67</xdr:row>
      <xdr:rowOff>164564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641241</xdr:colOff>
      <xdr:row>48</xdr:row>
      <xdr:rowOff>151129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151129</xdr:rowOff>
    </xdr:from>
    <xdr:to>
      <xdr:col>38</xdr:col>
      <xdr:colOff>526941</xdr:colOff>
      <xdr:row>53</xdr:row>
      <xdr:rowOff>86179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56</xdr:row>
      <xdr:rowOff>9726</xdr:rowOff>
    </xdr:from>
    <xdr:to>
      <xdr:col>38</xdr:col>
      <xdr:colOff>526941</xdr:colOff>
      <xdr:row>56</xdr:row>
      <xdr:rowOff>9726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56</xdr:row>
      <xdr:rowOff>9726</xdr:rowOff>
    </xdr:from>
    <xdr:to>
      <xdr:col>38</xdr:col>
      <xdr:colOff>603141</xdr:colOff>
      <xdr:row>56</xdr:row>
      <xdr:rowOff>9726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603141</xdr:colOff>
      <xdr:row>48</xdr:row>
      <xdr:rowOff>151129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608623</xdr:colOff>
      <xdr:row>45</xdr:row>
      <xdr:rowOff>77258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208779</xdr:rowOff>
    </xdr:from>
    <xdr:to>
      <xdr:col>38</xdr:col>
      <xdr:colOff>568618</xdr:colOff>
      <xdr:row>51</xdr:row>
      <xdr:rowOff>48486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568618</xdr:colOff>
      <xdr:row>45</xdr:row>
      <xdr:rowOff>77258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149519</xdr:colOff>
      <xdr:row>38</xdr:row>
      <xdr:rowOff>9633</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117134</xdr:colOff>
      <xdr:row>38</xdr:row>
      <xdr:rowOff>9633</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141582</xdr:rowOff>
    </xdr:from>
    <xdr:to>
      <xdr:col>40</xdr:col>
      <xdr:colOff>349885</xdr:colOff>
      <xdr:row>68</xdr:row>
      <xdr:rowOff>226297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162420</xdr:rowOff>
    </xdr:from>
    <xdr:to>
      <xdr:col>40</xdr:col>
      <xdr:colOff>228600</xdr:colOff>
      <xdr:row>85</xdr:row>
      <xdr:rowOff>86921</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25851</xdr:rowOff>
    </xdr:from>
    <xdr:to>
      <xdr:col>38</xdr:col>
      <xdr:colOff>457200</xdr:colOff>
      <xdr:row>63</xdr:row>
      <xdr:rowOff>143341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25851</xdr:rowOff>
    </xdr:from>
    <xdr:to>
      <xdr:col>38</xdr:col>
      <xdr:colOff>533400</xdr:colOff>
      <xdr:row>63</xdr:row>
      <xdr:rowOff>143341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57166</xdr:rowOff>
    </xdr:from>
    <xdr:to>
      <xdr:col>40</xdr:col>
      <xdr:colOff>228600</xdr:colOff>
      <xdr:row>73</xdr:row>
      <xdr:rowOff>312230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29752</xdr:rowOff>
    </xdr:from>
    <xdr:to>
      <xdr:col>3</xdr:col>
      <xdr:colOff>304800</xdr:colOff>
      <xdr:row>33</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126225</xdr:rowOff>
    </xdr:from>
    <xdr:to>
      <xdr:col>20</xdr:col>
      <xdr:colOff>152400</xdr:colOff>
      <xdr:row>47</xdr:row>
      <xdr:rowOff>750052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113572</xdr:rowOff>
    </xdr:from>
    <xdr:to>
      <xdr:col>20</xdr:col>
      <xdr:colOff>311785</xdr:colOff>
      <xdr:row>43</xdr:row>
      <xdr:rowOff>103603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254001</xdr:rowOff>
    </xdr:from>
    <xdr:to>
      <xdr:col>40</xdr:col>
      <xdr:colOff>342900</xdr:colOff>
      <xdr:row>82</xdr:row>
      <xdr:rowOff>67982</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114</xdr:row>
      <xdr:rowOff>38101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209288</xdr:rowOff>
    </xdr:from>
    <xdr:to>
      <xdr:col>38</xdr:col>
      <xdr:colOff>450215</xdr:colOff>
      <xdr:row>78</xdr:row>
      <xdr:rowOff>162859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209288</xdr:rowOff>
    </xdr:from>
    <xdr:to>
      <xdr:col>38</xdr:col>
      <xdr:colOff>533400</xdr:colOff>
      <xdr:row>78</xdr:row>
      <xdr:rowOff>162859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91</xdr:row>
      <xdr:rowOff>64808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114598</xdr:rowOff>
    </xdr:from>
    <xdr:to>
      <xdr:col>3</xdr:col>
      <xdr:colOff>304800</xdr:colOff>
      <xdr:row>43</xdr:row>
      <xdr:rowOff>73025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162038</xdr:rowOff>
    </xdr:from>
    <xdr:to>
      <xdr:col>20</xdr:col>
      <xdr:colOff>145415</xdr:colOff>
      <xdr:row>65</xdr:row>
      <xdr:rowOff>8703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83410</xdr:rowOff>
    </xdr:from>
    <xdr:to>
      <xdr:col>3</xdr:col>
      <xdr:colOff>304800</xdr:colOff>
      <xdr:row>19</xdr:row>
      <xdr:rowOff>16360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50614</xdr:rowOff>
    </xdr:from>
    <xdr:to>
      <xdr:col>3</xdr:col>
      <xdr:colOff>304800</xdr:colOff>
      <xdr:row>20</xdr:row>
      <xdr:rowOff>192890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325979</xdr:rowOff>
    </xdr:from>
    <xdr:to>
      <xdr:col>3</xdr:col>
      <xdr:colOff>304800</xdr:colOff>
      <xdr:row>48</xdr:row>
      <xdr:rowOff>25962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715419</xdr:rowOff>
    </xdr:from>
    <xdr:to>
      <xdr:col>20</xdr:col>
      <xdr:colOff>335915</xdr:colOff>
      <xdr:row>49</xdr:row>
      <xdr:rowOff>170627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87407</xdr:rowOff>
    </xdr:from>
    <xdr:to>
      <xdr:col>40</xdr:col>
      <xdr:colOff>342900</xdr:colOff>
      <xdr:row>83</xdr:row>
      <xdr:rowOff>87779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116</xdr:row>
      <xdr:rowOff>19050</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29508</xdr:rowOff>
    </xdr:from>
    <xdr:to>
      <xdr:col>38</xdr:col>
      <xdr:colOff>438150</xdr:colOff>
      <xdr:row>78</xdr:row>
      <xdr:rowOff>292101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29508</xdr:rowOff>
    </xdr:from>
    <xdr:to>
      <xdr:col>38</xdr:col>
      <xdr:colOff>542925</xdr:colOff>
      <xdr:row>78</xdr:row>
      <xdr:rowOff>292101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92</xdr:row>
      <xdr:rowOff>86286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2428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126441</xdr:rowOff>
    </xdr:from>
    <xdr:to>
      <xdr:col>3</xdr:col>
      <xdr:colOff>314325</xdr:colOff>
      <xdr:row>47</xdr:row>
      <xdr:rowOff>931208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1017683</xdr:rowOff>
    </xdr:from>
    <xdr:to>
      <xdr:col>20</xdr:col>
      <xdr:colOff>333375</xdr:colOff>
      <xdr:row>50</xdr:row>
      <xdr:rowOff>189567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72</xdr:row>
      <xdr:rowOff>94130</xdr:rowOff>
    </xdr:from>
    <xdr:to>
      <xdr:col>40</xdr:col>
      <xdr:colOff>342900</xdr:colOff>
      <xdr:row>74</xdr:row>
      <xdr:rowOff>249518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100</xdr:row>
      <xdr:rowOff>173504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131671</xdr:rowOff>
    </xdr:from>
    <xdr:to>
      <xdr:col>38</xdr:col>
      <xdr:colOff>438150</xdr:colOff>
      <xdr:row>72</xdr:row>
      <xdr:rowOff>105896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131671</xdr:rowOff>
    </xdr:from>
    <xdr:to>
      <xdr:col>38</xdr:col>
      <xdr:colOff>533400</xdr:colOff>
      <xdr:row>72</xdr:row>
      <xdr:rowOff>105896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78</xdr:row>
      <xdr:rowOff>144743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7657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135330</xdr:rowOff>
    </xdr:from>
    <xdr:to>
      <xdr:col>40</xdr:col>
      <xdr:colOff>342900</xdr:colOff>
      <xdr:row>63</xdr:row>
      <xdr:rowOff>104962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79</xdr:row>
      <xdr:rowOff>28912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63</xdr:row>
      <xdr:rowOff>7584</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124532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122854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47212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47212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140598</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107126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25</xdr:row>
      <xdr:rowOff>66488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9338</xdr:rowOff>
    </xdr:from>
    <xdr:to>
      <xdr:col>20</xdr:col>
      <xdr:colOff>114300</xdr:colOff>
      <xdr:row>49</xdr:row>
      <xdr:rowOff>125506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94129</xdr:rowOff>
    </xdr:from>
    <xdr:to>
      <xdr:col>3</xdr:col>
      <xdr:colOff>171450</xdr:colOff>
      <xdr:row>25</xdr:row>
      <xdr:rowOff>28388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85912</xdr:rowOff>
    </xdr:from>
    <xdr:to>
      <xdr:col>3</xdr:col>
      <xdr:colOff>304800</xdr:colOff>
      <xdr:row>23</xdr:row>
      <xdr:rowOff>45197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11953</xdr:rowOff>
    </xdr:from>
    <xdr:to>
      <xdr:col>23</xdr:col>
      <xdr:colOff>190500</xdr:colOff>
      <xdr:row>28</xdr:row>
      <xdr:rowOff>49306</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93</xdr:row>
      <xdr:rowOff>136429</xdr:rowOff>
    </xdr:from>
    <xdr:to>
      <xdr:col>9</xdr:col>
      <xdr:colOff>149439</xdr:colOff>
      <xdr:row>93</xdr:row>
      <xdr:rowOff>136429</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2</xdr:col>
      <xdr:colOff>66617</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93</xdr:row>
      <xdr:rowOff>136429</xdr:rowOff>
    </xdr:from>
    <xdr:to>
      <xdr:col>9</xdr:col>
      <xdr:colOff>149439</xdr:colOff>
      <xdr:row>93</xdr:row>
      <xdr:rowOff>136429</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122498</xdr:colOff>
      <xdr:row>79</xdr:row>
      <xdr:rowOff>68489</xdr:rowOff>
    </xdr:from>
    <xdr:to>
      <xdr:col>9</xdr:col>
      <xdr:colOff>122497</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46297</xdr:colOff>
      <xdr:row>79</xdr:row>
      <xdr:rowOff>68489</xdr:rowOff>
    </xdr:from>
    <xdr:to>
      <xdr:col>12</xdr:col>
      <xdr:colOff>122497</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8197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465397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465397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23</xdr:col>
      <xdr:colOff>647700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2" dT="2022-06-30T18:28:35.88" personId="{104078EE-2393-4C21-9029-18A325FBDB70}" id="{3D5BBFAC-4E76-4F2A-B34F-264D54111B07}">
    <text>May 2022 CBO economic projections row 129 quarterly table</text>
  </threadedComment>
  <threadedComment ref="B32" dT="2023-02-15T19:43:47.77" personId="{609654FB-393E-4954-B3A3-EDB231775774}" id="{D2ED8084-9DED-49AE-9C39-DE899BA6DBE4}" parentId="{3D5BBFAC-4E76-4F2A-B34F-264D54111B07}">
    <text>This is now February 2023 CBO economic projections row 129 quarterly table</text>
  </threadedComment>
  <threadedComment ref="U33"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538" t="s">
        <v>0</v>
      </c>
      <c r="C10" s="1539"/>
      <c r="D10" s="1539"/>
      <c r="E10" s="1539"/>
      <c r="F10" s="1539"/>
      <c r="G10" s="1539"/>
      <c r="H10" s="1539"/>
      <c r="I10" s="1539"/>
      <c r="J10" s="1539"/>
      <c r="K10" s="1539"/>
      <c r="L10" s="1539"/>
      <c r="M10" s="1539"/>
      <c r="N10" s="1539"/>
      <c r="O10" s="1539"/>
      <c r="P10" s="1539"/>
      <c r="Q10" s="1540"/>
    </row>
    <row r="11" spans="2:17" x14ac:dyDescent="0.3">
      <c r="B11" s="1541"/>
      <c r="C11" s="1542"/>
      <c r="D11" s="1542"/>
      <c r="E11" s="1542"/>
      <c r="F11" s="1542"/>
      <c r="G11" s="1542"/>
      <c r="H11" s="1542"/>
      <c r="I11" s="1542"/>
      <c r="J11" s="1542"/>
      <c r="K11" s="1542"/>
      <c r="L11" s="1542"/>
      <c r="M11" s="1542"/>
      <c r="N11" s="1542"/>
      <c r="O11" s="1542"/>
      <c r="P11" s="1542"/>
      <c r="Q11" s="1543"/>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544" t="s">
        <v>3</v>
      </c>
      <c r="D13" s="1544"/>
      <c r="E13" s="1544"/>
      <c r="F13" s="1544"/>
      <c r="G13" s="1544"/>
      <c r="H13" s="1544"/>
      <c r="I13" s="1544"/>
      <c r="J13" s="1544"/>
      <c r="K13" s="1544"/>
      <c r="L13" s="1544"/>
      <c r="M13" s="1544"/>
      <c r="N13" s="1544"/>
      <c r="O13" s="1544"/>
      <c r="P13" s="1544"/>
      <c r="Q13" s="1545"/>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838</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839</v>
      </c>
      <c r="C18" s="12" t="s">
        <v>11</v>
      </c>
      <c r="D18" s="12"/>
      <c r="E18" s="12"/>
      <c r="F18" s="12"/>
      <c r="G18" s="12"/>
      <c r="H18" s="12"/>
      <c r="I18" s="12"/>
      <c r="J18" s="12"/>
      <c r="K18" s="12"/>
      <c r="L18" s="12"/>
      <c r="M18" s="12"/>
      <c r="N18" s="12"/>
      <c r="O18" s="12"/>
      <c r="P18" s="12"/>
      <c r="Q18" s="6"/>
    </row>
    <row r="19" spans="2:17" x14ac:dyDescent="0.3">
      <c r="B19" s="3" t="s">
        <v>12</v>
      </c>
      <c r="C19" s="12" t="s">
        <v>840</v>
      </c>
      <c r="D19" s="12"/>
      <c r="E19" s="12"/>
      <c r="F19" s="12"/>
      <c r="G19" s="12"/>
      <c r="H19" s="12"/>
      <c r="I19" s="12"/>
      <c r="J19" s="12"/>
      <c r="K19" s="12"/>
      <c r="L19" s="12"/>
      <c r="M19" s="12"/>
      <c r="N19" s="12"/>
      <c r="O19" s="12"/>
      <c r="P19" s="12"/>
      <c r="Q19" s="6"/>
    </row>
    <row r="20" spans="2:17" ht="30.75" customHeight="1" x14ac:dyDescent="0.3">
      <c r="B20" s="3" t="s">
        <v>13</v>
      </c>
      <c r="C20" s="1536" t="s">
        <v>14</v>
      </c>
      <c r="D20" s="1536"/>
      <c r="E20" s="1536"/>
      <c r="F20" s="1536"/>
      <c r="G20" s="1536"/>
      <c r="H20" s="1536"/>
      <c r="I20" s="1536"/>
      <c r="J20" s="1536"/>
      <c r="K20" s="1536"/>
      <c r="L20" s="1536"/>
      <c r="M20" s="1536"/>
      <c r="N20" s="1536"/>
      <c r="O20" s="1536"/>
      <c r="P20" s="1536"/>
      <c r="Q20" s="1537"/>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842</v>
      </c>
      <c r="C22" s="1536" t="s">
        <v>841</v>
      </c>
      <c r="D22" s="1536"/>
      <c r="E22" s="1536"/>
      <c r="F22" s="1536"/>
      <c r="G22" s="1536"/>
      <c r="H22" s="1536"/>
      <c r="I22" s="1536"/>
      <c r="J22" s="1536"/>
      <c r="K22" s="1536"/>
      <c r="L22" s="1536"/>
      <c r="M22" s="1536"/>
      <c r="N22" s="1536"/>
      <c r="O22" s="1536"/>
      <c r="P22" s="1536"/>
      <c r="Q22" s="1537"/>
    </row>
    <row r="23" spans="2:17" ht="31.35" customHeight="1" x14ac:dyDescent="0.3">
      <c r="B23" s="3" t="s">
        <v>17</v>
      </c>
      <c r="C23" s="1536" t="s">
        <v>843</v>
      </c>
      <c r="D23" s="1536"/>
      <c r="E23" s="1536"/>
      <c r="F23" s="1536"/>
      <c r="G23" s="1536"/>
      <c r="H23" s="1536"/>
      <c r="I23" s="1536"/>
      <c r="J23" s="1536"/>
      <c r="K23" s="1536"/>
      <c r="L23" s="1536"/>
      <c r="M23" s="1536"/>
      <c r="N23" s="1536"/>
      <c r="O23" s="1536"/>
      <c r="P23" s="1536"/>
      <c r="Q23" s="1537"/>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844</v>
      </c>
      <c r="D27" s="12"/>
      <c r="E27" s="12"/>
      <c r="F27" s="12"/>
      <c r="G27" s="12"/>
      <c r="H27" s="12"/>
      <c r="I27" s="12"/>
      <c r="J27" s="12"/>
      <c r="K27" s="12"/>
      <c r="L27" s="12"/>
      <c r="M27" s="12"/>
      <c r="N27" s="12"/>
      <c r="O27" s="12"/>
      <c r="P27" s="12"/>
      <c r="Q27" s="6"/>
    </row>
    <row r="28" spans="2:17" x14ac:dyDescent="0.3">
      <c r="B28" s="3" t="s">
        <v>25</v>
      </c>
      <c r="C28" s="12" t="s">
        <v>845</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535" t="s">
        <v>846</v>
      </c>
      <c r="C33" s="1536"/>
      <c r="D33" s="1536"/>
      <c r="E33" s="1536"/>
      <c r="F33" s="1536"/>
      <c r="G33" s="1536"/>
      <c r="H33" s="1536"/>
      <c r="I33" s="1536"/>
      <c r="J33" s="1536"/>
      <c r="K33" s="1536"/>
      <c r="L33" s="1536"/>
      <c r="M33" s="1536"/>
      <c r="N33" s="1536"/>
      <c r="O33" s="1536"/>
      <c r="P33" s="1536"/>
      <c r="Q33" s="1537"/>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A13" workbookViewId="0">
      <selection activeCell="T51" sqref="T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32" ht="18.600000000000001" customHeight="1" x14ac:dyDescent="0.35">
      <c r="A1" s="1589" t="s">
        <v>1751</v>
      </c>
      <c r="B1" s="1590"/>
      <c r="C1" s="1590"/>
      <c r="D1" s="1590"/>
      <c r="E1" s="1590"/>
      <c r="F1" s="1590"/>
      <c r="G1" s="1590"/>
      <c r="H1" s="1590"/>
      <c r="I1" s="1590"/>
      <c r="J1" s="1590"/>
      <c r="K1" s="1590"/>
      <c r="L1" s="1590"/>
      <c r="M1" s="1590"/>
      <c r="N1" s="1590"/>
      <c r="O1" s="1590"/>
      <c r="P1" s="1590"/>
      <c r="Q1" s="1590"/>
      <c r="R1" s="1590"/>
      <c r="S1" s="1590"/>
      <c r="T1" s="1590"/>
      <c r="U1" s="1590"/>
      <c r="V1" s="1590"/>
      <c r="W1" s="1590"/>
      <c r="X1" s="1590"/>
      <c r="Y1" s="1590"/>
      <c r="Z1" s="1590"/>
    </row>
    <row r="2" spans="1:32" ht="17.100000000000001" customHeight="1" x14ac:dyDescent="0.35">
      <c r="A2" s="1591" t="s">
        <v>1752</v>
      </c>
      <c r="B2" s="1590"/>
      <c r="C2" s="1590"/>
      <c r="D2" s="1590"/>
      <c r="E2" s="1590"/>
      <c r="F2" s="1590"/>
      <c r="G2" s="1590"/>
      <c r="H2" s="1590"/>
      <c r="I2" s="1590"/>
      <c r="J2" s="1590"/>
      <c r="K2" s="1590"/>
      <c r="L2" s="1590"/>
      <c r="M2" s="1590"/>
      <c r="N2" s="1590"/>
      <c r="O2" s="1590"/>
      <c r="P2" s="1590"/>
      <c r="Q2" s="1590"/>
      <c r="R2" s="1590"/>
      <c r="S2" s="1590"/>
      <c r="T2" s="1590"/>
      <c r="U2" s="1590"/>
      <c r="V2" s="1590"/>
      <c r="W2" s="1590"/>
      <c r="X2" s="1590"/>
      <c r="Y2" s="1590"/>
      <c r="Z2" s="1590"/>
    </row>
    <row r="3" spans="1:32" x14ac:dyDescent="0.3">
      <c r="A3" s="1590" t="s">
        <v>1753</v>
      </c>
      <c r="B3" s="1590"/>
      <c r="C3" s="1590"/>
      <c r="D3" s="1590"/>
      <c r="E3" s="1590"/>
      <c r="F3" s="1590"/>
      <c r="G3" s="1590"/>
      <c r="H3" s="1590"/>
      <c r="I3" s="1590"/>
      <c r="J3" s="1590"/>
      <c r="K3" s="1590"/>
      <c r="L3" s="1590"/>
      <c r="M3" s="1590"/>
      <c r="N3" s="1590"/>
      <c r="O3" s="1590"/>
      <c r="P3" s="1590"/>
      <c r="Q3" s="1590"/>
      <c r="R3" s="1590"/>
      <c r="S3" s="1590"/>
      <c r="T3" s="1590"/>
      <c r="U3" s="1590"/>
      <c r="V3" s="1590"/>
      <c r="W3" s="1590"/>
      <c r="X3" s="1590"/>
      <c r="Y3" s="1590"/>
      <c r="Z3" s="1590"/>
    </row>
    <row r="4" spans="1:32" x14ac:dyDescent="0.3">
      <c r="A4" s="1590" t="s">
        <v>1807</v>
      </c>
      <c r="B4" s="1590"/>
      <c r="C4" s="1590"/>
      <c r="D4" s="1590"/>
      <c r="E4" s="1590"/>
      <c r="F4" s="1590"/>
      <c r="G4" s="1590"/>
      <c r="H4" s="1590"/>
      <c r="I4" s="1590"/>
      <c r="J4" s="1590"/>
      <c r="K4" s="1590"/>
      <c r="L4" s="1590"/>
      <c r="M4" s="1590"/>
      <c r="N4" s="1590"/>
      <c r="O4" s="1590"/>
      <c r="P4" s="1590"/>
      <c r="Q4" s="1590"/>
      <c r="R4" s="1590"/>
      <c r="S4" s="1590"/>
      <c r="T4" s="1590"/>
      <c r="U4" s="1590"/>
      <c r="V4" s="1590"/>
      <c r="W4" s="1590"/>
      <c r="X4" s="1590"/>
      <c r="Y4" s="1590"/>
      <c r="Z4" s="1590"/>
    </row>
    <row r="5" spans="1:32" x14ac:dyDescent="0.3">
      <c r="A5" s="110" t="s">
        <v>1837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
      <c r="A6" s="1596" t="s">
        <v>822</v>
      </c>
      <c r="B6" s="1596" t="s">
        <v>1799</v>
      </c>
      <c r="C6" s="1597" t="s">
        <v>1808</v>
      </c>
      <c r="D6" s="1597"/>
      <c r="E6" s="1597"/>
      <c r="F6" s="1597"/>
      <c r="G6" s="1597"/>
      <c r="H6" s="1597"/>
      <c r="I6" s="1597"/>
      <c r="J6" s="1597"/>
      <c r="K6" s="1597"/>
      <c r="L6" s="1597"/>
      <c r="M6" s="1597"/>
      <c r="N6" s="1597"/>
      <c r="O6" s="1597" t="s">
        <v>1754</v>
      </c>
      <c r="P6" s="1597"/>
      <c r="Q6" s="1597"/>
      <c r="R6" s="1597"/>
      <c r="S6" s="1597"/>
      <c r="T6" s="1597"/>
      <c r="U6" s="1597"/>
      <c r="V6" s="1597"/>
      <c r="W6" s="1597"/>
      <c r="X6" s="1597"/>
      <c r="Y6" s="1597"/>
      <c r="Z6" s="1597"/>
      <c r="AA6" s="1598" t="s">
        <v>1906</v>
      </c>
      <c r="AB6" s="1598"/>
      <c r="AC6" s="1598"/>
      <c r="AD6" s="1519" t="s">
        <v>1795</v>
      </c>
      <c r="AE6" s="1520"/>
      <c r="AF6" s="1521"/>
    </row>
    <row r="7" spans="1:32" x14ac:dyDescent="0.3">
      <c r="A7" s="1596"/>
      <c r="B7" s="1596"/>
      <c r="C7" s="1518" t="s">
        <v>1755</v>
      </c>
      <c r="D7" s="1518" t="s">
        <v>1756</v>
      </c>
      <c r="E7" s="1518" t="s">
        <v>1757</v>
      </c>
      <c r="F7" s="1518" t="s">
        <v>1758</v>
      </c>
      <c r="G7" s="1518" t="s">
        <v>1759</v>
      </c>
      <c r="H7" s="1518" t="s">
        <v>1760</v>
      </c>
      <c r="I7" s="1518" t="s">
        <v>1761</v>
      </c>
      <c r="J7" s="1518" t="s">
        <v>1762</v>
      </c>
      <c r="K7" s="1518" t="s">
        <v>1763</v>
      </c>
      <c r="L7" s="1518" t="s">
        <v>1764</v>
      </c>
      <c r="M7" s="1518" t="s">
        <v>1765</v>
      </c>
      <c r="N7" s="1518" t="s">
        <v>1766</v>
      </c>
      <c r="O7" s="1518" t="s">
        <v>1755</v>
      </c>
      <c r="P7" s="1518" t="s">
        <v>1756</v>
      </c>
      <c r="Q7" s="1518" t="s">
        <v>1757</v>
      </c>
      <c r="R7" s="1518" t="s">
        <v>1758</v>
      </c>
      <c r="S7" s="1530" t="s">
        <v>1759</v>
      </c>
      <c r="T7" s="1530" t="s">
        <v>1760</v>
      </c>
      <c r="U7" s="1530" t="s">
        <v>1761</v>
      </c>
      <c r="V7" s="1530" t="s">
        <v>1762</v>
      </c>
      <c r="W7" s="1530" t="s">
        <v>1763</v>
      </c>
      <c r="X7" s="1527" t="s">
        <v>1764</v>
      </c>
      <c r="Y7" s="1527" t="s">
        <v>1765</v>
      </c>
      <c r="Z7" s="1527" t="s">
        <v>1766</v>
      </c>
      <c r="AA7" s="1523" t="s">
        <v>1755</v>
      </c>
      <c r="AB7" s="1523" t="s">
        <v>1756</v>
      </c>
      <c r="AC7" s="1523" t="s">
        <v>1757</v>
      </c>
      <c r="AD7" s="1518" t="s">
        <v>1758</v>
      </c>
      <c r="AE7" s="1518" t="s">
        <v>1759</v>
      </c>
      <c r="AF7" s="1523" t="s">
        <v>1760</v>
      </c>
    </row>
    <row r="8" spans="1:32" x14ac:dyDescent="0.3">
      <c r="A8" s="111" t="s">
        <v>1767</v>
      </c>
      <c r="B8" s="74" t="s">
        <v>1768</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531">
        <v>122.3</v>
      </c>
      <c r="T8" s="1531">
        <v>123.512</v>
      </c>
      <c r="U8" s="1531">
        <v>123.39700000000001</v>
      </c>
      <c r="V8" s="1531">
        <v>123.72799999999999</v>
      </c>
      <c r="W8" s="1531">
        <v>124.154</v>
      </c>
      <c r="X8" s="1528">
        <v>124.676</v>
      </c>
      <c r="Y8" s="1528">
        <v>124.889</v>
      </c>
      <c r="Z8" s="1528">
        <v>125.14100000000001</v>
      </c>
      <c r="AA8" s="1524">
        <v>125.898</v>
      </c>
      <c r="AB8" s="1524">
        <v>126.277</v>
      </c>
      <c r="AC8" s="1524">
        <v>126.373</v>
      </c>
      <c r="AD8" s="47">
        <f>AC8*(1+AD30)^(1/12)</f>
        <v>126.60754039415305</v>
      </c>
      <c r="AE8" s="47">
        <f>AD8*(1+AE30)^(1/12)</f>
        <v>126.84251608062715</v>
      </c>
      <c r="AF8" s="47">
        <f>AE8*(1+AF30)^(1/12)</f>
        <v>127.07792786729767</v>
      </c>
    </row>
    <row r="9" spans="1:32" x14ac:dyDescent="0.3">
      <c r="A9" s="111" t="s">
        <v>1769</v>
      </c>
      <c r="B9" s="74" t="s">
        <v>1770</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531">
        <v>107.414</v>
      </c>
      <c r="T9" s="1531">
        <v>109.154</v>
      </c>
      <c r="U9" s="1531">
        <v>108.682</v>
      </c>
      <c r="V9" s="1531">
        <v>108.316</v>
      </c>
      <c r="W9" s="1531">
        <v>108.20699999999999</v>
      </c>
      <c r="X9" s="1528">
        <v>108.621</v>
      </c>
      <c r="Y9" s="1528">
        <v>108.361</v>
      </c>
      <c r="Z9" s="1528">
        <v>107.81399999999999</v>
      </c>
      <c r="AA9" s="1524">
        <v>108.435</v>
      </c>
      <c r="AB9" s="1524">
        <v>108.596</v>
      </c>
      <c r="AC9" s="1524">
        <v>108.35599999999999</v>
      </c>
      <c r="AD9" s="47"/>
      <c r="AE9" s="35"/>
      <c r="AF9" s="123"/>
    </row>
    <row r="10" spans="1:32" x14ac:dyDescent="0.3">
      <c r="A10" s="111" t="s">
        <v>1771</v>
      </c>
      <c r="B10" s="111" t="s">
        <v>1772</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529">
        <v>96.397999999999996</v>
      </c>
      <c r="T10" s="1529">
        <v>97.09</v>
      </c>
      <c r="U10" s="1529">
        <v>96.88</v>
      </c>
      <c r="V10" s="1529">
        <v>97.346999999999994</v>
      </c>
      <c r="W10" s="1529">
        <v>97.781999999999996</v>
      </c>
      <c r="X10" s="1526">
        <v>97.399000000000001</v>
      </c>
      <c r="Y10" s="1526">
        <v>96.847999999999999</v>
      </c>
      <c r="Z10" s="1526">
        <v>96.632000000000005</v>
      </c>
      <c r="AA10" s="1522">
        <v>96.88</v>
      </c>
      <c r="AB10" s="1522">
        <v>96.704999999999998</v>
      </c>
      <c r="AC10" s="1522">
        <v>96.626999999999995</v>
      </c>
      <c r="AD10" s="47"/>
      <c r="AE10" s="35"/>
      <c r="AF10" s="123"/>
    </row>
    <row r="11" spans="1:32" x14ac:dyDescent="0.3">
      <c r="A11" s="111" t="s">
        <v>1773</v>
      </c>
      <c r="B11" s="111" t="s">
        <v>1774</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529">
        <v>113.511</v>
      </c>
      <c r="T11" s="1529">
        <v>115.94</v>
      </c>
      <c r="U11" s="1529">
        <v>115.297</v>
      </c>
      <c r="V11" s="1529">
        <v>114.367</v>
      </c>
      <c r="W11" s="1529">
        <v>113.89</v>
      </c>
      <c r="X11" s="1526">
        <v>114.84099999999999</v>
      </c>
      <c r="Y11" s="1526">
        <v>114.78</v>
      </c>
      <c r="Z11" s="1526">
        <v>114.017</v>
      </c>
      <c r="AA11" s="1522">
        <v>114.884</v>
      </c>
      <c r="AB11" s="1522">
        <v>115.27800000000001</v>
      </c>
      <c r="AC11" s="1522">
        <v>114.929</v>
      </c>
      <c r="AD11" s="47"/>
      <c r="AE11" s="35"/>
      <c r="AF11" s="123"/>
    </row>
    <row r="12" spans="1:32" x14ac:dyDescent="0.3">
      <c r="A12" s="111" t="s">
        <v>1775</v>
      </c>
      <c r="B12" s="74" t="s">
        <v>1776</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531">
        <v>129.78</v>
      </c>
      <c r="T12" s="1531">
        <v>130.63900000000001</v>
      </c>
      <c r="U12" s="1531">
        <v>130.75299999999999</v>
      </c>
      <c r="V12" s="1531">
        <v>131.51900000000001</v>
      </c>
      <c r="W12" s="1531">
        <v>132.27500000000001</v>
      </c>
      <c r="X12" s="1528">
        <v>132.85599999999999</v>
      </c>
      <c r="Y12" s="1528">
        <v>133.364</v>
      </c>
      <c r="Z12" s="1528">
        <v>134.10900000000001</v>
      </c>
      <c r="AA12" s="1524">
        <v>134.941</v>
      </c>
      <c r="AB12" s="1524">
        <v>135.45400000000001</v>
      </c>
      <c r="AC12" s="1524">
        <v>135.761</v>
      </c>
      <c r="AD12" s="47"/>
      <c r="AE12" s="35"/>
      <c r="AF12" s="123"/>
    </row>
    <row r="13" spans="1:32" x14ac:dyDescent="0.3">
      <c r="A13" s="111" t="s">
        <v>1799</v>
      </c>
      <c r="B13" s="111" t="s">
        <v>1777</v>
      </c>
      <c r="C13" s="111" t="s">
        <v>1799</v>
      </c>
      <c r="D13" s="111" t="s">
        <v>1799</v>
      </c>
      <c r="E13" s="111" t="s">
        <v>1799</v>
      </c>
      <c r="F13" s="111" t="s">
        <v>1799</v>
      </c>
      <c r="G13" s="111" t="s">
        <v>1799</v>
      </c>
      <c r="H13" s="111" t="s">
        <v>1799</v>
      </c>
      <c r="I13" s="111" t="s">
        <v>1799</v>
      </c>
      <c r="J13" s="111" t="s">
        <v>1799</v>
      </c>
      <c r="K13" s="111" t="s">
        <v>1799</v>
      </c>
      <c r="L13" s="111" t="s">
        <v>1799</v>
      </c>
      <c r="M13" s="111" t="s">
        <v>1799</v>
      </c>
      <c r="N13" s="111" t="s">
        <v>1799</v>
      </c>
      <c r="O13" s="111" t="s">
        <v>1799</v>
      </c>
      <c r="P13" s="111" t="s">
        <v>1799</v>
      </c>
      <c r="Q13" s="111" t="s">
        <v>1799</v>
      </c>
      <c r="R13" s="111" t="s">
        <v>1799</v>
      </c>
      <c r="S13" s="1529" t="s">
        <v>2237</v>
      </c>
      <c r="T13" s="1529" t="s">
        <v>2237</v>
      </c>
      <c r="U13" s="1529" t="s">
        <v>2237</v>
      </c>
      <c r="V13" s="1529" t="s">
        <v>2237</v>
      </c>
      <c r="W13" s="1529" t="s">
        <v>2237</v>
      </c>
      <c r="X13" s="1526" t="s">
        <v>2237</v>
      </c>
      <c r="Y13" s="1526" t="s">
        <v>2237</v>
      </c>
      <c r="Z13" s="1526" t="s">
        <v>2237</v>
      </c>
      <c r="AA13" s="1522" t="s">
        <v>2237</v>
      </c>
      <c r="AB13" s="1522" t="s">
        <v>2237</v>
      </c>
      <c r="AC13" s="1522" t="s">
        <v>2237</v>
      </c>
      <c r="AD13" s="47"/>
      <c r="AE13" s="35"/>
      <c r="AF13" s="123"/>
    </row>
    <row r="14" spans="1:32" x14ac:dyDescent="0.3">
      <c r="A14" s="111" t="s">
        <v>1778</v>
      </c>
      <c r="B14" s="111" t="s">
        <v>1779</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529">
        <v>122.488</v>
      </c>
      <c r="T14" s="1529">
        <v>123.258</v>
      </c>
      <c r="U14" s="1529">
        <v>123.352</v>
      </c>
      <c r="V14" s="1529">
        <v>124.03100000000001</v>
      </c>
      <c r="W14" s="1529">
        <v>124.607</v>
      </c>
      <c r="X14" s="1526">
        <v>124.998</v>
      </c>
      <c r="Y14" s="1526">
        <v>125.277</v>
      </c>
      <c r="Z14" s="1526">
        <v>125.746</v>
      </c>
      <c r="AA14" s="1522">
        <v>126.449</v>
      </c>
      <c r="AB14" s="1522">
        <v>126.88800000000001</v>
      </c>
      <c r="AC14" s="1522">
        <v>127.244</v>
      </c>
      <c r="AD14" s="47"/>
      <c r="AE14" s="35"/>
      <c r="AF14" s="123"/>
    </row>
    <row r="15" spans="1:32" x14ac:dyDescent="0.3">
      <c r="A15" s="111" t="s">
        <v>1780</v>
      </c>
      <c r="B15" s="111" t="s">
        <v>1781</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529">
        <v>121.849</v>
      </c>
      <c r="T15" s="1529">
        <v>123.053</v>
      </c>
      <c r="U15" s="1529">
        <v>124.623</v>
      </c>
      <c r="V15" s="1529">
        <v>125.58799999999999</v>
      </c>
      <c r="W15" s="1529">
        <v>126.366</v>
      </c>
      <c r="X15" s="1526">
        <v>127.04300000000001</v>
      </c>
      <c r="Y15" s="1526">
        <v>127.66200000000001</v>
      </c>
      <c r="Z15" s="1526">
        <v>128.17500000000001</v>
      </c>
      <c r="AA15" s="1522">
        <v>128.68199999999999</v>
      </c>
      <c r="AB15" s="1522">
        <v>128.95599999999999</v>
      </c>
      <c r="AC15" s="1522">
        <v>128.708</v>
      </c>
      <c r="AD15" s="47"/>
      <c r="AE15" s="35"/>
      <c r="AF15" s="123"/>
    </row>
    <row r="16" spans="1:32" x14ac:dyDescent="0.3">
      <c r="A16" s="111" t="s">
        <v>1782</v>
      </c>
      <c r="B16" s="111" t="s">
        <v>1783</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529">
        <v>124.726</v>
      </c>
      <c r="T16" s="1529">
        <v>134.256</v>
      </c>
      <c r="U16" s="1529">
        <v>127.651</v>
      </c>
      <c r="V16" s="1529">
        <v>120.47499999999999</v>
      </c>
      <c r="W16" s="1529">
        <v>117.581</v>
      </c>
      <c r="X16" s="1526">
        <v>120.31399999999999</v>
      </c>
      <c r="Y16" s="1526">
        <v>118.64700000000001</v>
      </c>
      <c r="Z16" s="1526">
        <v>114.42</v>
      </c>
      <c r="AA16" s="1522">
        <v>116.61</v>
      </c>
      <c r="AB16" s="1522">
        <v>115.98399999999999</v>
      </c>
      <c r="AC16" s="1522">
        <v>111.682</v>
      </c>
      <c r="AD16" s="47"/>
      <c r="AE16" s="35"/>
      <c r="AF16" s="123"/>
    </row>
    <row r="17" spans="1:35" x14ac:dyDescent="0.3">
      <c r="A17" s="111" t="s">
        <v>1784</v>
      </c>
      <c r="B17" s="111" t="s">
        <v>1785</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529">
        <v>119.295</v>
      </c>
      <c r="T17" s="1529">
        <v>120.56100000000001</v>
      </c>
      <c r="U17" s="1529">
        <v>120.541</v>
      </c>
      <c r="V17" s="1529">
        <v>120.72799999999999</v>
      </c>
      <c r="W17" s="1529">
        <v>121.08499999999999</v>
      </c>
      <c r="X17" s="1526">
        <v>121.65600000000001</v>
      </c>
      <c r="Y17" s="1526">
        <v>121.744</v>
      </c>
      <c r="Z17" s="1526">
        <v>121.983</v>
      </c>
      <c r="AA17" s="1522">
        <v>122.66200000000001</v>
      </c>
      <c r="AB17" s="1522">
        <v>123.083</v>
      </c>
      <c r="AC17" s="1522">
        <v>123.26</v>
      </c>
      <c r="AD17" s="47"/>
      <c r="AE17" s="35"/>
      <c r="AF17" s="123"/>
    </row>
    <row r="18" spans="1:35" x14ac:dyDescent="0.3">
      <c r="A18" s="111" t="s">
        <v>1786</v>
      </c>
      <c r="B18" s="111" t="s">
        <v>1787</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529">
        <v>119.01600000000001</v>
      </c>
      <c r="T18" s="1529">
        <v>119.785</v>
      </c>
      <c r="U18" s="1529">
        <v>120.018</v>
      </c>
      <c r="V18" s="1529">
        <v>120.58</v>
      </c>
      <c r="W18" s="1529">
        <v>121.09699999999999</v>
      </c>
      <c r="X18" s="1526">
        <v>121.527</v>
      </c>
      <c r="Y18" s="1526">
        <v>121.67100000000001</v>
      </c>
      <c r="Z18" s="1526">
        <v>122.15600000000001</v>
      </c>
      <c r="AA18" s="1522">
        <v>122.761</v>
      </c>
      <c r="AB18" s="1522">
        <v>123.25700000000001</v>
      </c>
      <c r="AC18" s="1522">
        <v>123.742</v>
      </c>
      <c r="AD18" s="124"/>
      <c r="AE18" s="36"/>
      <c r="AF18" s="125"/>
    </row>
    <row r="19" spans="1:35" ht="15.6" customHeight="1" x14ac:dyDescent="0.4">
      <c r="A19" s="1593" t="s">
        <v>1788</v>
      </c>
      <c r="B19" s="1594"/>
      <c r="C19" s="1594"/>
      <c r="D19" s="1594"/>
      <c r="E19" s="1594"/>
      <c r="F19" s="1594"/>
      <c r="G19" s="1594"/>
      <c r="H19" s="1594"/>
      <c r="I19" s="1594"/>
      <c r="J19" s="1594"/>
      <c r="K19" s="1594"/>
      <c r="L19" s="1594"/>
      <c r="M19" s="1594"/>
      <c r="N19" s="1594"/>
      <c r="O19" s="1594"/>
      <c r="P19" s="1594"/>
      <c r="Q19" s="1594"/>
      <c r="R19" s="1594"/>
      <c r="S19" s="1594"/>
      <c r="T19" s="1594"/>
      <c r="U19" s="1594"/>
      <c r="V19" s="1594"/>
      <c r="W19" s="1594"/>
      <c r="X19" s="1594"/>
      <c r="Y19" s="1594"/>
      <c r="Z19" s="1594"/>
      <c r="AA19" s="1594"/>
    </row>
    <row r="20" spans="1:35" x14ac:dyDescent="0.3">
      <c r="A20" s="1595" t="s">
        <v>1789</v>
      </c>
      <c r="B20" s="1594"/>
      <c r="C20" s="1594"/>
      <c r="D20" s="1594"/>
      <c r="E20" s="1594"/>
      <c r="F20" s="1594"/>
      <c r="G20" s="1594"/>
      <c r="H20" s="1594"/>
      <c r="I20" s="1594"/>
      <c r="J20" s="1594"/>
      <c r="K20" s="1594"/>
      <c r="L20" s="1594"/>
      <c r="M20" s="1594"/>
      <c r="N20" s="1594"/>
      <c r="O20" s="1594"/>
      <c r="P20" s="1594"/>
      <c r="Q20" s="1594"/>
      <c r="R20" s="1594"/>
      <c r="S20" s="1594"/>
      <c r="T20" s="1594"/>
      <c r="U20" s="1594"/>
      <c r="V20" s="1594"/>
      <c r="W20" s="1594"/>
      <c r="X20" s="1594"/>
      <c r="Y20" s="1594"/>
      <c r="Z20" s="1594"/>
      <c r="AA20" s="1594"/>
    </row>
    <row r="21" spans="1:35" x14ac:dyDescent="0.3">
      <c r="A21" s="1595" t="s">
        <v>1790</v>
      </c>
      <c r="B21" s="1594"/>
      <c r="C21" s="1594"/>
      <c r="D21" s="1594"/>
      <c r="E21" s="1594"/>
      <c r="F21" s="1594"/>
      <c r="G21" s="1594"/>
      <c r="H21" s="1594"/>
      <c r="I21" s="1594"/>
      <c r="J21" s="1594"/>
      <c r="K21" s="1594"/>
      <c r="L21" s="1594"/>
      <c r="M21" s="1594"/>
      <c r="N21" s="1594"/>
      <c r="O21" s="1594"/>
      <c r="P21" s="1594"/>
      <c r="Q21" s="1594"/>
      <c r="R21" s="1594"/>
      <c r="S21" s="1594"/>
      <c r="T21" s="1594"/>
      <c r="U21" s="1594"/>
      <c r="V21" s="1594"/>
      <c r="W21" s="1594"/>
      <c r="X21" s="1594"/>
      <c r="Y21" s="1594"/>
      <c r="Z21" s="1594"/>
      <c r="AA21" s="1594"/>
    </row>
    <row r="22" spans="1:35" x14ac:dyDescent="0.3">
      <c r="A22" s="1595" t="s">
        <v>1791</v>
      </c>
      <c r="B22" s="1594"/>
      <c r="C22" s="1594"/>
      <c r="D22" s="1594"/>
      <c r="E22" s="1594"/>
      <c r="F22" s="1594"/>
      <c r="G22" s="1594"/>
      <c r="H22" s="1594"/>
      <c r="I22" s="1594"/>
      <c r="J22" s="1594"/>
      <c r="K22" s="1594"/>
      <c r="L22" s="1594"/>
      <c r="M22" s="1594"/>
      <c r="N22" s="1594"/>
      <c r="O22" s="1594"/>
      <c r="P22" s="1594"/>
      <c r="Q22" s="1594"/>
      <c r="R22" s="1594"/>
      <c r="S22" s="1594"/>
      <c r="T22" s="1594"/>
      <c r="U22" s="1594"/>
      <c r="V22" s="1594"/>
      <c r="W22" s="1594"/>
      <c r="X22" s="1594"/>
      <c r="Y22" s="1594"/>
      <c r="Z22" s="1594"/>
      <c r="AA22" s="1594"/>
    </row>
    <row r="23" spans="1:35" x14ac:dyDescent="0.3">
      <c r="A23" s="113"/>
    </row>
    <row r="24" spans="1:35" x14ac:dyDescent="0.3">
      <c r="A24" s="113"/>
    </row>
    <row r="25" spans="1:35" x14ac:dyDescent="0.3">
      <c r="A25" s="113"/>
    </row>
    <row r="26" spans="1:35" x14ac:dyDescent="0.3">
      <c r="A26" s="113"/>
      <c r="G26" s="1599" t="s">
        <v>1792</v>
      </c>
      <c r="H26" s="1599"/>
      <c r="I26" s="1599"/>
      <c r="J26" s="1599"/>
      <c r="K26" s="1599"/>
      <c r="L26" s="1599"/>
      <c r="M26" s="1599"/>
      <c r="N26" s="1599"/>
      <c r="O26" s="1599"/>
      <c r="P26" s="1599"/>
      <c r="Q26" s="1599"/>
      <c r="R26" s="1599"/>
      <c r="S26" s="1599"/>
      <c r="T26" s="1599"/>
      <c r="U26" s="1599"/>
      <c r="V26" s="1599"/>
      <c r="W26" s="1599"/>
      <c r="X26" s="1599"/>
      <c r="Y26" s="1599"/>
      <c r="Z26" s="1599"/>
      <c r="AA26" s="1599"/>
      <c r="AB26" s="1599"/>
      <c r="AC26" s="1599"/>
      <c r="AD26" s="1599"/>
      <c r="AE26" s="1599"/>
      <c r="AF26" s="1599"/>
    </row>
    <row r="27" spans="1:35" x14ac:dyDescent="0.3">
      <c r="A27" s="113"/>
      <c r="B27" s="121" t="s">
        <v>1792</v>
      </c>
      <c r="C27" s="1592" t="s">
        <v>280</v>
      </c>
      <c r="D27" s="1592"/>
      <c r="E27" s="1592"/>
      <c r="F27" s="1592"/>
      <c r="G27" s="1592"/>
      <c r="H27" s="1592"/>
      <c r="I27" s="1592"/>
      <c r="J27" s="1592"/>
      <c r="K27" s="1592"/>
      <c r="L27" s="1592"/>
      <c r="M27" s="1592"/>
      <c r="N27" s="1592"/>
      <c r="O27" s="1592"/>
      <c r="P27" s="1592"/>
      <c r="Q27" s="1592"/>
      <c r="R27" s="1592"/>
      <c r="S27" s="1592"/>
      <c r="T27" s="1592"/>
      <c r="U27" s="1592"/>
      <c r="V27" s="1592"/>
      <c r="W27" s="1592"/>
      <c r="X27" s="1592"/>
      <c r="Y27" s="1592"/>
      <c r="Z27" s="112"/>
      <c r="AA27" s="1136"/>
      <c r="AB27" s="1136"/>
      <c r="AC27" s="1136"/>
      <c r="AD27" s="129" t="s">
        <v>1800</v>
      </c>
    </row>
    <row r="28" spans="1:35" x14ac:dyDescent="0.3">
      <c r="A28" s="113"/>
      <c r="C28" s="1592">
        <v>2021</v>
      </c>
      <c r="D28" s="1592"/>
      <c r="E28" s="1592"/>
      <c r="F28" s="1592"/>
      <c r="G28" s="1592"/>
      <c r="H28" s="1592"/>
      <c r="I28" s="1592"/>
      <c r="J28" s="1592"/>
      <c r="K28" s="1592"/>
      <c r="L28" s="1592"/>
      <c r="M28" s="1592"/>
      <c r="N28" s="1592"/>
      <c r="O28" s="1592">
        <v>2022</v>
      </c>
      <c r="P28" s="1592"/>
      <c r="Q28" s="1592"/>
      <c r="R28" s="1592"/>
      <c r="S28" s="1592"/>
      <c r="T28" s="1592"/>
      <c r="U28" s="1592"/>
      <c r="V28" s="1592"/>
      <c r="W28" s="1592"/>
      <c r="X28" s="1592"/>
      <c r="Y28" s="1592"/>
      <c r="Z28" s="112"/>
      <c r="AA28" s="1136"/>
      <c r="AB28" s="1136"/>
      <c r="AC28" s="1136"/>
      <c r="AD28" s="129"/>
      <c r="AE28" s="35"/>
      <c r="AF28" s="35"/>
      <c r="AG28" s="35"/>
    </row>
    <row r="29" spans="1:35" x14ac:dyDescent="0.3">
      <c r="A29" s="113"/>
      <c r="C29" s="114" t="s">
        <v>1755</v>
      </c>
      <c r="D29" s="114" t="s">
        <v>1756</v>
      </c>
      <c r="E29" s="114" t="s">
        <v>1757</v>
      </c>
      <c r="F29" s="114" t="s">
        <v>1758</v>
      </c>
      <c r="G29" s="114" t="s">
        <v>1759</v>
      </c>
      <c r="H29" s="114" t="s">
        <v>1760</v>
      </c>
      <c r="I29" s="114" t="s">
        <v>1761</v>
      </c>
      <c r="J29" s="114" t="s">
        <v>1762</v>
      </c>
      <c r="K29" s="114" t="s">
        <v>1763</v>
      </c>
      <c r="L29" s="114" t="s">
        <v>1764</v>
      </c>
      <c r="M29" s="114" t="s">
        <v>1765</v>
      </c>
      <c r="N29" s="114" t="s">
        <v>1766</v>
      </c>
      <c r="O29" s="114" t="s">
        <v>1755</v>
      </c>
      <c r="P29" s="114" t="s">
        <v>1756</v>
      </c>
      <c r="Q29" s="114" t="s">
        <v>1757</v>
      </c>
      <c r="R29" s="114" t="s">
        <v>1758</v>
      </c>
      <c r="S29" s="114" t="s">
        <v>1759</v>
      </c>
      <c r="T29" s="114" t="s">
        <v>1760</v>
      </c>
      <c r="U29" s="114" t="s">
        <v>1761</v>
      </c>
      <c r="V29" s="114" t="s">
        <v>1762</v>
      </c>
      <c r="W29" s="114" t="s">
        <v>1763</v>
      </c>
      <c r="X29" s="114" t="s">
        <v>1764</v>
      </c>
      <c r="Y29" s="114" t="s">
        <v>1765</v>
      </c>
      <c r="Z29" s="116"/>
      <c r="AA29" s="116"/>
      <c r="AB29" s="116"/>
      <c r="AC29" s="116"/>
      <c r="AD29" s="122" t="s">
        <v>1766</v>
      </c>
      <c r="AE29" s="119" t="s">
        <v>1755</v>
      </c>
      <c r="AF29" s="119" t="s">
        <v>1756</v>
      </c>
      <c r="AG29" s="35"/>
      <c r="AH29" s="131" t="s">
        <v>1796</v>
      </c>
      <c r="AI29" s="35"/>
    </row>
    <row r="30" spans="1:35" x14ac:dyDescent="0.3">
      <c r="A30" s="113"/>
      <c r="B30" s="74" t="s">
        <v>1768</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1797</v>
      </c>
    </row>
    <row r="31" spans="1:35" x14ac:dyDescent="0.3">
      <c r="A31" s="113"/>
      <c r="B31" s="74" t="s">
        <v>1770</v>
      </c>
      <c r="D31" s="120">
        <f t="shared" ref="D31:Y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
      <c r="A32" s="113"/>
      <c r="B32" t="s">
        <v>1772</v>
      </c>
      <c r="D32" s="120">
        <f t="shared" ref="D32:Y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
      <c r="A33" s="113"/>
      <c r="B33" t="s">
        <v>1774</v>
      </c>
      <c r="D33" s="120">
        <f t="shared" ref="D33:Y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
      <c r="A34" s="113"/>
      <c r="B34" s="74" t="s">
        <v>1776</v>
      </c>
      <c r="D34" s="120">
        <f t="shared" ref="D34:Y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
      <c r="A35" s="113"/>
      <c r="B35" t="s">
        <v>1777</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
      <c r="A36" s="113"/>
      <c r="B36" t="s">
        <v>1779</v>
      </c>
      <c r="D36" s="120">
        <f t="shared" ref="D36:Y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
      <c r="A37" s="113"/>
      <c r="B37" t="s">
        <v>1781</v>
      </c>
      <c r="D37" s="120">
        <f t="shared" ref="D37:Y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
      <c r="B38" t="s">
        <v>1783</v>
      </c>
      <c r="D38" s="120">
        <f t="shared" ref="D38:Y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
      <c r="B39" t="s">
        <v>1785</v>
      </c>
      <c r="D39" s="120">
        <f t="shared" ref="D39:Y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
      <c r="B40" t="s">
        <v>1787</v>
      </c>
      <c r="D40" s="120">
        <f t="shared" ref="D40:Y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
      <c r="B43" s="121"/>
      <c r="C43" s="121"/>
      <c r="D43" s="121"/>
      <c r="E43" s="121"/>
      <c r="F43" s="121"/>
      <c r="G43" s="121"/>
      <c r="H43" s="121"/>
      <c r="I43" s="121"/>
      <c r="J43" s="121"/>
      <c r="K43" s="121"/>
      <c r="L43" s="121"/>
      <c r="M43" s="121"/>
      <c r="N43" s="121"/>
      <c r="O43" s="121"/>
      <c r="P43" s="121"/>
      <c r="Q43" s="1602" t="s">
        <v>1793</v>
      </c>
      <c r="R43" s="1602"/>
      <c r="S43" s="1602"/>
      <c r="T43" s="1602"/>
      <c r="U43" s="1602"/>
      <c r="V43" s="1602"/>
      <c r="W43" s="1602"/>
      <c r="X43" s="1602"/>
      <c r="Y43" s="1602"/>
      <c r="Z43" s="1602"/>
      <c r="AA43" s="1602"/>
      <c r="AB43" s="1602"/>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600">
        <v>2021</v>
      </c>
      <c r="T44" s="1601"/>
      <c r="U44" s="1601"/>
      <c r="V44" s="1601"/>
      <c r="W44" s="1601">
        <v>2022</v>
      </c>
      <c r="X44" s="1601"/>
      <c r="Y44" s="1601"/>
      <c r="Z44" s="1601"/>
      <c r="AA44" s="1525">
        <v>2023</v>
      </c>
      <c r="AB44" s="1525">
        <v>2023</v>
      </c>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39" t="s">
        <v>283</v>
      </c>
      <c r="AB45" s="1139" t="s">
        <v>284</v>
      </c>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602" t="s">
        <v>1794</v>
      </c>
      <c r="R48" s="1602"/>
      <c r="S48" s="1602"/>
      <c r="T48" s="1602"/>
      <c r="U48" s="1602"/>
      <c r="V48" s="1602"/>
      <c r="W48" s="1602"/>
      <c r="X48" s="1602"/>
      <c r="Y48" s="1602"/>
      <c r="Z48" s="1602"/>
      <c r="AA48" s="1602"/>
      <c r="AB48" s="1602"/>
    </row>
    <row r="49" spans="2:29" ht="43.5" customHeight="1" x14ac:dyDescent="0.3">
      <c r="B49" s="35"/>
      <c r="C49" s="109"/>
      <c r="D49" s="109"/>
      <c r="E49" s="109"/>
      <c r="F49" s="109"/>
      <c r="G49" s="109"/>
      <c r="H49" s="109"/>
      <c r="S49" s="1600">
        <v>2021</v>
      </c>
      <c r="T49" s="1601"/>
      <c r="U49" s="1601"/>
      <c r="V49" s="1601"/>
      <c r="W49" s="1601">
        <v>2022</v>
      </c>
      <c r="X49" s="1601"/>
      <c r="Y49" s="1601"/>
      <c r="Z49" s="1601"/>
      <c r="AA49" s="1525">
        <v>2023</v>
      </c>
      <c r="AB49" s="129">
        <v>2023</v>
      </c>
      <c r="AC49" s="14" t="s">
        <v>2238</v>
      </c>
    </row>
    <row r="50" spans="2:29" x14ac:dyDescent="0.3">
      <c r="B50" s="35"/>
      <c r="C50" s="35"/>
      <c r="D50" s="35"/>
      <c r="E50" s="35"/>
      <c r="F50" s="35"/>
      <c r="G50" s="35"/>
      <c r="H50" s="35"/>
      <c r="S50" s="118" t="s">
        <v>283</v>
      </c>
      <c r="T50" s="132" t="s">
        <v>284</v>
      </c>
      <c r="U50" s="132" t="s">
        <v>238</v>
      </c>
      <c r="V50" s="132" t="s">
        <v>282</v>
      </c>
      <c r="W50" s="132" t="s">
        <v>283</v>
      </c>
      <c r="X50" s="132" t="s">
        <v>284</v>
      </c>
      <c r="Y50" s="132" t="s">
        <v>238</v>
      </c>
      <c r="Z50" s="115" t="s">
        <v>282</v>
      </c>
      <c r="AA50" s="1139" t="s">
        <v>283</v>
      </c>
      <c r="AB50" s="117" t="s">
        <v>284</v>
      </c>
    </row>
    <row r="51" spans="2:29" x14ac:dyDescent="0.3">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532">
        <f>Deflators!V12</f>
        <v>3.3692799617050628E-2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phoneticPr fontId="76"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4140625" defaultRowHeight="14.4" x14ac:dyDescent="0.3"/>
  <cols>
    <col min="1" max="1" width="33" customWidth="1"/>
    <col min="2" max="2" width="27.21875" customWidth="1"/>
  </cols>
  <sheetData>
    <row r="1" spans="1:22" x14ac:dyDescent="0.3">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 customHeight="1" x14ac:dyDescent="0.3">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3">
      <c r="A3" s="14" t="s">
        <v>798</v>
      </c>
      <c r="B3" t="s">
        <v>795</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3">
      <c r="A4" s="14" t="s">
        <v>800</v>
      </c>
      <c r="B4" t="s">
        <v>796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
      <c r="A5" s="14" t="s">
        <v>799</v>
      </c>
      <c r="B5" t="s">
        <v>797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
      <c r="A6" s="35" t="s">
        <v>201</v>
      </c>
      <c r="B6" s="35" t="s">
        <v>835</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 customHeight="1" x14ac:dyDescent="0.3">
      <c r="A7" s="14" t="s">
        <v>874</v>
      </c>
      <c r="B7" t="s">
        <v>872</v>
      </c>
      <c r="C7" s="35"/>
      <c r="D7" s="35"/>
      <c r="E7" s="35"/>
      <c r="F7" s="35"/>
      <c r="G7" s="35"/>
      <c r="H7" s="35"/>
      <c r="J7" s="135"/>
      <c r="K7" s="135"/>
      <c r="L7" s="135"/>
      <c r="M7" s="135"/>
      <c r="N7" s="135">
        <f>forecast!C21</f>
        <v>341.66194166567766</v>
      </c>
    </row>
    <row r="8" spans="1:22" x14ac:dyDescent="0.3">
      <c r="A8" t="s">
        <v>875</v>
      </c>
      <c r="B8" t="s">
        <v>873</v>
      </c>
      <c r="C8" s="35"/>
      <c r="D8" s="35"/>
      <c r="E8" s="35"/>
      <c r="F8" s="35"/>
      <c r="G8" s="35"/>
      <c r="H8" s="35"/>
      <c r="J8" s="135"/>
      <c r="K8" s="135"/>
      <c r="L8" s="135"/>
      <c r="M8" s="135"/>
      <c r="N8" s="135">
        <f>forecast!C22</f>
        <v>109.238858295851</v>
      </c>
    </row>
    <row r="9" spans="1:22" x14ac:dyDescent="0.3">
      <c r="A9" s="14" t="s">
        <v>932</v>
      </c>
      <c r="B9" t="s">
        <v>933</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1.44140625" defaultRowHeight="14.4" x14ac:dyDescent="0.3"/>
  <cols>
    <col min="1" max="1" width="32.77734375" customWidth="1"/>
    <col min="2" max="2" width="28.5546875" customWidth="1"/>
  </cols>
  <sheetData>
    <row r="1" spans="1:10" x14ac:dyDescent="0.3">
      <c r="A1" s="74" t="s">
        <v>178</v>
      </c>
      <c r="B1" s="74" t="s">
        <v>179</v>
      </c>
      <c r="C1" s="75" t="s">
        <v>187</v>
      </c>
      <c r="D1" s="75" t="s">
        <v>188</v>
      </c>
      <c r="E1" s="75" t="s">
        <v>189</v>
      </c>
      <c r="F1" s="75" t="s">
        <v>190</v>
      </c>
      <c r="G1" s="75" t="s">
        <v>191</v>
      </c>
      <c r="H1" s="75" t="s">
        <v>175</v>
      </c>
      <c r="I1" s="75" t="s">
        <v>176</v>
      </c>
      <c r="J1" s="75" t="s">
        <v>177</v>
      </c>
    </row>
    <row r="2" spans="1:10" x14ac:dyDescent="0.3">
      <c r="A2" s="72" t="s">
        <v>1722</v>
      </c>
      <c r="B2" t="s">
        <v>1740</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
      <c r="A3" s="47" t="s">
        <v>1736</v>
      </c>
      <c r="B3" t="s">
        <v>1741</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
      <c r="A4" s="47" t="s">
        <v>1737</v>
      </c>
      <c r="B4" t="s">
        <v>1742</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
      <c r="A5" s="47" t="s">
        <v>1738</v>
      </c>
      <c r="B5" t="s">
        <v>1743</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
      <c r="A6" s="35" t="s">
        <v>1739</v>
      </c>
      <c r="B6" t="s">
        <v>1744</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4140625" defaultRowHeight="14.4" x14ac:dyDescent="0.3"/>
  <cols>
    <col min="1" max="2" width="70.77734375" customWidth="1"/>
  </cols>
  <sheetData>
    <row r="1" spans="1:45" ht="15.6" customHeight="1" x14ac:dyDescent="0.3">
      <c r="A1" s="1603" t="s">
        <v>254</v>
      </c>
      <c r="B1" s="1603"/>
      <c r="C1" s="1603"/>
      <c r="D1" s="1603"/>
      <c r="E1" s="1603"/>
      <c r="F1" s="1603"/>
      <c r="G1" s="1603"/>
      <c r="H1" s="1603"/>
      <c r="I1" s="1603"/>
      <c r="J1" s="1603"/>
      <c r="K1" s="1603"/>
      <c r="L1" s="1603"/>
      <c r="M1" s="1603"/>
      <c r="N1" s="1603"/>
      <c r="O1" s="1603"/>
    </row>
    <row r="2" spans="1:45" ht="31.35" customHeight="1" x14ac:dyDescent="0.3">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 customHeight="1" x14ac:dyDescent="0.3">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 customHeight="1" x14ac:dyDescent="0.3">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90" zoomScaleNormal="90" workbookViewId="0">
      <pane xSplit="3" ySplit="10" topLeftCell="O11" activePane="bottomRight" state="frozen"/>
      <selection pane="topRight" activeCell="D1" sqref="D1"/>
      <selection pane="bottomLeft" activeCell="A11" sqref="A11"/>
      <selection pane="bottomRight" activeCell="X25" sqref="X25"/>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610" t="s">
        <v>53</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0" ht="14.25" customHeight="1" x14ac:dyDescent="0.3">
      <c r="B2" s="1611" t="s">
        <v>278</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2:30"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2:30"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2:30" x14ac:dyDescent="0.3">
      <c r="B5" s="1611"/>
      <c r="C5" s="1611"/>
      <c r="D5" s="1611"/>
      <c r="E5" s="1611"/>
      <c r="F5" s="1611"/>
      <c r="G5" s="1611"/>
      <c r="H5" s="1611"/>
      <c r="I5" s="1611"/>
      <c r="J5" s="1611"/>
      <c r="K5" s="1611"/>
      <c r="L5" s="1611"/>
      <c r="M5" s="1611"/>
      <c r="N5" s="1611"/>
      <c r="O5" s="1611"/>
      <c r="P5" s="1611"/>
      <c r="Q5" s="1611"/>
      <c r="R5" s="1611"/>
      <c r="S5" s="1611"/>
      <c r="T5" s="1611"/>
      <c r="U5" s="1611"/>
      <c r="V5" s="1611"/>
      <c r="W5" s="1611"/>
      <c r="X5" s="1611"/>
      <c r="Y5" s="1611"/>
      <c r="Z5" s="1611"/>
      <c r="AA5" s="1611"/>
      <c r="AB5" s="1611"/>
      <c r="AC5" s="1611"/>
    </row>
    <row r="6" spans="2:30" ht="38.85" customHeight="1" x14ac:dyDescent="0.3">
      <c r="B6" s="1611"/>
      <c r="C6" s="1611"/>
      <c r="D6" s="1611"/>
      <c r="E6" s="1611"/>
      <c r="F6" s="1611"/>
      <c r="G6" s="1611"/>
      <c r="H6" s="1611"/>
      <c r="I6" s="1611"/>
      <c r="J6" s="1611"/>
      <c r="K6" s="1611"/>
      <c r="L6" s="1611"/>
      <c r="M6" s="1611"/>
      <c r="N6" s="1611"/>
      <c r="O6" s="1611"/>
      <c r="P6" s="1611"/>
      <c r="Q6" s="1611"/>
      <c r="R6" s="1611"/>
      <c r="S6" s="1611"/>
      <c r="T6" s="1611"/>
      <c r="U6" s="1611"/>
      <c r="V6" s="1611"/>
      <c r="W6" s="1611"/>
      <c r="X6" s="1611"/>
      <c r="Y6" s="1611"/>
      <c r="Z6" s="1611"/>
      <c r="AA6" s="1611"/>
      <c r="AB6" s="1611"/>
      <c r="AC6" s="1611"/>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15" t="s">
        <v>279</v>
      </c>
      <c r="C8" s="1616"/>
      <c r="D8" s="1625" t="s">
        <v>280</v>
      </c>
      <c r="E8" s="1626"/>
      <c r="F8" s="1626"/>
      <c r="G8" s="1626"/>
      <c r="H8" s="1626"/>
      <c r="I8" s="1626"/>
      <c r="J8" s="1626"/>
      <c r="K8" s="1626"/>
      <c r="L8" s="1626"/>
      <c r="M8" s="1626"/>
      <c r="N8" s="1626"/>
      <c r="O8" s="1626"/>
      <c r="P8" s="1626"/>
      <c r="Q8" s="1626"/>
      <c r="R8" s="1626"/>
      <c r="S8" s="1626"/>
      <c r="T8" s="1626"/>
      <c r="U8" s="1246"/>
      <c r="V8" s="1627" t="s">
        <v>281</v>
      </c>
      <c r="W8" s="1605"/>
      <c r="X8" s="1605"/>
      <c r="Y8" s="1605"/>
      <c r="Z8" s="1605"/>
      <c r="AA8" s="1605"/>
      <c r="AB8" s="1605"/>
      <c r="AC8" s="1606"/>
    </row>
    <row r="9" spans="2:30" ht="12.75" customHeight="1" x14ac:dyDescent="0.3">
      <c r="B9" s="1617"/>
      <c r="C9" s="1618"/>
      <c r="D9" s="1138">
        <v>2018</v>
      </c>
      <c r="E9" s="1612">
        <v>2019</v>
      </c>
      <c r="F9" s="1613"/>
      <c r="G9" s="1613"/>
      <c r="H9" s="1614"/>
      <c r="I9" s="1612">
        <v>2020</v>
      </c>
      <c r="J9" s="1613"/>
      <c r="K9" s="1613"/>
      <c r="L9" s="1614"/>
      <c r="M9" s="1621">
        <v>2021</v>
      </c>
      <c r="N9" s="1622"/>
      <c r="O9" s="1622"/>
      <c r="P9" s="1623"/>
      <c r="Q9" s="1624">
        <v>2022</v>
      </c>
      <c r="R9" s="1624"/>
      <c r="S9" s="1249"/>
      <c r="T9" s="1218"/>
      <c r="U9" s="1242"/>
      <c r="V9" s="1243">
        <v>2023</v>
      </c>
      <c r="W9" s="1243"/>
      <c r="X9" s="1244"/>
      <c r="Y9" s="1609">
        <v>2024</v>
      </c>
      <c r="Z9" s="1607"/>
      <c r="AA9" s="1607"/>
      <c r="AB9" s="1608"/>
      <c r="AC9" s="1176">
        <v>2025</v>
      </c>
    </row>
    <row r="10" spans="2:30" ht="14.85" customHeight="1" x14ac:dyDescent="0.3">
      <c r="B10" s="1619"/>
      <c r="C10" s="1620"/>
      <c r="D10" s="1138" t="s">
        <v>282</v>
      </c>
      <c r="E10" s="1138" t="s">
        <v>283</v>
      </c>
      <c r="F10" s="1219" t="s">
        <v>284</v>
      </c>
      <c r="G10" s="1219" t="s">
        <v>238</v>
      </c>
      <c r="H10" s="1140" t="s">
        <v>282</v>
      </c>
      <c r="I10" s="1219" t="s">
        <v>283</v>
      </c>
      <c r="J10" s="1219" t="s">
        <v>284</v>
      </c>
      <c r="K10" s="1219" t="s">
        <v>238</v>
      </c>
      <c r="L10" s="1219" t="s">
        <v>282</v>
      </c>
      <c r="M10" s="570" t="s">
        <v>283</v>
      </c>
      <c r="N10" s="571" t="s">
        <v>284</v>
      </c>
      <c r="O10" s="571" t="s">
        <v>238</v>
      </c>
      <c r="P10" s="569" t="s">
        <v>282</v>
      </c>
      <c r="Q10" s="1219" t="s">
        <v>283</v>
      </c>
      <c r="R10" s="1219" t="s">
        <v>284</v>
      </c>
      <c r="S10" s="1219" t="s">
        <v>238</v>
      </c>
      <c r="T10" s="1140" t="s">
        <v>282</v>
      </c>
      <c r="U10" s="1140" t="s">
        <v>283</v>
      </c>
      <c r="V10" s="190" t="s">
        <v>284</v>
      </c>
      <c r="W10" s="190" t="s">
        <v>238</v>
      </c>
      <c r="X10" s="191" t="s">
        <v>282</v>
      </c>
      <c r="Y10" s="189" t="s">
        <v>283</v>
      </c>
      <c r="Z10" s="186" t="s">
        <v>284</v>
      </c>
      <c r="AA10" s="190" t="s">
        <v>238</v>
      </c>
      <c r="AB10" s="190" t="s">
        <v>282</v>
      </c>
      <c r="AC10" s="192" t="s">
        <v>283</v>
      </c>
    </row>
    <row r="11" spans="2:30" x14ac:dyDescent="0.3">
      <c r="B11" s="1157" t="s">
        <v>102</v>
      </c>
      <c r="C11" s="194" t="s">
        <v>285</v>
      </c>
      <c r="D11" s="1220">
        <f>'Haver Pivoted'!GO14</f>
        <v>27.8</v>
      </c>
      <c r="E11" s="716">
        <f>'Haver Pivoted'!GP14</f>
        <v>29.4</v>
      </c>
      <c r="F11" s="716">
        <f>'Haver Pivoted'!GQ14</f>
        <v>26.9</v>
      </c>
      <c r="G11" s="716">
        <f>'Haver Pivoted'!GR14</f>
        <v>26.4</v>
      </c>
      <c r="H11" s="716">
        <f>'Haver Pivoted'!GS14</f>
        <v>27.7</v>
      </c>
      <c r="I11" s="716">
        <f>'Haver Pivoted'!GT14</f>
        <v>40.700000000000003</v>
      </c>
      <c r="J11" s="716">
        <f>'Haver Pivoted'!GU14</f>
        <v>1007.5</v>
      </c>
      <c r="K11" s="716">
        <f>'Haver Pivoted'!GV14</f>
        <v>792.9</v>
      </c>
      <c r="L11" s="716">
        <f>'Haver Pivoted'!GW14</f>
        <v>308.5</v>
      </c>
      <c r="M11" s="716">
        <f>'Haver Pivoted'!GX14</f>
        <v>556.20000000000005</v>
      </c>
      <c r="N11" s="716">
        <f>'Haver Pivoted'!GY14</f>
        <v>448.6</v>
      </c>
      <c r="O11" s="716">
        <f>'Haver Pivoted'!GZ14</f>
        <v>245.1</v>
      </c>
      <c r="P11" s="716">
        <f>'Haver Pivoted'!HA14</f>
        <v>33.799999999999997</v>
      </c>
      <c r="Q11" s="1222">
        <f>'Haver Pivoted'!HB14</f>
        <v>23.6</v>
      </c>
      <c r="R11" s="1222">
        <f>'Haver Pivoted'!HC14</f>
        <v>18.600000000000001</v>
      </c>
      <c r="S11" s="1219">
        <f>'Haver Pivoted'!HD14</f>
        <v>18.5</v>
      </c>
      <c r="T11" s="1219">
        <f>'Haver Pivoted'!HE14</f>
        <v>20.399999999999999</v>
      </c>
      <c r="U11" s="1140">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1125">
        <f t="shared" si="0"/>
        <v>31.112228571428574</v>
      </c>
      <c r="AD11" s="163" t="s">
        <v>286</v>
      </c>
    </row>
    <row r="12" spans="2:30" x14ac:dyDescent="0.3">
      <c r="B12" s="179" t="s">
        <v>287</v>
      </c>
      <c r="C12" s="1221" t="s">
        <v>288</v>
      </c>
      <c r="D12" s="196">
        <f>'Haver Pivoted'!GO63</f>
        <v>0</v>
      </c>
      <c r="E12" s="1222">
        <f>'Haver Pivoted'!GP63</f>
        <v>0</v>
      </c>
      <c r="F12" s="1222">
        <f>'Haver Pivoted'!GQ63</f>
        <v>0</v>
      </c>
      <c r="G12" s="1222">
        <f>'Haver Pivoted'!GR63</f>
        <v>0</v>
      </c>
      <c r="H12" s="1222">
        <f>'Haver Pivoted'!GS63</f>
        <v>0</v>
      </c>
      <c r="I12" s="1222">
        <f>'Haver Pivoted'!GT63</f>
        <v>0</v>
      </c>
      <c r="J12" s="1222">
        <f>'Haver Pivoted'!GU63</f>
        <v>0.1</v>
      </c>
      <c r="K12" s="1222">
        <f>'Haver Pivoted'!GV63</f>
        <v>3.7</v>
      </c>
      <c r="L12" s="1222">
        <f>'Haver Pivoted'!GW63</f>
        <v>12.9</v>
      </c>
      <c r="M12" s="1222">
        <f>'Haver Pivoted'!GX63</f>
        <v>25.5</v>
      </c>
      <c r="N12" s="1222">
        <f>'Haver Pivoted'!GY63</f>
        <v>3.8</v>
      </c>
      <c r="O12" s="1222">
        <f>'Haver Pivoted'!GZ63</f>
        <v>1.8</v>
      </c>
      <c r="P12" s="1222">
        <f>'Haver Pivoted'!HA63</f>
        <v>0.6</v>
      </c>
      <c r="Q12" s="1222">
        <f>'Haver Pivoted'!HB63</f>
        <v>0.2</v>
      </c>
      <c r="R12" s="1222">
        <f>'Haver Pivoted'!HC63</f>
        <v>0.1</v>
      </c>
      <c r="S12" s="1219">
        <f>'Haver Pivoted'!HD63</f>
        <v>0</v>
      </c>
      <c r="T12" s="1219">
        <f>'Haver Pivoted'!HE63</f>
        <v>0</v>
      </c>
      <c r="U12" s="1140">
        <f>'Haver Pivoted'!HF63</f>
        <v>0</v>
      </c>
      <c r="V12" s="1288">
        <f t="shared" ref="V12:AC12" si="1">U12*V23/U23</f>
        <v>0</v>
      </c>
      <c r="W12" s="1288">
        <f t="shared" si="1"/>
        <v>0</v>
      </c>
      <c r="X12" s="1288">
        <f t="shared" si="1"/>
        <v>0</v>
      </c>
      <c r="Y12" s="1288">
        <f t="shared" si="1"/>
        <v>0</v>
      </c>
      <c r="Z12" s="1288">
        <f t="shared" si="1"/>
        <v>0</v>
      </c>
      <c r="AA12" s="1288">
        <f t="shared" si="1"/>
        <v>0</v>
      </c>
      <c r="AB12" s="1288">
        <f t="shared" si="1"/>
        <v>0</v>
      </c>
      <c r="AC12" s="183">
        <f t="shared" si="1"/>
        <v>0</v>
      </c>
    </row>
    <row r="13" spans="2:30" x14ac:dyDescent="0.3">
      <c r="B13" s="179" t="s">
        <v>289</v>
      </c>
      <c r="C13" s="1221"/>
      <c r="D13" s="196"/>
      <c r="E13" s="1222"/>
      <c r="F13" s="1222"/>
      <c r="G13" s="1222"/>
      <c r="H13" s="1223">
        <f>SUM(H14:H17)</f>
        <v>0</v>
      </c>
      <c r="I13" s="1223">
        <f t="shared" ref="I13:M13" si="2">SUM(I14:I17)</f>
        <v>0</v>
      </c>
      <c r="J13" s="1223">
        <f t="shared" si="2"/>
        <v>779.7</v>
      </c>
      <c r="K13" s="1223">
        <f t="shared" si="2"/>
        <v>582.6</v>
      </c>
      <c r="L13" s="1223">
        <f t="shared" si="2"/>
        <v>216.5</v>
      </c>
      <c r="M13" s="1223">
        <f t="shared" si="2"/>
        <v>497.6</v>
      </c>
      <c r="N13" s="1224">
        <f>SUM(N14:N17)</f>
        <v>401.5</v>
      </c>
      <c r="O13" s="1224">
        <f t="shared" ref="O13:AC13" si="3">SUM(O14:O17)</f>
        <v>207.4</v>
      </c>
      <c r="P13" s="1224">
        <f t="shared" si="3"/>
        <v>5.5</v>
      </c>
      <c r="Q13" s="1224">
        <v>0</v>
      </c>
      <c r="R13" s="1224">
        <f t="shared" si="3"/>
        <v>1</v>
      </c>
      <c r="S13" s="1225">
        <f t="shared" si="3"/>
        <v>0.5</v>
      </c>
      <c r="T13" s="1225">
        <f t="shared" si="3"/>
        <v>0.30000000000000004</v>
      </c>
      <c r="U13" s="199">
        <f t="shared" si="3"/>
        <v>0</v>
      </c>
      <c r="V13" s="1288">
        <f t="shared" si="3"/>
        <v>0</v>
      </c>
      <c r="W13" s="1288">
        <f t="shared" si="3"/>
        <v>0</v>
      </c>
      <c r="X13" s="1288">
        <f t="shared" si="3"/>
        <v>0</v>
      </c>
      <c r="Y13" s="1288">
        <f t="shared" si="3"/>
        <v>0</v>
      </c>
      <c r="Z13" s="1288">
        <f t="shared" si="3"/>
        <v>0</v>
      </c>
      <c r="AA13" s="1288">
        <f t="shared" si="3"/>
        <v>0</v>
      </c>
      <c r="AB13" s="1288">
        <f t="shared" si="3"/>
        <v>0</v>
      </c>
      <c r="AC13" s="183">
        <f t="shared" si="3"/>
        <v>0</v>
      </c>
    </row>
    <row r="14" spans="2:30" ht="18" customHeight="1" x14ac:dyDescent="0.3">
      <c r="B14" s="1141" t="s">
        <v>290</v>
      </c>
      <c r="C14" s="1226" t="s">
        <v>288</v>
      </c>
      <c r="D14" s="195">
        <f>'Haver Pivoted'!GO63</f>
        <v>0</v>
      </c>
      <c r="E14" s="1227">
        <f>'Haver Pivoted'!GP63</f>
        <v>0</v>
      </c>
      <c r="F14" s="1227">
        <f>'Haver Pivoted'!GQ63</f>
        <v>0</v>
      </c>
      <c r="G14" s="1227">
        <f>'Haver Pivoted'!GR63</f>
        <v>0</v>
      </c>
      <c r="H14" s="1227">
        <f>'Haver Pivoted'!GS63</f>
        <v>0</v>
      </c>
      <c r="I14" s="1227">
        <f>'Haver Pivoted'!GT63</f>
        <v>0</v>
      </c>
      <c r="J14" s="1227">
        <f>'Haver Pivoted'!GU63</f>
        <v>0.1</v>
      </c>
      <c r="K14" s="1227">
        <f>'Haver Pivoted'!GV63</f>
        <v>3.7</v>
      </c>
      <c r="L14" s="1227">
        <f>'Haver Pivoted'!GW63</f>
        <v>12.9</v>
      </c>
      <c r="M14" s="1227">
        <f>'Haver Pivoted'!GX63</f>
        <v>25.5</v>
      </c>
      <c r="N14" s="1227">
        <f>'Haver Pivoted'!GY63</f>
        <v>3.8</v>
      </c>
      <c r="O14" s="1227">
        <f>'Haver Pivoted'!GZ63</f>
        <v>1.8</v>
      </c>
      <c r="P14" s="1227">
        <f>'Haver Pivoted'!HA63</f>
        <v>0.6</v>
      </c>
      <c r="Q14" s="1227">
        <f>'Haver Pivoted'!HB63</f>
        <v>0.2</v>
      </c>
      <c r="R14" s="1227">
        <f>'Haver Pivoted'!HC63</f>
        <v>0.1</v>
      </c>
      <c r="S14" s="1228">
        <f>'Haver Pivoted'!HD63</f>
        <v>0</v>
      </c>
      <c r="T14" s="1228">
        <f>'Haver Pivoted'!HE63</f>
        <v>0</v>
      </c>
      <c r="U14" s="174">
        <f>'Haver Pivoted'!HF63</f>
        <v>0</v>
      </c>
      <c r="V14" s="1288">
        <f t="shared" ref="V14:X14" si="4">V12</f>
        <v>0</v>
      </c>
      <c r="W14" s="1288">
        <f t="shared" si="4"/>
        <v>0</v>
      </c>
      <c r="X14" s="1288">
        <f t="shared" si="4"/>
        <v>0</v>
      </c>
      <c r="Y14" s="1288">
        <f>Y12</f>
        <v>0</v>
      </c>
      <c r="Z14" s="1288">
        <f t="shared" ref="Z14:AC14" si="5">Z12</f>
        <v>0</v>
      </c>
      <c r="AA14" s="1288">
        <f t="shared" si="5"/>
        <v>0</v>
      </c>
      <c r="AB14" s="1288">
        <f t="shared" si="5"/>
        <v>0</v>
      </c>
      <c r="AC14" s="183">
        <f t="shared" si="5"/>
        <v>0</v>
      </c>
    </row>
    <row r="15" spans="2:30" ht="18" customHeight="1" x14ac:dyDescent="0.3">
      <c r="B15" s="1141" t="s">
        <v>291</v>
      </c>
      <c r="C15" s="1226" t="s">
        <v>292</v>
      </c>
      <c r="D15" s="195">
        <f>'Haver Pivoted'!GO59</f>
        <v>0</v>
      </c>
      <c r="E15" s="1227">
        <f>'Haver Pivoted'!GP59</f>
        <v>0</v>
      </c>
      <c r="F15" s="1227">
        <f>'Haver Pivoted'!GQ59</f>
        <v>0</v>
      </c>
      <c r="G15" s="1227">
        <f>'Haver Pivoted'!GR59</f>
        <v>0</v>
      </c>
      <c r="H15" s="1227">
        <f>'Haver Pivoted'!GS59</f>
        <v>0</v>
      </c>
      <c r="I15" s="1227">
        <f>'Haver Pivoted'!GT59</f>
        <v>0</v>
      </c>
      <c r="J15" s="1227">
        <f>'Haver Pivoted'!GU59</f>
        <v>6.3</v>
      </c>
      <c r="K15" s="1227">
        <f>'Haver Pivoted'!GV59</f>
        <v>26.7</v>
      </c>
      <c r="L15" s="1227">
        <f>'Haver Pivoted'!GW59</f>
        <v>82.1</v>
      </c>
      <c r="M15" s="1227">
        <f>'Haver Pivoted'!GX59</f>
        <v>94.7</v>
      </c>
      <c r="N15" s="1227">
        <f>'Haver Pivoted'!GY59</f>
        <v>92.1</v>
      </c>
      <c r="O15" s="1227">
        <f>'Haver Pivoted'!GZ59</f>
        <v>51.6</v>
      </c>
      <c r="P15" s="1227">
        <f>'Haver Pivoted'!HA59</f>
        <v>2.8</v>
      </c>
      <c r="Q15" s="1227">
        <f>'Haver Pivoted'!HB59</f>
        <v>0.8</v>
      </c>
      <c r="R15" s="1227">
        <f>'Haver Pivoted'!HC59</f>
        <v>0.5</v>
      </c>
      <c r="S15" s="1228">
        <f>'Haver Pivoted'!HD59</f>
        <v>0.3</v>
      </c>
      <c r="T15" s="1228">
        <f>'Haver Pivoted'!HE59</f>
        <v>0.2</v>
      </c>
      <c r="U15" s="174">
        <f>'Haver Pivoted'!HF59</f>
        <v>0</v>
      </c>
      <c r="V15" s="1288">
        <f t="shared" ref="V15:AC17" si="6">U15*V$23/U$23</f>
        <v>0</v>
      </c>
      <c r="W15" s="1288">
        <f t="shared" si="6"/>
        <v>0</v>
      </c>
      <c r="X15" s="1288">
        <f t="shared" si="6"/>
        <v>0</v>
      </c>
      <c r="Y15" s="1288">
        <f t="shared" si="6"/>
        <v>0</v>
      </c>
      <c r="Z15" s="1288">
        <f t="shared" si="6"/>
        <v>0</v>
      </c>
      <c r="AA15" s="1288">
        <f t="shared" si="6"/>
        <v>0</v>
      </c>
      <c r="AB15" s="1288">
        <f t="shared" si="6"/>
        <v>0</v>
      </c>
      <c r="AC15" s="183">
        <f t="shared" si="6"/>
        <v>0</v>
      </c>
    </row>
    <row r="16" spans="2:30" ht="18" customHeight="1" x14ac:dyDescent="0.3">
      <c r="B16" s="1141" t="s">
        <v>293</v>
      </c>
      <c r="C16" s="1226" t="s">
        <v>294</v>
      </c>
      <c r="D16" s="195">
        <f>'Haver Pivoted'!GO60</f>
        <v>0</v>
      </c>
      <c r="E16" s="1227">
        <f>'Haver Pivoted'!GP60</f>
        <v>0</v>
      </c>
      <c r="F16" s="1227">
        <f>'Haver Pivoted'!GQ60</f>
        <v>0</v>
      </c>
      <c r="G16" s="1227">
        <f>'Haver Pivoted'!GR60</f>
        <v>0</v>
      </c>
      <c r="H16" s="1227">
        <f>'Haver Pivoted'!GS60</f>
        <v>0</v>
      </c>
      <c r="I16" s="1227">
        <f>'Haver Pivoted'!GT60</f>
        <v>0</v>
      </c>
      <c r="J16" s="1227">
        <f>'Haver Pivoted'!GU60</f>
        <v>74.400000000000006</v>
      </c>
      <c r="K16" s="1227">
        <f>'Haver Pivoted'!GV60</f>
        <v>138.30000000000001</v>
      </c>
      <c r="L16" s="1227">
        <f>'Haver Pivoted'!GW60</f>
        <v>106.8</v>
      </c>
      <c r="M16" s="1227">
        <f>'Haver Pivoted'!GX60</f>
        <v>89.2</v>
      </c>
      <c r="N16" s="1227">
        <f>'Haver Pivoted'!GY60</f>
        <v>72.3</v>
      </c>
      <c r="O16" s="1227">
        <f>'Haver Pivoted'!GZ60</f>
        <v>43.5</v>
      </c>
      <c r="P16" s="1227">
        <f>'Haver Pivoted'!HA60</f>
        <v>2.1</v>
      </c>
      <c r="Q16" s="1227">
        <f>'Haver Pivoted'!HB60</f>
        <v>0.8</v>
      </c>
      <c r="R16" s="1227">
        <f>'Haver Pivoted'!HC60</f>
        <v>0.4</v>
      </c>
      <c r="S16" s="1228">
        <f>'Haver Pivoted'!HD60</f>
        <v>0.2</v>
      </c>
      <c r="T16" s="1228">
        <f>'Haver Pivoted'!HE60</f>
        <v>0.1</v>
      </c>
      <c r="U16" s="174">
        <f>'Haver Pivoted'!HF60</f>
        <v>0</v>
      </c>
      <c r="V16" s="1288">
        <f t="shared" si="6"/>
        <v>0</v>
      </c>
      <c r="W16" s="1288">
        <f t="shared" si="6"/>
        <v>0</v>
      </c>
      <c r="X16" s="1288">
        <f t="shared" si="6"/>
        <v>0</v>
      </c>
      <c r="Y16" s="1288">
        <f t="shared" si="6"/>
        <v>0</v>
      </c>
      <c r="Z16" s="1288">
        <f t="shared" si="6"/>
        <v>0</v>
      </c>
      <c r="AA16" s="1288">
        <f t="shared" si="6"/>
        <v>0</v>
      </c>
      <c r="AB16" s="1288">
        <f t="shared" si="6"/>
        <v>0</v>
      </c>
      <c r="AC16" s="183">
        <f t="shared" si="6"/>
        <v>0</v>
      </c>
    </row>
    <row r="17" spans="2:33" ht="18" customHeight="1" x14ac:dyDescent="0.3">
      <c r="B17" s="1141" t="s">
        <v>295</v>
      </c>
      <c r="C17" s="1226" t="s">
        <v>296</v>
      </c>
      <c r="D17" s="195">
        <f>'Haver Pivoted'!GO61</f>
        <v>0</v>
      </c>
      <c r="E17" s="1227">
        <f>'Haver Pivoted'!GP61</f>
        <v>0</v>
      </c>
      <c r="F17" s="1227">
        <f>'Haver Pivoted'!GQ61</f>
        <v>0</v>
      </c>
      <c r="G17" s="1227">
        <f>'Haver Pivoted'!GR61</f>
        <v>0</v>
      </c>
      <c r="H17" s="1227">
        <f>'Haver Pivoted'!GS61</f>
        <v>0</v>
      </c>
      <c r="I17" s="1227">
        <f>'Haver Pivoted'!GT61</f>
        <v>0</v>
      </c>
      <c r="J17" s="1227">
        <f>'Haver Pivoted'!GU61</f>
        <v>698.9</v>
      </c>
      <c r="K17" s="1227">
        <f>'Haver Pivoted'!GV61</f>
        <v>413.9</v>
      </c>
      <c r="L17" s="1227">
        <f>'Haver Pivoted'!GW61</f>
        <v>14.7</v>
      </c>
      <c r="M17" s="1227">
        <f>'Haver Pivoted'!GX61</f>
        <v>288.2</v>
      </c>
      <c r="N17" s="1227">
        <f>'Haver Pivoted'!GY61</f>
        <v>233.3</v>
      </c>
      <c r="O17" s="1227">
        <f>'Haver Pivoted'!GZ61</f>
        <v>110.5</v>
      </c>
      <c r="P17" s="1227">
        <f>'Haver Pivoted'!HA61</f>
        <v>0</v>
      </c>
      <c r="Q17" s="1227">
        <f>'Haver Pivoted'!HB61</f>
        <v>0</v>
      </c>
      <c r="R17" s="1227">
        <f>'Haver Pivoted'!HC61</f>
        <v>0</v>
      </c>
      <c r="S17" s="1228">
        <f>'Haver Pivoted'!HD61</f>
        <v>0</v>
      </c>
      <c r="T17" s="1228">
        <f>'Haver Pivoted'!HE61</f>
        <v>0</v>
      </c>
      <c r="U17" s="174">
        <f>'Haver Pivoted'!HF61</f>
        <v>0</v>
      </c>
      <c r="V17" s="1288">
        <f t="shared" si="6"/>
        <v>0</v>
      </c>
      <c r="W17" s="1288">
        <f t="shared" si="6"/>
        <v>0</v>
      </c>
      <c r="X17" s="1288">
        <f t="shared" si="6"/>
        <v>0</v>
      </c>
      <c r="Y17" s="1288">
        <f t="shared" si="6"/>
        <v>0</v>
      </c>
      <c r="Z17" s="1288">
        <f t="shared" si="6"/>
        <v>0</v>
      </c>
      <c r="AA17" s="1288">
        <f t="shared" si="6"/>
        <v>0</v>
      </c>
      <c r="AB17" s="1288">
        <f t="shared" si="6"/>
        <v>0</v>
      </c>
      <c r="AC17" s="183">
        <f t="shared" si="6"/>
        <v>0</v>
      </c>
    </row>
    <row r="18" spans="2:33" x14ac:dyDescent="0.3">
      <c r="B18" s="1144" t="s">
        <v>158</v>
      </c>
      <c r="C18" s="1203" t="s">
        <v>297</v>
      </c>
      <c r="D18" s="196">
        <f>'Haver Pivoted'!GO64</f>
        <v>0</v>
      </c>
      <c r="E18" s="1222">
        <f>'Haver Pivoted'!GP64</f>
        <v>0</v>
      </c>
      <c r="F18" s="1222">
        <f>'Haver Pivoted'!GQ64</f>
        <v>0</v>
      </c>
      <c r="G18" s="1222">
        <f>'Haver Pivoted'!GR64</f>
        <v>0</v>
      </c>
      <c r="H18" s="1222">
        <f>'Haver Pivoted'!GS64</f>
        <v>0</v>
      </c>
      <c r="I18" s="1222">
        <f>'Haver Pivoted'!GT64</f>
        <v>0</v>
      </c>
      <c r="J18" s="1222">
        <f>'Haver Pivoted'!GU64</f>
        <v>0</v>
      </c>
      <c r="K18" s="1222">
        <f>'Haver Pivoted'!GV64</f>
        <v>106.2</v>
      </c>
      <c r="L18" s="1222">
        <f>'Haver Pivoted'!GW64</f>
        <v>35.9</v>
      </c>
      <c r="M18" s="1222">
        <f>'Haver Pivoted'!GX64</f>
        <v>1.6</v>
      </c>
      <c r="N18" s="1222">
        <f>'Haver Pivoted'!GY64</f>
        <v>0.6</v>
      </c>
      <c r="O18" s="1222">
        <f>'Haver Pivoted'!GZ64</f>
        <v>0.1</v>
      </c>
      <c r="P18" s="1222">
        <f>'Haver Pivoted'!HA64</f>
        <v>0</v>
      </c>
      <c r="Q18" s="1227">
        <f>'Haver Pivoted'!HB64</f>
        <v>0</v>
      </c>
      <c r="R18" s="1227">
        <f>'Haver Pivoted'!HC64</f>
        <v>0</v>
      </c>
      <c r="S18" s="1228">
        <f>'Haver Pivoted'!HD64</f>
        <v>0</v>
      </c>
      <c r="T18" s="1228">
        <f>'Haver Pivoted'!HE64</f>
        <v>0</v>
      </c>
      <c r="U18" s="174">
        <f>'Haver Pivoted'!HF64</f>
        <v>0</v>
      </c>
      <c r="V18" s="1288"/>
      <c r="W18" s="1288"/>
      <c r="X18" s="1288"/>
      <c r="Y18" s="1288"/>
      <c r="Z18" s="1288"/>
      <c r="AA18" s="1288"/>
      <c r="AB18" s="1288"/>
      <c r="AC18" s="183"/>
    </row>
    <row r="19" spans="2:33" ht="14.85" customHeight="1" x14ac:dyDescent="0.3">
      <c r="B19" s="187" t="s">
        <v>298</v>
      </c>
      <c r="C19" s="1229"/>
      <c r="D19" s="176">
        <f t="shared" ref="D19:N19" si="7">D11-D20</f>
        <v>0</v>
      </c>
      <c r="E19" s="1230">
        <f t="shared" si="7"/>
        <v>0</v>
      </c>
      <c r="F19" s="1230">
        <f t="shared" si="7"/>
        <v>0</v>
      </c>
      <c r="G19" s="1230">
        <f t="shared" si="7"/>
        <v>0</v>
      </c>
      <c r="H19" s="1230">
        <f t="shared" si="7"/>
        <v>0</v>
      </c>
      <c r="I19" s="1230">
        <f t="shared" si="7"/>
        <v>0</v>
      </c>
      <c r="J19" s="1230">
        <f t="shared" si="7"/>
        <v>779.80000000000007</v>
      </c>
      <c r="K19" s="1230">
        <f t="shared" si="7"/>
        <v>586.29999999999995</v>
      </c>
      <c r="L19" s="1230">
        <f t="shared" si="7"/>
        <v>229.4</v>
      </c>
      <c r="M19" s="1230">
        <f t="shared" si="7"/>
        <v>523.1</v>
      </c>
      <c r="N19" s="1231">
        <f t="shared" si="7"/>
        <v>405.3</v>
      </c>
      <c r="O19" s="1231">
        <f>O11-O20</f>
        <v>209.20000000000002</v>
      </c>
      <c r="P19" s="1231">
        <f t="shared" ref="P19" si="8">P11-P20</f>
        <v>6.1000000000000014</v>
      </c>
      <c r="Q19" s="1231">
        <f>Q11-Q20</f>
        <v>0.19999999999999929</v>
      </c>
      <c r="R19" s="1231">
        <f>R11-R20</f>
        <v>1.1000000000000014</v>
      </c>
      <c r="S19" s="1232">
        <f>S11-S20</f>
        <v>0.5</v>
      </c>
      <c r="T19" s="1232">
        <f>T11-T20</f>
        <v>0.30000000000000071</v>
      </c>
      <c r="U19" s="173">
        <f>U11-U20</f>
        <v>0</v>
      </c>
      <c r="V19" s="1289">
        <f t="shared" ref="V19:AC19" si="9">V11-V20</f>
        <v>0</v>
      </c>
      <c r="W19" s="1289">
        <f t="shared" si="9"/>
        <v>0</v>
      </c>
      <c r="X19" s="1289">
        <f t="shared" si="9"/>
        <v>0</v>
      </c>
      <c r="Y19" s="1289">
        <f t="shared" si="9"/>
        <v>0</v>
      </c>
      <c r="Z19" s="1289">
        <f t="shared" si="9"/>
        <v>0</v>
      </c>
      <c r="AA19" s="1289">
        <f t="shared" si="9"/>
        <v>0</v>
      </c>
      <c r="AB19" s="1289">
        <f t="shared" si="9"/>
        <v>0</v>
      </c>
      <c r="AC19" s="156">
        <f t="shared" si="9"/>
        <v>0</v>
      </c>
    </row>
    <row r="20" spans="2:33" ht="14.85" customHeight="1" x14ac:dyDescent="0.3">
      <c r="B20" s="187" t="s">
        <v>299</v>
      </c>
      <c r="C20" s="1229"/>
      <c r="D20" s="176">
        <f t="shared" ref="D20:H20" si="10">D11</f>
        <v>27.8</v>
      </c>
      <c r="E20" s="1230">
        <f t="shared" si="10"/>
        <v>29.4</v>
      </c>
      <c r="F20" s="1230">
        <f t="shared" si="10"/>
        <v>26.9</v>
      </c>
      <c r="G20" s="1230">
        <f t="shared" si="10"/>
        <v>26.4</v>
      </c>
      <c r="H20" s="1230">
        <f t="shared" si="10"/>
        <v>27.7</v>
      </c>
      <c r="I20" s="1230">
        <f>I11</f>
        <v>40.700000000000003</v>
      </c>
      <c r="J20" s="1230">
        <f>J11-J13-J12</f>
        <v>227.69999999999996</v>
      </c>
      <c r="K20" s="1230">
        <f>K11-K13-K12</f>
        <v>206.59999999999997</v>
      </c>
      <c r="L20" s="1230">
        <f>L11-L13-L12</f>
        <v>79.099999999999994</v>
      </c>
      <c r="M20" s="1230">
        <f>M11-M13-M12</f>
        <v>33.100000000000023</v>
      </c>
      <c r="N20" s="1231">
        <f t="shared" ref="N20:U20" si="11">N11-N12-N13</f>
        <v>43.300000000000011</v>
      </c>
      <c r="O20" s="1231">
        <f t="shared" si="11"/>
        <v>35.899999999999977</v>
      </c>
      <c r="P20" s="1231">
        <f t="shared" si="11"/>
        <v>27.699999999999996</v>
      </c>
      <c r="Q20" s="1227">
        <f t="shared" si="11"/>
        <v>23.400000000000002</v>
      </c>
      <c r="R20" s="1227">
        <f t="shared" si="11"/>
        <v>17.5</v>
      </c>
      <c r="S20" s="1228">
        <f t="shared" si="11"/>
        <v>18</v>
      </c>
      <c r="T20" s="1228">
        <f t="shared" si="11"/>
        <v>20.099999999999998</v>
      </c>
      <c r="U20" s="174">
        <f t="shared" si="11"/>
        <v>22.8</v>
      </c>
      <c r="V20" s="1289">
        <f t="shared" ref="V20:AC20" si="12">U20*V23/U23</f>
        <v>29.959200000000003</v>
      </c>
      <c r="W20" s="1289">
        <f t="shared" si="12"/>
        <v>31.913485714285713</v>
      </c>
      <c r="X20" s="1289">
        <f t="shared" si="12"/>
        <v>33.314057142857138</v>
      </c>
      <c r="Y20" s="1289">
        <f t="shared" si="12"/>
        <v>33.216342857142855</v>
      </c>
      <c r="Z20" s="1289">
        <f t="shared" si="12"/>
        <v>32.200114285714285</v>
      </c>
      <c r="AA20" s="1289">
        <f t="shared" si="12"/>
        <v>31.652914285714289</v>
      </c>
      <c r="AB20" s="1289">
        <f t="shared" si="12"/>
        <v>31.262057142857149</v>
      </c>
      <c r="AC20" s="156">
        <f t="shared" si="12"/>
        <v>31.112228571428574</v>
      </c>
      <c r="AD20" s="177" t="s">
        <v>300</v>
      </c>
    </row>
    <row r="21" spans="2:33" x14ac:dyDescent="0.3">
      <c r="B21" s="1144"/>
      <c r="C21" s="1233"/>
      <c r="D21" s="195"/>
      <c r="E21" s="1227"/>
      <c r="F21" s="1227"/>
      <c r="G21" s="1227"/>
      <c r="H21" s="1223"/>
      <c r="I21" s="1223"/>
      <c r="J21" s="1223"/>
      <c r="K21" s="1223"/>
      <c r="L21" s="1223"/>
      <c r="M21" s="1223"/>
      <c r="N21" s="1223"/>
      <c r="O21" s="1223"/>
      <c r="P21" s="1223"/>
      <c r="Q21" s="1223"/>
      <c r="R21" s="1223"/>
      <c r="S21" s="1223"/>
      <c r="T21" s="1250"/>
      <c r="U21" s="398"/>
      <c r="V21" s="1288"/>
      <c r="W21" s="1288"/>
      <c r="X21" s="1288"/>
      <c r="Y21" s="1288"/>
      <c r="Z21" s="1288"/>
      <c r="AA21" s="1288"/>
      <c r="AB21" s="1288"/>
      <c r="AC21" s="183"/>
    </row>
    <row r="22" spans="2:33" x14ac:dyDescent="0.3">
      <c r="B22" s="494" t="s">
        <v>1810</v>
      </c>
      <c r="C22" s="1233"/>
      <c r="D22" s="1227"/>
      <c r="E22" s="1227"/>
      <c r="F22" s="1227"/>
      <c r="G22" s="1227"/>
      <c r="H22" s="1223"/>
      <c r="I22" s="1223"/>
      <c r="J22" s="1223"/>
      <c r="K22" s="1223"/>
      <c r="L22" s="1223"/>
      <c r="M22" s="1223"/>
      <c r="N22" s="1223"/>
      <c r="O22" s="1223"/>
      <c r="P22" s="1223"/>
      <c r="Q22" s="1223"/>
      <c r="R22" s="1223"/>
      <c r="S22" s="1223"/>
      <c r="T22" s="1250"/>
      <c r="U22" s="1252"/>
      <c r="V22" s="1205">
        <v>4.5990000000000002</v>
      </c>
      <c r="W22" s="1205">
        <v>4.899</v>
      </c>
      <c r="X22" s="1205">
        <v>5.1139999999999999</v>
      </c>
      <c r="Y22" s="1205">
        <v>5.0990000000000002</v>
      </c>
      <c r="Z22" s="1205">
        <v>4.9429999999999996</v>
      </c>
      <c r="AA22" s="1205">
        <v>4.859</v>
      </c>
      <c r="AB22" s="1205">
        <v>4.7990000000000004</v>
      </c>
      <c r="AC22" s="1290">
        <v>4.7759999999999998</v>
      </c>
    </row>
    <row r="23" spans="2:33" x14ac:dyDescent="0.3">
      <c r="B23" s="1144" t="s">
        <v>2227</v>
      </c>
      <c r="C23" s="217"/>
      <c r="D23" s="218"/>
      <c r="E23" s="219"/>
      <c r="F23" s="219"/>
      <c r="G23" s="219"/>
      <c r="H23" s="220"/>
      <c r="I23" s="220"/>
      <c r="J23" s="220"/>
      <c r="K23" s="220"/>
      <c r="L23" s="220"/>
      <c r="M23" s="220">
        <f>GETPIVOTDATA("Monthly UR",$E$49,"Quarters",M24,"Years",M25)</f>
        <v>6.166666666666667</v>
      </c>
      <c r="N23" s="220">
        <f t="shared" ref="N23:U23" si="13">GETPIVOTDATA("Monthly UR",$E$49,"Quarters",N24,"Years",N25)</f>
        <v>5.7666666666666657</v>
      </c>
      <c r="O23" s="220">
        <f t="shared" si="13"/>
        <v>5.1333333333333337</v>
      </c>
      <c r="P23" s="220">
        <f t="shared" si="13"/>
        <v>4.2333333333333334</v>
      </c>
      <c r="Q23" s="1223">
        <f t="shared" si="13"/>
        <v>3.8000000000000003</v>
      </c>
      <c r="R23" s="1223">
        <f t="shared" si="13"/>
        <v>3.6</v>
      </c>
      <c r="S23" s="1223">
        <f t="shared" si="13"/>
        <v>3.5666666666666664</v>
      </c>
      <c r="T23" s="1223">
        <f t="shared" si="13"/>
        <v>3.6</v>
      </c>
      <c r="U23" s="607">
        <f t="shared" si="13"/>
        <v>3.5</v>
      </c>
      <c r="V23" s="1192">
        <v>4.5990000000000002</v>
      </c>
      <c r="W23" s="1192">
        <v>4.899</v>
      </c>
      <c r="X23" s="1192">
        <v>5.1139999999999999</v>
      </c>
      <c r="Y23" s="1192">
        <v>5.0990000000000002</v>
      </c>
      <c r="Z23" s="1192">
        <v>4.9429999999999996</v>
      </c>
      <c r="AA23" s="1192">
        <v>4.859</v>
      </c>
      <c r="AB23" s="1192">
        <v>4.7990000000000004</v>
      </c>
      <c r="AC23" s="1291">
        <v>4.7759999999999998</v>
      </c>
      <c r="AD23" s="188" t="s">
        <v>301</v>
      </c>
    </row>
    <row r="24" spans="2:33" ht="15.75" customHeight="1" x14ac:dyDescent="0.3">
      <c r="B24" s="1234" t="s">
        <v>1910</v>
      </c>
      <c r="C24" s="1235"/>
      <c r="D24" s="1236"/>
      <c r="E24" s="1236"/>
      <c r="F24" s="1236"/>
      <c r="G24" s="1236"/>
      <c r="H24" s="1236"/>
      <c r="I24" s="1236"/>
      <c r="J24" s="1236"/>
      <c r="K24" s="1236"/>
      <c r="L24" s="1236"/>
      <c r="M24" s="1236">
        <v>1</v>
      </c>
      <c r="N24" s="1236">
        <v>2</v>
      </c>
      <c r="O24" s="1236">
        <v>3</v>
      </c>
      <c r="P24" s="1236">
        <v>4</v>
      </c>
      <c r="Q24" s="1236">
        <v>1</v>
      </c>
      <c r="R24" s="1236">
        <v>2</v>
      </c>
      <c r="S24" s="1236">
        <v>3</v>
      </c>
      <c r="T24" s="1236">
        <v>4</v>
      </c>
      <c r="U24" s="1237">
        <v>1</v>
      </c>
      <c r="V24" s="1236">
        <v>2</v>
      </c>
      <c r="W24" s="1236">
        <v>3</v>
      </c>
      <c r="X24" s="1236">
        <v>4</v>
      </c>
      <c r="Y24" s="1236">
        <v>1</v>
      </c>
      <c r="Z24" s="1236">
        <v>2</v>
      </c>
      <c r="AA24" s="1236">
        <v>3</v>
      </c>
      <c r="AB24" s="1236">
        <v>4</v>
      </c>
      <c r="AC24" s="1237">
        <v>1</v>
      </c>
      <c r="AD24" s="1097">
        <v>2</v>
      </c>
      <c r="AE24" s="1097">
        <v>3</v>
      </c>
      <c r="AF24" s="1097">
        <v>4</v>
      </c>
    </row>
    <row r="25" spans="2:33" x14ac:dyDescent="0.3">
      <c r="B25" s="1238" t="s">
        <v>1911</v>
      </c>
      <c r="C25" s="1239"/>
      <c r="D25" s="1240"/>
      <c r="E25" s="1240"/>
      <c r="F25" s="1240"/>
      <c r="G25" s="1240"/>
      <c r="H25" s="1240"/>
      <c r="I25" s="1240"/>
      <c r="J25" s="1240"/>
      <c r="K25" s="1240"/>
      <c r="L25" s="1240"/>
      <c r="M25" s="1240">
        <v>2021</v>
      </c>
      <c r="N25" s="1240">
        <v>2021</v>
      </c>
      <c r="O25" s="1240">
        <v>2021</v>
      </c>
      <c r="P25" s="1240">
        <v>2021</v>
      </c>
      <c r="Q25" s="1240">
        <v>2022</v>
      </c>
      <c r="R25" s="1240">
        <v>2022</v>
      </c>
      <c r="S25" s="1240">
        <v>2022</v>
      </c>
      <c r="T25" s="1240">
        <v>2022</v>
      </c>
      <c r="U25" s="1241">
        <v>2023</v>
      </c>
      <c r="V25" s="1240">
        <v>2023</v>
      </c>
      <c r="W25" s="1240">
        <v>2023</v>
      </c>
      <c r="X25" s="1240">
        <v>2023</v>
      </c>
      <c r="Y25" s="1240">
        <v>2024</v>
      </c>
      <c r="Z25" s="1240">
        <v>2024</v>
      </c>
      <c r="AA25" s="1240">
        <v>2024</v>
      </c>
      <c r="AB25" s="1240">
        <v>2024</v>
      </c>
      <c r="AC25" s="1241">
        <v>2025</v>
      </c>
      <c r="AD25" s="188"/>
    </row>
    <row r="26" spans="2:33" s="1171" customFormat="1" x14ac:dyDescent="0.3">
      <c r="B26" s="1172"/>
      <c r="C26" s="1173"/>
      <c r="D26" s="1174"/>
      <c r="E26" s="1174"/>
      <c r="F26" s="1174"/>
      <c r="G26" s="1174"/>
      <c r="H26" s="1174"/>
      <c r="I26" s="1174"/>
      <c r="J26" s="1174"/>
      <c r="K26" s="1174"/>
      <c r="L26" s="1174"/>
      <c r="M26" s="1174"/>
      <c r="N26" s="1174"/>
      <c r="O26" s="1174"/>
      <c r="P26" s="1174"/>
      <c r="Q26" s="1174"/>
      <c r="R26" s="1174"/>
      <c r="S26" s="1174"/>
      <c r="T26" s="1174"/>
      <c r="U26" s="1174"/>
      <c r="V26" s="1174"/>
      <c r="W26" s="1174"/>
      <c r="X26" s="1174"/>
      <c r="Y26" s="1174"/>
      <c r="Z26" s="1174"/>
      <c r="AA26" s="1174"/>
      <c r="AB26" s="1174"/>
      <c r="AC26" s="1174"/>
      <c r="AD26" s="1175"/>
    </row>
    <row r="27" spans="2:33" s="1171" customFormat="1" x14ac:dyDescent="0.3">
      <c r="B27"/>
      <c r="C27"/>
      <c r="D27" s="1190"/>
      <c r="E27" s="1190"/>
      <c r="F27" s="1190"/>
      <c r="G27" s="1190"/>
      <c r="H27" s="1190"/>
      <c r="I27" s="1190"/>
      <c r="J27" s="1190"/>
      <c r="K27" s="1190"/>
      <c r="L27" s="1190"/>
      <c r="M27" s="1190"/>
      <c r="N27" s="1190"/>
      <c r="O27" s="1190"/>
      <c r="P27" s="1190"/>
      <c r="Q27" s="1190"/>
      <c r="R27" s="1190"/>
      <c r="S27" s="1190"/>
      <c r="T27" s="1190"/>
      <c r="U27" s="1605" t="s">
        <v>281</v>
      </c>
      <c r="V27" s="1605"/>
      <c r="W27" s="1605"/>
      <c r="X27" s="1605"/>
      <c r="Y27" s="1605"/>
      <c r="Z27" s="1605"/>
      <c r="AA27" s="1605"/>
      <c r="AB27" s="1605"/>
      <c r="AC27" s="1606"/>
      <c r="AD27" s="1175"/>
    </row>
    <row r="28" spans="2:33" s="1171" customFormat="1" x14ac:dyDescent="0.3">
      <c r="B28"/>
      <c r="C28"/>
      <c r="D28" s="1181"/>
      <c r="E28" s="1191"/>
      <c r="F28" s="1191"/>
      <c r="G28" s="1191"/>
      <c r="H28" s="1191"/>
      <c r="I28" s="1191"/>
      <c r="J28" s="1191"/>
      <c r="K28" s="1191"/>
      <c r="L28" s="1191"/>
      <c r="M28" s="1191"/>
      <c r="N28" s="1191"/>
      <c r="O28" s="1191"/>
      <c r="P28" s="1191"/>
      <c r="Q28" s="1191"/>
      <c r="R28" s="1191"/>
      <c r="S28" s="1182"/>
      <c r="T28" s="1182"/>
      <c r="U28" s="1607">
        <v>2023</v>
      </c>
      <c r="V28" s="1607"/>
      <c r="W28" s="1607"/>
      <c r="X28" s="1608"/>
      <c r="Y28" s="1609">
        <v>2024</v>
      </c>
      <c r="Z28" s="1607"/>
      <c r="AA28" s="1607"/>
      <c r="AB28" s="1607"/>
      <c r="AC28" s="1176">
        <v>2025</v>
      </c>
      <c r="AD28" s="1175"/>
    </row>
    <row r="29" spans="2:33" s="1171" customFormat="1" x14ac:dyDescent="0.3">
      <c r="B29"/>
      <c r="C29"/>
      <c r="D29" s="1181"/>
      <c r="E29" s="1181"/>
      <c r="F29" s="1181"/>
      <c r="G29" s="1181"/>
      <c r="H29" s="1181"/>
      <c r="I29" s="1181"/>
      <c r="J29" s="1181"/>
      <c r="K29" s="1181"/>
      <c r="L29" s="1181"/>
      <c r="M29" s="1181"/>
      <c r="N29" s="1181"/>
      <c r="O29" s="1181"/>
      <c r="P29" s="1181"/>
      <c r="Q29" s="1181"/>
      <c r="R29" s="1181"/>
      <c r="S29" s="1181"/>
      <c r="T29" s="1181"/>
      <c r="U29" s="190" t="s">
        <v>283</v>
      </c>
      <c r="V29" s="190" t="s">
        <v>284</v>
      </c>
      <c r="W29" s="190" t="s">
        <v>238</v>
      </c>
      <c r="X29" s="191" t="s">
        <v>282</v>
      </c>
      <c r="Y29" s="189" t="s">
        <v>283</v>
      </c>
      <c r="Z29" s="186" t="s">
        <v>284</v>
      </c>
      <c r="AA29" s="190" t="s">
        <v>238</v>
      </c>
      <c r="AB29" s="190" t="s">
        <v>282</v>
      </c>
      <c r="AC29" s="192" t="s">
        <v>283</v>
      </c>
      <c r="AD29" s="1175"/>
    </row>
    <row r="30" spans="2:33" s="1171" customFormat="1" x14ac:dyDescent="0.3">
      <c r="B30" s="1157" t="s">
        <v>102</v>
      </c>
      <c r="C30" s="194" t="s">
        <v>285</v>
      </c>
      <c r="D30" s="1181"/>
      <c r="E30" s="1181"/>
      <c r="F30" s="1181"/>
      <c r="G30" s="1181"/>
      <c r="H30" s="1181"/>
      <c r="I30" s="1181"/>
      <c r="J30" s="1181"/>
      <c r="K30" s="1181"/>
      <c r="L30" s="1181"/>
      <c r="M30" s="1181"/>
      <c r="N30" s="1181"/>
      <c r="O30" s="1181"/>
      <c r="P30" s="1181"/>
      <c r="Q30" s="1181"/>
      <c r="R30" s="1181"/>
      <c r="S30" s="1181"/>
      <c r="T30" s="1181"/>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25">
        <v>27.063999999999986</v>
      </c>
      <c r="AD30" s="1175"/>
    </row>
    <row r="31" spans="2:33" s="1171" customFormat="1" x14ac:dyDescent="0.3">
      <c r="B31" s="179" t="s">
        <v>287</v>
      </c>
      <c r="C31" s="180" t="s">
        <v>288</v>
      </c>
      <c r="D31" s="1181"/>
      <c r="E31" s="1181"/>
      <c r="F31" s="1181"/>
      <c r="G31" s="1181"/>
      <c r="H31" s="1181"/>
      <c r="I31" s="1181"/>
      <c r="J31" s="1181"/>
      <c r="K31" s="1181"/>
      <c r="L31" s="1181"/>
      <c r="M31" s="1181"/>
      <c r="N31" s="1181"/>
      <c r="O31" s="1181"/>
      <c r="P31" s="1181"/>
      <c r="Q31" s="1181"/>
      <c r="R31" s="1181"/>
      <c r="S31" s="1181"/>
      <c r="T31" s="1181"/>
      <c r="U31" s="175">
        <v>0</v>
      </c>
      <c r="V31" s="175">
        <v>0</v>
      </c>
      <c r="W31" s="175">
        <v>0</v>
      </c>
      <c r="X31" s="175">
        <v>0</v>
      </c>
      <c r="Y31" s="175">
        <v>0</v>
      </c>
      <c r="Z31" s="175">
        <v>0</v>
      </c>
      <c r="AA31" s="175">
        <v>0</v>
      </c>
      <c r="AB31" s="175">
        <v>0</v>
      </c>
      <c r="AC31" s="183">
        <v>0</v>
      </c>
      <c r="AD31" s="1175"/>
      <c r="AE31" s="1604" t="s">
        <v>2215</v>
      </c>
      <c r="AF31" s="1604"/>
      <c r="AG31" s="1604"/>
    </row>
    <row r="32" spans="2:33" s="1171" customFormat="1" x14ac:dyDescent="0.3">
      <c r="B32" s="179" t="s">
        <v>289</v>
      </c>
      <c r="C32" s="180"/>
      <c r="D32" s="1181"/>
      <c r="E32" s="1181"/>
      <c r="F32" s="1181"/>
      <c r="G32" s="1181"/>
      <c r="H32" s="1183"/>
      <c r="I32" s="1183"/>
      <c r="J32" s="1183"/>
      <c r="K32" s="1183"/>
      <c r="L32" s="1183"/>
      <c r="M32" s="1183"/>
      <c r="N32" s="1184"/>
      <c r="O32" s="1184"/>
      <c r="P32" s="1184"/>
      <c r="Q32" s="1184"/>
      <c r="R32" s="1184"/>
      <c r="S32" s="1184"/>
      <c r="T32" s="1184"/>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75"/>
      <c r="AE32" s="1604"/>
      <c r="AF32" s="1604"/>
      <c r="AG32" s="1604"/>
    </row>
    <row r="33" spans="2:33" s="1171" customFormat="1" ht="27.6" x14ac:dyDescent="0.3">
      <c r="B33" s="1110" t="s">
        <v>290</v>
      </c>
      <c r="C33" s="1111" t="s">
        <v>288</v>
      </c>
      <c r="D33" s="1185"/>
      <c r="E33" s="1185"/>
      <c r="F33" s="1185"/>
      <c r="G33" s="1185"/>
      <c r="H33" s="1185"/>
      <c r="I33" s="1185"/>
      <c r="J33" s="1185"/>
      <c r="K33" s="1185"/>
      <c r="L33" s="1185"/>
      <c r="M33" s="1185"/>
      <c r="N33" s="1185"/>
      <c r="O33" s="1185"/>
      <c r="P33" s="1185"/>
      <c r="Q33" s="1185"/>
      <c r="R33" s="1185"/>
      <c r="S33" s="1185"/>
      <c r="T33" s="1185"/>
      <c r="U33" s="175">
        <v>0</v>
      </c>
      <c r="V33" s="175">
        <v>0</v>
      </c>
      <c r="W33" s="175">
        <v>0</v>
      </c>
      <c r="X33" s="175">
        <v>0</v>
      </c>
      <c r="Y33" s="175">
        <v>0</v>
      </c>
      <c r="Z33" s="175">
        <v>0</v>
      </c>
      <c r="AA33" s="175">
        <v>0</v>
      </c>
      <c r="AB33" s="175">
        <v>0</v>
      </c>
      <c r="AC33" s="183">
        <v>0</v>
      </c>
      <c r="AD33" s="1175"/>
      <c r="AE33" s="1604"/>
      <c r="AF33" s="1604"/>
      <c r="AG33" s="1604"/>
    </row>
    <row r="34" spans="2:33" s="1171" customFormat="1" ht="27.6" x14ac:dyDescent="0.3">
      <c r="B34" s="1110" t="s">
        <v>291</v>
      </c>
      <c r="C34" s="1111" t="s">
        <v>292</v>
      </c>
      <c r="D34" s="1185"/>
      <c r="E34" s="1185"/>
      <c r="F34" s="1185"/>
      <c r="G34" s="1185"/>
      <c r="H34" s="1185"/>
      <c r="I34" s="1185"/>
      <c r="J34" s="1185"/>
      <c r="K34" s="1185"/>
      <c r="L34" s="1185"/>
      <c r="M34" s="1185"/>
      <c r="N34" s="1185"/>
      <c r="O34" s="1185"/>
      <c r="P34" s="1185"/>
      <c r="Q34" s="1185"/>
      <c r="R34" s="1185"/>
      <c r="S34" s="1185"/>
      <c r="T34" s="1185"/>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75"/>
      <c r="AE34" s="1604"/>
      <c r="AF34" s="1604"/>
      <c r="AG34" s="1604"/>
    </row>
    <row r="35" spans="2:33" s="1171" customFormat="1" x14ac:dyDescent="0.3">
      <c r="B35" s="1110" t="s">
        <v>293</v>
      </c>
      <c r="C35" s="1111" t="s">
        <v>294</v>
      </c>
      <c r="D35" s="1185"/>
      <c r="E35" s="1185"/>
      <c r="F35" s="1185"/>
      <c r="G35" s="1185"/>
      <c r="H35" s="1185"/>
      <c r="I35" s="1185"/>
      <c r="J35" s="1185"/>
      <c r="K35" s="1185"/>
      <c r="L35" s="1185"/>
      <c r="M35" s="1185"/>
      <c r="N35" s="1185"/>
      <c r="O35" s="1185"/>
      <c r="P35" s="1185"/>
      <c r="Q35" s="1185"/>
      <c r="R35" s="1185"/>
      <c r="S35" s="1185"/>
      <c r="T35" s="1185"/>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75"/>
      <c r="AE35" s="1604"/>
      <c r="AF35" s="1604"/>
      <c r="AG35" s="1604"/>
    </row>
    <row r="36" spans="2:33" s="1171" customFormat="1" x14ac:dyDescent="0.3">
      <c r="B36" s="1110" t="s">
        <v>295</v>
      </c>
      <c r="C36" s="1111" t="s">
        <v>296</v>
      </c>
      <c r="D36" s="1185"/>
      <c r="E36" s="1185"/>
      <c r="F36" s="1185"/>
      <c r="G36" s="1185"/>
      <c r="H36" s="1185"/>
      <c r="I36" s="1185"/>
      <c r="J36" s="1185"/>
      <c r="K36" s="1185"/>
      <c r="L36" s="1185"/>
      <c r="M36" s="1185"/>
      <c r="N36" s="1185"/>
      <c r="O36" s="1185"/>
      <c r="P36" s="1185"/>
      <c r="Q36" s="1185"/>
      <c r="R36" s="1185"/>
      <c r="S36" s="1185"/>
      <c r="T36" s="1185"/>
      <c r="U36" s="175">
        <v>0</v>
      </c>
      <c r="V36" s="175">
        <v>0</v>
      </c>
      <c r="W36" s="175">
        <v>0</v>
      </c>
      <c r="X36" s="175">
        <v>0</v>
      </c>
      <c r="Y36" s="175">
        <v>0</v>
      </c>
      <c r="Z36" s="175">
        <v>0</v>
      </c>
      <c r="AA36" s="175">
        <v>0</v>
      </c>
      <c r="AB36" s="175">
        <v>0</v>
      </c>
      <c r="AC36" s="183">
        <v>0</v>
      </c>
      <c r="AD36" s="1175"/>
    </row>
    <row r="37" spans="2:33" s="1171" customFormat="1" x14ac:dyDescent="0.3">
      <c r="B37" s="1112" t="s">
        <v>158</v>
      </c>
      <c r="C37" s="163" t="s">
        <v>297</v>
      </c>
      <c r="D37" s="1181"/>
      <c r="E37" s="1181"/>
      <c r="F37" s="1181"/>
      <c r="G37" s="1181"/>
      <c r="H37" s="1181"/>
      <c r="I37" s="1181"/>
      <c r="J37" s="1181"/>
      <c r="K37" s="1181"/>
      <c r="L37" s="1181"/>
      <c r="M37" s="1181"/>
      <c r="N37" s="1181"/>
      <c r="O37" s="1181"/>
      <c r="P37" s="1181"/>
      <c r="Q37" s="1185"/>
      <c r="R37" s="1185"/>
      <c r="S37" s="1185"/>
      <c r="T37" s="1185"/>
      <c r="U37" s="175"/>
      <c r="V37" s="175"/>
      <c r="W37" s="175"/>
      <c r="X37" s="175"/>
      <c r="Y37" s="175"/>
      <c r="Z37" s="175"/>
      <c r="AA37" s="175"/>
      <c r="AB37" s="175"/>
      <c r="AC37" s="183"/>
      <c r="AD37" s="1175"/>
    </row>
    <row r="38" spans="2:33" s="1171" customFormat="1" x14ac:dyDescent="0.3">
      <c r="B38" s="187" t="s">
        <v>298</v>
      </c>
      <c r="C38" s="193"/>
      <c r="D38" s="1186"/>
      <c r="E38" s="1186"/>
      <c r="F38" s="1186"/>
      <c r="G38" s="1186"/>
      <c r="H38" s="1186"/>
      <c r="I38" s="1186"/>
      <c r="J38" s="1186"/>
      <c r="K38" s="1186"/>
      <c r="L38" s="1186"/>
      <c r="M38" s="1186"/>
      <c r="N38" s="1187"/>
      <c r="O38" s="1187"/>
      <c r="P38" s="1187"/>
      <c r="Q38" s="1187"/>
      <c r="R38" s="1187"/>
      <c r="S38" s="1187"/>
      <c r="T38" s="1187"/>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75"/>
    </row>
    <row r="39" spans="2:33" s="1171" customFormat="1" x14ac:dyDescent="0.3">
      <c r="B39" s="187" t="s">
        <v>299</v>
      </c>
      <c r="C39" s="193"/>
      <c r="D39" s="1186"/>
      <c r="E39" s="1186"/>
      <c r="F39" s="1186"/>
      <c r="G39" s="1186"/>
      <c r="H39" s="1186"/>
      <c r="I39" s="1186"/>
      <c r="J39" s="1186"/>
      <c r="K39" s="1186"/>
      <c r="L39" s="1186"/>
      <c r="M39" s="1186"/>
      <c r="N39" s="1187"/>
      <c r="O39" s="1187"/>
      <c r="P39" s="1187"/>
      <c r="Q39" s="1185"/>
      <c r="R39" s="1185"/>
      <c r="S39" s="1185"/>
      <c r="T39" s="1185"/>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75"/>
    </row>
    <row r="40" spans="2:33" s="1171" customFormat="1" x14ac:dyDescent="0.3">
      <c r="B40" s="1112"/>
      <c r="C40" s="1113"/>
      <c r="D40" s="1185"/>
      <c r="E40" s="1185"/>
      <c r="F40" s="1185"/>
      <c r="G40" s="1185"/>
      <c r="H40" s="1183"/>
      <c r="I40" s="1183"/>
      <c r="J40" s="1183"/>
      <c r="K40" s="1183"/>
      <c r="L40" s="1183"/>
      <c r="M40" s="1183"/>
      <c r="N40" s="1183"/>
      <c r="O40" s="1183"/>
      <c r="P40" s="1183"/>
      <c r="Q40" s="1183"/>
      <c r="R40" s="1183"/>
      <c r="S40" s="1183"/>
      <c r="T40" s="1188"/>
      <c r="U40" s="175"/>
      <c r="V40" s="175"/>
      <c r="W40" s="175"/>
      <c r="X40" s="175"/>
      <c r="Y40" s="175"/>
      <c r="Z40" s="175"/>
      <c r="AA40" s="175"/>
      <c r="AB40" s="175"/>
      <c r="AC40" s="183"/>
      <c r="AD40" s="1175"/>
    </row>
    <row r="41" spans="2:33" s="1171" customFormat="1" x14ac:dyDescent="0.3">
      <c r="B41" s="1177" t="s">
        <v>1810</v>
      </c>
      <c r="C41" s="1113"/>
      <c r="D41" s="1185"/>
      <c r="E41" s="1185"/>
      <c r="F41" s="1185"/>
      <c r="G41" s="1185"/>
      <c r="H41" s="1183"/>
      <c r="I41" s="1183"/>
      <c r="J41" s="1183"/>
      <c r="K41" s="1183"/>
      <c r="L41" s="1183"/>
      <c r="M41" s="1183"/>
      <c r="N41" s="1183"/>
      <c r="O41" s="1183"/>
      <c r="P41" s="1183"/>
      <c r="Q41" s="1183"/>
      <c r="R41" s="1183"/>
      <c r="S41" s="1183"/>
      <c r="T41" s="1188"/>
      <c r="U41" s="1178">
        <v>4.0990000000000002</v>
      </c>
      <c r="V41" s="1178">
        <v>4.5990000000000002</v>
      </c>
      <c r="W41" s="1178">
        <v>4.899</v>
      </c>
      <c r="X41" s="1178">
        <v>5.1139999999999999</v>
      </c>
      <c r="Y41" s="1178">
        <v>5.0990000000000002</v>
      </c>
      <c r="Z41" s="1178">
        <v>4.9429999999999996</v>
      </c>
      <c r="AA41" s="1178">
        <v>4.859</v>
      </c>
      <c r="AB41" s="1178">
        <v>4.7990000000000004</v>
      </c>
      <c r="AC41" s="1179">
        <v>4.7759999999999998</v>
      </c>
      <c r="AD41" s="1175"/>
    </row>
    <row r="42" spans="2:33" s="1171" customFormat="1" x14ac:dyDescent="0.3">
      <c r="B42" s="1112" t="s">
        <v>1893</v>
      </c>
      <c r="C42" s="1180"/>
      <c r="D42" s="1181"/>
      <c r="E42" s="1181"/>
      <c r="F42" s="1181"/>
      <c r="G42" s="1181"/>
      <c r="H42" s="1183"/>
      <c r="I42" s="1183"/>
      <c r="J42" s="1183"/>
      <c r="K42" s="1183"/>
      <c r="L42" s="1183"/>
      <c r="M42" s="1183"/>
      <c r="N42" s="1183"/>
      <c r="O42" s="1183"/>
      <c r="P42" s="1183"/>
      <c r="Q42" s="1183"/>
      <c r="R42" s="1189"/>
      <c r="S42" s="1189"/>
      <c r="T42" s="1188"/>
      <c r="U42" s="1178">
        <v>4.0289999999999999</v>
      </c>
      <c r="V42" s="1178">
        <v>4.5990000000000002</v>
      </c>
      <c r="W42" s="1178">
        <v>4.899</v>
      </c>
      <c r="X42" s="1178">
        <v>5.1139999999999999</v>
      </c>
      <c r="Y42" s="1178">
        <v>5.0990000000000002</v>
      </c>
      <c r="Z42" s="1178">
        <v>4.9429999999999996</v>
      </c>
      <c r="AA42" s="1178">
        <v>4.859</v>
      </c>
      <c r="AB42" s="1178">
        <v>4.7990000000000004</v>
      </c>
      <c r="AC42" s="1179">
        <v>4.7759999999999998</v>
      </c>
      <c r="AD42" s="1175"/>
    </row>
    <row r="43" spans="2:33" s="1171" customFormat="1" x14ac:dyDescent="0.3">
      <c r="B43" s="1172"/>
      <c r="C43" s="1173"/>
      <c r="D43" s="1174"/>
      <c r="E43" s="1174"/>
      <c r="F43" s="1174"/>
      <c r="G43" s="1174"/>
      <c r="H43" s="1174"/>
      <c r="I43" s="1174"/>
      <c r="J43" s="1174"/>
      <c r="K43" s="1174"/>
      <c r="L43" s="1174"/>
      <c r="M43" s="1174"/>
      <c r="N43" s="1174"/>
      <c r="O43" s="1174"/>
      <c r="P43" s="1174"/>
      <c r="Q43" s="1174"/>
      <c r="R43" s="1174"/>
      <c r="S43" s="1174"/>
      <c r="T43" s="1174"/>
      <c r="U43" s="1174"/>
      <c r="V43" s="1174"/>
      <c r="W43" s="1174"/>
      <c r="X43" s="1174"/>
      <c r="Y43" s="1174"/>
      <c r="Z43" s="1174"/>
      <c r="AA43" s="1174"/>
      <c r="AB43" s="1174"/>
      <c r="AC43" s="1174"/>
      <c r="AD43" s="1175"/>
    </row>
    <row r="44" spans="2:33" s="1171" customFormat="1" x14ac:dyDescent="0.3">
      <c r="B44" s="1172"/>
      <c r="C44" s="1173"/>
      <c r="D44" s="1174"/>
      <c r="E44" s="1174"/>
      <c r="F44" s="1174"/>
      <c r="G44" s="1174"/>
      <c r="H44" s="1174"/>
      <c r="I44" s="1174"/>
      <c r="J44" s="1174"/>
      <c r="K44" s="1174"/>
      <c r="L44" s="1174"/>
      <c r="M44" s="1174"/>
      <c r="N44" s="1174"/>
      <c r="O44" s="1174"/>
      <c r="P44" s="1174"/>
      <c r="Q44" s="1174"/>
      <c r="R44" s="1174"/>
      <c r="S44" s="1174"/>
      <c r="T44" s="1174"/>
      <c r="U44" s="1174"/>
      <c r="V44" s="1174"/>
      <c r="W44" s="1174"/>
      <c r="X44" s="1174"/>
      <c r="Y44" s="1174"/>
      <c r="Z44" s="1174"/>
      <c r="AA44" s="1174"/>
      <c r="AB44" s="1174"/>
      <c r="AC44" s="1174"/>
      <c r="AD44" s="1175"/>
    </row>
    <row r="45" spans="2:33" s="1171" customFormat="1" x14ac:dyDescent="0.3">
      <c r="B45" s="1172"/>
      <c r="C45" s="1173"/>
      <c r="D45" s="1174"/>
      <c r="E45" s="1174"/>
      <c r="F45" s="1174"/>
      <c r="G45" s="1174"/>
      <c r="H45" s="1174"/>
      <c r="I45" s="1174"/>
      <c r="J45" s="1174"/>
      <c r="K45" s="1174"/>
      <c r="L45" s="1174"/>
      <c r="M45" s="1174"/>
      <c r="N45" s="1174"/>
      <c r="O45" s="1174"/>
      <c r="P45" s="1174"/>
      <c r="Q45" s="1174"/>
      <c r="R45" s="1174"/>
      <c r="S45" s="1174"/>
      <c r="T45" s="1174"/>
      <c r="U45" s="1174"/>
      <c r="V45" s="1174"/>
      <c r="W45" s="1174"/>
      <c r="X45" s="1174"/>
      <c r="Y45" s="1174"/>
      <c r="Z45" s="1174"/>
      <c r="AA45" s="1174"/>
      <c r="AB45" s="1174"/>
      <c r="AC45" s="1174"/>
      <c r="AD45" s="1175"/>
    </row>
    <row r="46" spans="2:33" s="1171" customFormat="1" x14ac:dyDescent="0.3">
      <c r="B46" s="1172"/>
      <c r="C46" s="1173"/>
      <c r="D46" s="1174"/>
      <c r="E46" s="1174"/>
      <c r="F46" s="1174"/>
      <c r="G46" s="1174"/>
      <c r="H46" s="1174"/>
      <c r="I46" s="1174"/>
      <c r="J46" s="1174"/>
      <c r="K46" s="1174"/>
      <c r="L46" s="1174"/>
      <c r="M46" s="1174"/>
      <c r="N46" s="1174"/>
      <c r="O46" s="1174"/>
      <c r="P46" s="1174"/>
      <c r="Q46" s="1174"/>
      <c r="R46" s="1174"/>
      <c r="S46" s="1174"/>
      <c r="T46" s="1174"/>
      <c r="U46" s="1174"/>
      <c r="V46" s="1174"/>
      <c r="W46" s="1174"/>
      <c r="X46" s="1174"/>
      <c r="Y46" s="1174"/>
      <c r="Z46" s="1174"/>
      <c r="AA46" s="1174"/>
      <c r="AB46" s="1174"/>
      <c r="AC46" s="1174"/>
      <c r="AD46" s="1175"/>
    </row>
    <row r="47" spans="2:33" x14ac:dyDescent="0.3">
      <c r="C47" s="163"/>
      <c r="D47" s="1097"/>
      <c r="E47" s="1097"/>
      <c r="F47" s="1097"/>
      <c r="G47" s="1097"/>
      <c r="H47" s="161"/>
      <c r="I47" s="161"/>
      <c r="J47" s="161"/>
      <c r="K47" s="161"/>
      <c r="L47" s="161"/>
      <c r="M47" s="161"/>
      <c r="N47" s="161"/>
      <c r="O47" s="161"/>
      <c r="P47" s="161"/>
      <c r="AD47" s="188"/>
    </row>
    <row r="48" spans="2:33" x14ac:dyDescent="0.3">
      <c r="M48" s="163"/>
      <c r="N48" s="163"/>
      <c r="O48" s="163"/>
    </row>
    <row r="49" spans="1:38" ht="45" customHeight="1" x14ac:dyDescent="0.3">
      <c r="B49" s="210" t="s">
        <v>302</v>
      </c>
      <c r="C49" s="211" t="s">
        <v>303</v>
      </c>
      <c r="D49" s="207"/>
      <c r="E49" s="1101" t="s">
        <v>1900</v>
      </c>
      <c r="F49" s="209" t="s">
        <v>1905</v>
      </c>
      <c r="G49" s="209"/>
      <c r="H49" s="209"/>
      <c r="I49" s="209"/>
      <c r="J49" s="209"/>
      <c r="O49" s="225"/>
    </row>
    <row r="50" spans="1:38" x14ac:dyDescent="0.3">
      <c r="B50" s="197">
        <v>44197</v>
      </c>
      <c r="C50" s="123">
        <v>6.3</v>
      </c>
      <c r="D50" s="208"/>
      <c r="E50" s="203" t="s">
        <v>1808</v>
      </c>
      <c r="F50" s="81"/>
      <c r="G50" s="81"/>
      <c r="H50" s="157"/>
      <c r="I50" s="81"/>
      <c r="J50" s="157"/>
      <c r="O50" s="163"/>
    </row>
    <row r="51" spans="1:38" x14ac:dyDescent="0.3">
      <c r="B51" s="197">
        <v>44228</v>
      </c>
      <c r="C51" s="123">
        <v>6.2</v>
      </c>
      <c r="D51" s="208"/>
      <c r="E51" s="204" t="s">
        <v>1901</v>
      </c>
      <c r="F51" s="206">
        <v>6.166666666666667</v>
      </c>
      <c r="G51" s="81"/>
      <c r="H51" s="157"/>
      <c r="I51" s="81"/>
      <c r="J51" s="157"/>
      <c r="O51" s="163"/>
    </row>
    <row r="52" spans="1:38" x14ac:dyDescent="0.3">
      <c r="B52" s="197">
        <v>44256</v>
      </c>
      <c r="C52" s="123">
        <v>6</v>
      </c>
      <c r="D52" s="208"/>
      <c r="E52" s="204" t="s">
        <v>1902</v>
      </c>
      <c r="F52" s="206">
        <v>5.7666666666666657</v>
      </c>
      <c r="G52" s="81"/>
      <c r="H52" s="157"/>
      <c r="I52" s="81"/>
      <c r="J52" s="157"/>
      <c r="O52" s="163"/>
    </row>
    <row r="53" spans="1:38" x14ac:dyDescent="0.3">
      <c r="B53" s="197">
        <v>44287</v>
      </c>
      <c r="C53" s="123">
        <v>6.1</v>
      </c>
      <c r="D53" s="208"/>
      <c r="E53" s="204" t="s">
        <v>1903</v>
      </c>
      <c r="F53" s="206">
        <v>5.1333333333333337</v>
      </c>
      <c r="G53" s="81"/>
      <c r="H53" s="157"/>
      <c r="I53" s="81"/>
      <c r="J53" s="157"/>
      <c r="O53" s="163"/>
    </row>
    <row r="54" spans="1:38" x14ac:dyDescent="0.3">
      <c r="A54" s="35"/>
      <c r="B54" s="197">
        <v>44317</v>
      </c>
      <c r="C54" s="123">
        <v>5.8</v>
      </c>
      <c r="D54" s="208"/>
      <c r="E54" s="204" t="s">
        <v>1904</v>
      </c>
      <c r="F54" s="206">
        <v>4.2333333333333334</v>
      </c>
      <c r="G54" s="81"/>
      <c r="H54" s="157"/>
      <c r="I54" s="81"/>
      <c r="J54" s="157"/>
      <c r="O54" s="163"/>
    </row>
    <row r="55" spans="1:38" x14ac:dyDescent="0.3">
      <c r="A55" s="35"/>
      <c r="B55" s="197">
        <v>44348</v>
      </c>
      <c r="C55" s="123">
        <v>5.4</v>
      </c>
      <c r="D55" s="208"/>
      <c r="E55" s="203" t="s">
        <v>1754</v>
      </c>
      <c r="F55" s="206"/>
      <c r="G55" s="81"/>
      <c r="H55" s="157"/>
      <c r="I55" s="81"/>
      <c r="J55" s="157"/>
      <c r="O55" s="163"/>
    </row>
    <row r="56" spans="1:38" x14ac:dyDescent="0.3">
      <c r="A56" s="35"/>
      <c r="B56" s="197">
        <v>44378</v>
      </c>
      <c r="C56" s="123">
        <v>5.4</v>
      </c>
      <c r="D56" s="208"/>
      <c r="E56" s="204" t="s">
        <v>1901</v>
      </c>
      <c r="F56" s="206">
        <v>3.8000000000000003</v>
      </c>
      <c r="G56" s="81"/>
      <c r="H56" s="157"/>
      <c r="I56" s="81"/>
      <c r="J56" s="157"/>
      <c r="O56" s="163"/>
    </row>
    <row r="57" spans="1:38" x14ac:dyDescent="0.3">
      <c r="A57" s="35"/>
      <c r="B57" s="197">
        <v>44409</v>
      </c>
      <c r="C57" s="123">
        <v>5.2</v>
      </c>
      <c r="D57" s="208"/>
      <c r="E57" s="204" t="s">
        <v>1902</v>
      </c>
      <c r="F57" s="206">
        <v>3.6</v>
      </c>
      <c r="G57" s="81"/>
      <c r="H57" s="157"/>
      <c r="I57" s="81"/>
      <c r="J57" s="157"/>
      <c r="O57" s="163"/>
    </row>
    <row r="58" spans="1:38" x14ac:dyDescent="0.3">
      <c r="A58" s="35"/>
      <c r="B58" s="197">
        <v>44440</v>
      </c>
      <c r="C58" s="123">
        <v>4.8</v>
      </c>
      <c r="D58" s="208"/>
      <c r="E58" s="204" t="s">
        <v>1903</v>
      </c>
      <c r="F58" s="206">
        <v>3.5666666666666664</v>
      </c>
      <c r="G58" s="81"/>
      <c r="H58" s="157"/>
      <c r="I58" s="81"/>
      <c r="J58" s="157"/>
      <c r="O58" s="163"/>
    </row>
    <row r="59" spans="1:38" x14ac:dyDescent="0.3">
      <c r="A59" s="35"/>
      <c r="B59" s="197">
        <v>44470</v>
      </c>
      <c r="C59" s="123">
        <v>4.5999999999999996</v>
      </c>
      <c r="D59" s="208"/>
      <c r="E59" s="204" t="s">
        <v>1904</v>
      </c>
      <c r="F59" s="206">
        <v>3.6</v>
      </c>
      <c r="G59" s="81"/>
      <c r="H59" s="157"/>
      <c r="I59" s="81"/>
      <c r="J59" s="157"/>
      <c r="O59" s="163"/>
    </row>
    <row r="60" spans="1:38" x14ac:dyDescent="0.3">
      <c r="A60" s="35"/>
      <c r="B60" s="197">
        <v>44501</v>
      </c>
      <c r="C60" s="123">
        <v>4.2</v>
      </c>
      <c r="D60" s="208"/>
      <c r="E60" s="203" t="s">
        <v>1906</v>
      </c>
      <c r="F60" s="206"/>
      <c r="G60" s="81"/>
      <c r="H60" s="157"/>
      <c r="I60" s="81"/>
      <c r="J60" s="157"/>
      <c r="O60" s="163"/>
      <c r="AD60" s="163"/>
      <c r="AE60" s="163"/>
      <c r="AF60" s="163"/>
      <c r="AG60" s="163"/>
      <c r="AH60" s="163"/>
      <c r="AI60" s="163"/>
      <c r="AJ60" s="163"/>
      <c r="AK60" s="163"/>
      <c r="AL60" s="163"/>
    </row>
    <row r="61" spans="1:38" x14ac:dyDescent="0.3">
      <c r="A61" s="35"/>
      <c r="B61" s="197">
        <v>44531</v>
      </c>
      <c r="C61" s="123">
        <v>3.9</v>
      </c>
      <c r="D61" s="208"/>
      <c r="E61" s="204" t="s">
        <v>1901</v>
      </c>
      <c r="F61" s="206">
        <v>3.5</v>
      </c>
      <c r="G61" s="81"/>
      <c r="H61" s="157"/>
      <c r="I61" s="81"/>
      <c r="J61" s="157"/>
      <c r="O61" s="163"/>
      <c r="AD61" s="163"/>
      <c r="AE61" s="163"/>
      <c r="AF61" s="163"/>
      <c r="AG61" s="163"/>
      <c r="AH61" s="163"/>
      <c r="AI61" s="163"/>
      <c r="AJ61" s="163"/>
      <c r="AK61" s="163"/>
      <c r="AL61" s="163"/>
    </row>
    <row r="62" spans="1:38" x14ac:dyDescent="0.3">
      <c r="A62" s="35"/>
      <c r="B62" s="197">
        <v>44562</v>
      </c>
      <c r="C62" s="123">
        <v>4</v>
      </c>
      <c r="D62" s="1096"/>
      <c r="E62" s="204" t="s">
        <v>1902</v>
      </c>
      <c r="F62" s="206"/>
      <c r="G62" s="81"/>
      <c r="H62" s="157"/>
      <c r="I62" s="81"/>
      <c r="J62" s="157"/>
      <c r="O62" s="163"/>
    </row>
    <row r="63" spans="1:38" x14ac:dyDescent="0.3">
      <c r="A63" s="35"/>
      <c r="B63" s="197">
        <v>44593</v>
      </c>
      <c r="C63" s="123">
        <v>3.8</v>
      </c>
      <c r="D63" s="1096"/>
      <c r="E63" s="204" t="s">
        <v>1903</v>
      </c>
      <c r="F63" s="206"/>
      <c r="G63" s="81"/>
      <c r="H63" s="157"/>
      <c r="I63" s="81"/>
      <c r="J63" s="157"/>
    </row>
    <row r="64" spans="1:38" x14ac:dyDescent="0.3">
      <c r="A64" s="35"/>
      <c r="B64" s="197">
        <v>44621</v>
      </c>
      <c r="C64" s="123">
        <v>3.6</v>
      </c>
      <c r="D64" s="1096"/>
      <c r="E64" s="204" t="s">
        <v>1904</v>
      </c>
      <c r="F64" s="206"/>
      <c r="G64" s="81"/>
      <c r="H64" s="157"/>
      <c r="I64" s="81"/>
      <c r="J64" s="157"/>
    </row>
    <row r="65" spans="1:10" x14ac:dyDescent="0.3">
      <c r="A65" s="35"/>
      <c r="B65" s="197">
        <v>44652</v>
      </c>
      <c r="C65" s="123">
        <v>3.6</v>
      </c>
      <c r="D65" s="1096"/>
      <c r="E65" s="203" t="s">
        <v>1907</v>
      </c>
      <c r="F65" s="206"/>
      <c r="G65" s="81"/>
      <c r="H65" s="157"/>
      <c r="I65" s="81"/>
      <c r="J65" s="157"/>
    </row>
    <row r="66" spans="1:10" x14ac:dyDescent="0.3">
      <c r="A66" s="35"/>
      <c r="B66" s="197">
        <v>44682</v>
      </c>
      <c r="C66" s="123">
        <v>3.6</v>
      </c>
      <c r="D66" s="1096"/>
      <c r="E66" s="204" t="s">
        <v>1901</v>
      </c>
      <c r="F66" s="206"/>
      <c r="G66" s="81"/>
      <c r="H66" s="157"/>
      <c r="I66" s="81"/>
      <c r="J66" s="157"/>
    </row>
    <row r="67" spans="1:10" x14ac:dyDescent="0.3">
      <c r="A67" s="35"/>
      <c r="B67" s="197">
        <v>44713</v>
      </c>
      <c r="C67" s="123">
        <v>3.6</v>
      </c>
      <c r="D67" s="1096"/>
      <c r="E67" s="204" t="s">
        <v>1902</v>
      </c>
      <c r="F67" s="206"/>
      <c r="G67" s="81"/>
      <c r="H67" s="157"/>
      <c r="I67" s="81"/>
      <c r="J67" s="157"/>
    </row>
    <row r="68" spans="1:10" x14ac:dyDescent="0.3">
      <c r="A68" s="35"/>
      <c r="B68" s="197">
        <v>44743</v>
      </c>
      <c r="C68" s="123">
        <v>3.5</v>
      </c>
      <c r="D68" s="1096"/>
      <c r="E68" s="204" t="s">
        <v>1903</v>
      </c>
      <c r="F68" s="206"/>
      <c r="G68" s="81"/>
      <c r="H68" s="157"/>
      <c r="I68" s="81"/>
      <c r="J68" s="157"/>
    </row>
    <row r="69" spans="1:10" x14ac:dyDescent="0.3">
      <c r="A69" s="35"/>
      <c r="B69" s="197">
        <v>44774</v>
      </c>
      <c r="C69" s="123">
        <v>3.7</v>
      </c>
      <c r="D69" s="1096"/>
      <c r="E69" s="204" t="s">
        <v>1904</v>
      </c>
      <c r="F69" s="206"/>
      <c r="G69" s="81"/>
      <c r="H69" s="157"/>
      <c r="I69" s="81"/>
      <c r="J69" s="157"/>
    </row>
    <row r="70" spans="1:10" x14ac:dyDescent="0.3">
      <c r="A70" s="35"/>
      <c r="B70" s="197">
        <v>44805</v>
      </c>
      <c r="C70" s="123">
        <v>3.5</v>
      </c>
      <c r="D70" s="1096"/>
      <c r="E70" s="203" t="s">
        <v>1908</v>
      </c>
      <c r="F70" s="206"/>
      <c r="G70" s="81"/>
      <c r="H70" s="81"/>
      <c r="I70" s="81"/>
      <c r="J70" s="81"/>
    </row>
    <row r="71" spans="1:10" x14ac:dyDescent="0.3">
      <c r="A71" s="35"/>
      <c r="B71" s="197">
        <v>44835</v>
      </c>
      <c r="C71" s="123">
        <v>3.7</v>
      </c>
      <c r="D71" s="1096"/>
      <c r="E71" s="204" t="s">
        <v>1901</v>
      </c>
      <c r="F71" s="206"/>
      <c r="G71" s="81"/>
      <c r="H71" s="81"/>
      <c r="I71" s="81"/>
      <c r="J71" s="81"/>
    </row>
    <row r="72" spans="1:10" x14ac:dyDescent="0.3">
      <c r="A72" s="35"/>
      <c r="B72" s="197">
        <v>44866</v>
      </c>
      <c r="C72" s="123">
        <v>3.6</v>
      </c>
      <c r="D72" s="1096"/>
      <c r="E72" s="204" t="s">
        <v>1902</v>
      </c>
      <c r="F72" s="206"/>
      <c r="G72" s="81"/>
      <c r="H72" s="81"/>
      <c r="I72" s="81"/>
      <c r="J72" s="81"/>
    </row>
    <row r="73" spans="1:10" x14ac:dyDescent="0.3">
      <c r="A73" s="35"/>
      <c r="B73" s="197">
        <v>44896</v>
      </c>
      <c r="C73" s="123">
        <v>3.5</v>
      </c>
      <c r="D73" s="1096"/>
      <c r="E73" s="204" t="s">
        <v>1903</v>
      </c>
      <c r="F73" s="206"/>
      <c r="G73" s="81"/>
      <c r="H73" s="81"/>
      <c r="I73" s="81"/>
      <c r="J73" s="81"/>
    </row>
    <row r="74" spans="1:10" x14ac:dyDescent="0.3">
      <c r="B74" s="197">
        <v>44927</v>
      </c>
      <c r="C74" s="205">
        <v>3.4</v>
      </c>
      <c r="D74" s="1096"/>
      <c r="E74" s="204" t="s">
        <v>1904</v>
      </c>
      <c r="F74" s="206"/>
      <c r="G74" s="81"/>
      <c r="H74" s="81"/>
      <c r="I74" s="81"/>
      <c r="J74" s="81"/>
    </row>
    <row r="75" spans="1:10" x14ac:dyDescent="0.3">
      <c r="B75" s="197">
        <v>44958</v>
      </c>
      <c r="C75" s="205">
        <v>3.6</v>
      </c>
      <c r="D75" s="81"/>
      <c r="E75" s="203" t="s">
        <v>1909</v>
      </c>
      <c r="F75" s="206"/>
      <c r="G75" s="81"/>
      <c r="H75" s="81"/>
      <c r="I75" s="81"/>
      <c r="J75" s="81"/>
    </row>
    <row r="76" spans="1:10" x14ac:dyDescent="0.3">
      <c r="B76" s="197">
        <v>44986</v>
      </c>
      <c r="C76" s="205">
        <v>3.5</v>
      </c>
      <c r="D76" s="81"/>
      <c r="E76" s="204" t="s">
        <v>1901</v>
      </c>
      <c r="F76" s="206"/>
      <c r="G76" s="81"/>
      <c r="H76" s="81"/>
      <c r="I76" s="81"/>
      <c r="J76" s="81"/>
    </row>
    <row r="77" spans="1:10" x14ac:dyDescent="0.3">
      <c r="B77" s="197">
        <v>45017</v>
      </c>
      <c r="C77" s="205"/>
      <c r="D77" s="81"/>
      <c r="E77" s="204" t="s">
        <v>1902</v>
      </c>
      <c r="F77" s="206"/>
      <c r="G77" s="81"/>
      <c r="H77" s="81"/>
      <c r="I77" s="81"/>
      <c r="J77" s="81"/>
    </row>
    <row r="78" spans="1:10" x14ac:dyDescent="0.3">
      <c r="B78" s="197">
        <v>45047</v>
      </c>
      <c r="C78" s="205"/>
      <c r="D78" s="81"/>
      <c r="E78" s="204" t="s">
        <v>1903</v>
      </c>
      <c r="F78" s="206"/>
      <c r="G78" s="81"/>
      <c r="H78" s="81"/>
      <c r="I78" s="81"/>
      <c r="J78" s="81"/>
    </row>
    <row r="79" spans="1:10" x14ac:dyDescent="0.3">
      <c r="B79" s="197">
        <v>45078</v>
      </c>
      <c r="C79" s="205"/>
      <c r="D79" s="81"/>
      <c r="E79" s="204" t="s">
        <v>1904</v>
      </c>
      <c r="F79" s="206"/>
      <c r="G79" s="81"/>
      <c r="H79" s="81"/>
      <c r="I79" s="81"/>
      <c r="J79" s="81"/>
    </row>
    <row r="80" spans="1:10" x14ac:dyDescent="0.3">
      <c r="B80" s="197">
        <v>45108</v>
      </c>
      <c r="C80" s="205"/>
      <c r="D80" s="81"/>
      <c r="E80" s="81"/>
      <c r="F80" s="81"/>
      <c r="G80" s="81"/>
      <c r="H80" s="81"/>
      <c r="I80" s="81"/>
      <c r="J80" s="81"/>
    </row>
    <row r="81" spans="2:10" x14ac:dyDescent="0.3">
      <c r="B81" s="197">
        <v>45139</v>
      </c>
      <c r="C81" s="205"/>
      <c r="D81" s="81"/>
      <c r="E81" s="81"/>
      <c r="F81" s="81"/>
      <c r="G81" s="81"/>
      <c r="H81" s="81"/>
      <c r="I81" s="81"/>
      <c r="J81" s="81"/>
    </row>
    <row r="82" spans="2:10" x14ac:dyDescent="0.3">
      <c r="B82" s="197">
        <v>45170</v>
      </c>
      <c r="C82" s="205"/>
      <c r="D82" s="81"/>
      <c r="E82" s="81"/>
      <c r="F82" s="81"/>
      <c r="G82" s="81"/>
      <c r="H82" s="81"/>
      <c r="I82" s="81"/>
      <c r="J82" s="81"/>
    </row>
    <row r="83" spans="2:10" x14ac:dyDescent="0.3">
      <c r="B83" s="197">
        <v>45200</v>
      </c>
      <c r="C83" s="205"/>
      <c r="D83" s="81"/>
      <c r="E83" s="81"/>
      <c r="F83" s="81"/>
      <c r="G83" s="81"/>
      <c r="H83" s="81"/>
      <c r="I83" s="81"/>
      <c r="J83" s="81"/>
    </row>
    <row r="84" spans="2:10" x14ac:dyDescent="0.3">
      <c r="B84" s="197">
        <v>45231</v>
      </c>
      <c r="C84" s="205"/>
      <c r="D84" s="81"/>
      <c r="E84" s="81"/>
      <c r="F84" s="81"/>
      <c r="G84" s="81"/>
      <c r="H84" s="81"/>
      <c r="I84" s="81"/>
      <c r="J84" s="81"/>
    </row>
    <row r="85" spans="2:10" x14ac:dyDescent="0.3">
      <c r="B85" s="197">
        <v>45261</v>
      </c>
      <c r="C85" s="205"/>
      <c r="D85" s="81"/>
      <c r="E85" s="81"/>
      <c r="F85" s="81"/>
      <c r="G85" s="81"/>
      <c r="H85" s="81"/>
      <c r="I85" s="81"/>
      <c r="J85" s="81"/>
    </row>
    <row r="86" spans="2:10" x14ac:dyDescent="0.3">
      <c r="B86" s="197">
        <v>45292</v>
      </c>
      <c r="C86" s="205"/>
      <c r="D86" s="81"/>
      <c r="E86" s="81"/>
      <c r="F86" s="81"/>
      <c r="G86" s="81"/>
      <c r="H86" s="81"/>
      <c r="I86" s="81"/>
      <c r="J86" s="81"/>
    </row>
    <row r="87" spans="2:10" x14ac:dyDescent="0.3">
      <c r="B87" s="197">
        <v>45323</v>
      </c>
      <c r="C87" s="205"/>
      <c r="D87" s="81"/>
      <c r="E87" s="81"/>
      <c r="F87" s="81"/>
      <c r="G87" s="81"/>
      <c r="H87" s="81"/>
      <c r="I87" s="81"/>
      <c r="J87" s="81"/>
    </row>
    <row r="88" spans="2:10" x14ac:dyDescent="0.3">
      <c r="B88" s="197">
        <v>45352</v>
      </c>
      <c r="C88" s="205"/>
      <c r="D88" s="81"/>
      <c r="E88" s="81"/>
      <c r="F88" s="81"/>
      <c r="G88" s="81"/>
      <c r="H88" s="81"/>
      <c r="I88" s="81"/>
      <c r="J88" s="81"/>
    </row>
    <row r="89" spans="2:10" x14ac:dyDescent="0.3">
      <c r="B89" s="197">
        <v>45383</v>
      </c>
      <c r="C89" s="205"/>
      <c r="D89" s="81"/>
      <c r="E89" s="81"/>
      <c r="F89" s="81"/>
      <c r="G89" s="81"/>
      <c r="H89" s="81"/>
      <c r="I89" s="81"/>
      <c r="J89" s="81"/>
    </row>
    <row r="90" spans="2:10" x14ac:dyDescent="0.3">
      <c r="B90" s="197">
        <v>45413</v>
      </c>
      <c r="C90" s="205"/>
      <c r="D90" s="81"/>
      <c r="E90" s="81"/>
      <c r="F90" s="81"/>
      <c r="G90" s="81"/>
      <c r="H90" s="81"/>
      <c r="I90" s="81"/>
      <c r="J90" s="81"/>
    </row>
    <row r="91" spans="2:10" x14ac:dyDescent="0.3">
      <c r="B91" s="197">
        <v>45444</v>
      </c>
      <c r="C91" s="205"/>
      <c r="D91" s="81"/>
      <c r="E91" s="81"/>
      <c r="F91" s="81"/>
      <c r="G91" s="81"/>
      <c r="H91" s="81"/>
      <c r="I91" s="81"/>
      <c r="J91" s="81"/>
    </row>
    <row r="92" spans="2:10" x14ac:dyDescent="0.3">
      <c r="B92" s="197">
        <v>45474</v>
      </c>
      <c r="C92" s="205"/>
      <c r="D92" s="81"/>
      <c r="E92" s="81"/>
      <c r="F92" s="81"/>
      <c r="G92" s="81"/>
      <c r="H92" s="81"/>
      <c r="I92" s="81"/>
      <c r="J92" s="81"/>
    </row>
    <row r="93" spans="2:10" x14ac:dyDescent="0.3">
      <c r="B93" s="197">
        <v>45505</v>
      </c>
      <c r="C93" s="205"/>
      <c r="D93" s="81"/>
      <c r="E93" s="81"/>
      <c r="F93" s="81"/>
      <c r="G93" s="81"/>
      <c r="H93" s="81"/>
      <c r="I93" s="81"/>
      <c r="J93" s="81"/>
    </row>
    <row r="94" spans="2:10" x14ac:dyDescent="0.3">
      <c r="B94" s="197">
        <v>45536</v>
      </c>
      <c r="C94" s="205"/>
      <c r="D94" s="81"/>
      <c r="E94" s="81"/>
      <c r="F94" s="81"/>
      <c r="G94" s="81"/>
      <c r="H94" s="81"/>
      <c r="I94" s="81"/>
      <c r="J94" s="81"/>
    </row>
    <row r="95" spans="2:10" x14ac:dyDescent="0.3">
      <c r="B95" s="197">
        <v>45566</v>
      </c>
      <c r="C95" s="205"/>
      <c r="D95" s="81"/>
      <c r="E95" s="81"/>
      <c r="F95" s="81"/>
      <c r="G95" s="81"/>
      <c r="H95" s="81"/>
      <c r="I95" s="81"/>
      <c r="J95" s="81"/>
    </row>
    <row r="96" spans="2:10" x14ac:dyDescent="0.3">
      <c r="B96" s="197">
        <v>45597</v>
      </c>
      <c r="C96" s="205"/>
      <c r="D96" s="81"/>
      <c r="E96" s="81"/>
      <c r="F96" s="81"/>
      <c r="G96" s="81"/>
      <c r="H96" s="81"/>
      <c r="I96" s="81"/>
      <c r="J96" s="81"/>
    </row>
    <row r="97" spans="2:10" x14ac:dyDescent="0.3">
      <c r="B97" s="197">
        <v>45627</v>
      </c>
      <c r="C97" s="205"/>
      <c r="D97" s="81"/>
      <c r="E97" s="81"/>
      <c r="F97" s="81"/>
      <c r="G97" s="81"/>
      <c r="H97" s="81"/>
      <c r="I97" s="81"/>
      <c r="J97" s="81"/>
    </row>
    <row r="98" spans="2:10" x14ac:dyDescent="0.3">
      <c r="B98" s="197">
        <v>45658</v>
      </c>
      <c r="C98" s="205"/>
      <c r="D98" s="81"/>
      <c r="E98" s="81"/>
      <c r="F98" s="81"/>
      <c r="G98" s="81"/>
      <c r="H98" s="81"/>
      <c r="I98" s="81"/>
      <c r="J98" s="81"/>
    </row>
    <row r="99" spans="2:10" x14ac:dyDescent="0.3">
      <c r="B99" s="197">
        <v>45689</v>
      </c>
      <c r="C99" s="205"/>
      <c r="D99" s="81"/>
      <c r="E99" s="81"/>
      <c r="F99" s="81"/>
      <c r="G99" s="81"/>
      <c r="H99" s="81"/>
      <c r="I99" s="81"/>
      <c r="J99" s="81"/>
    </row>
    <row r="100" spans="2:10" x14ac:dyDescent="0.3">
      <c r="B100" s="197">
        <v>45717</v>
      </c>
      <c r="C100" s="205"/>
      <c r="D100" s="81"/>
      <c r="E100" s="81"/>
      <c r="F100" s="81"/>
      <c r="G100" s="81"/>
      <c r="H100" s="81"/>
      <c r="I100" s="81"/>
      <c r="J100" s="81"/>
    </row>
    <row r="101" spans="2:10" x14ac:dyDescent="0.3">
      <c r="B101" s="197">
        <v>45748</v>
      </c>
      <c r="C101" s="205"/>
      <c r="D101" s="81"/>
      <c r="E101" s="81"/>
      <c r="F101" s="81"/>
      <c r="G101" s="81"/>
      <c r="H101" s="81"/>
      <c r="I101" s="81"/>
      <c r="J101" s="81"/>
    </row>
    <row r="102" spans="2:10" x14ac:dyDescent="0.3">
      <c r="B102" s="197">
        <v>45778</v>
      </c>
      <c r="C102" s="205"/>
      <c r="D102" s="81"/>
      <c r="E102" s="81"/>
      <c r="F102" s="81"/>
      <c r="G102" s="81"/>
      <c r="H102" s="81"/>
      <c r="I102" s="81"/>
      <c r="J102" s="81"/>
    </row>
    <row r="103" spans="2:10" x14ac:dyDescent="0.3">
      <c r="B103" s="197">
        <v>45809</v>
      </c>
      <c r="C103" s="205"/>
      <c r="D103" s="81"/>
      <c r="E103" s="81"/>
      <c r="F103" s="81"/>
      <c r="G103" s="81"/>
      <c r="H103" s="81"/>
      <c r="I103" s="81"/>
      <c r="J103" s="81"/>
    </row>
    <row r="104" spans="2:10" x14ac:dyDescent="0.3">
      <c r="B104" s="197">
        <v>45839</v>
      </c>
      <c r="C104" s="205"/>
      <c r="D104" s="81"/>
      <c r="E104" s="81"/>
      <c r="F104" s="81"/>
      <c r="G104" s="81"/>
      <c r="H104" s="81"/>
      <c r="I104" s="81"/>
      <c r="J104" s="81"/>
    </row>
    <row r="105" spans="2:10" x14ac:dyDescent="0.3">
      <c r="B105" s="197">
        <v>45870</v>
      </c>
      <c r="C105" s="205"/>
      <c r="D105" s="81"/>
      <c r="E105" s="81"/>
      <c r="F105" s="81"/>
      <c r="G105" s="81"/>
      <c r="H105" s="81"/>
      <c r="I105" s="81"/>
      <c r="J105" s="81"/>
    </row>
    <row r="106" spans="2:10" x14ac:dyDescent="0.3">
      <c r="B106" s="197">
        <v>45901</v>
      </c>
      <c r="C106" s="205"/>
      <c r="D106" s="81"/>
      <c r="E106" s="81"/>
      <c r="F106" s="81"/>
      <c r="G106" s="81"/>
      <c r="H106" s="81"/>
      <c r="I106" s="81"/>
      <c r="J106" s="81"/>
    </row>
    <row r="107" spans="2:10" x14ac:dyDescent="0.3">
      <c r="B107" s="197">
        <v>45931</v>
      </c>
      <c r="C107" s="205"/>
      <c r="D107" s="81"/>
      <c r="E107" s="81"/>
      <c r="F107" s="81"/>
      <c r="G107" s="81"/>
      <c r="H107" s="81"/>
      <c r="I107" s="81"/>
      <c r="J107" s="81"/>
    </row>
    <row r="108" spans="2:10" x14ac:dyDescent="0.3">
      <c r="B108" s="197">
        <v>45962</v>
      </c>
      <c r="C108" s="205"/>
      <c r="D108" s="81"/>
      <c r="E108" s="81"/>
      <c r="F108" s="81"/>
      <c r="G108" s="81"/>
      <c r="H108" s="81"/>
      <c r="I108" s="81"/>
      <c r="J108" s="81"/>
    </row>
    <row r="109" spans="2:10" x14ac:dyDescent="0.3">
      <c r="B109" s="197">
        <v>45992</v>
      </c>
      <c r="C109" s="205"/>
      <c r="D109" s="81"/>
      <c r="E109" s="81"/>
      <c r="F109" s="81"/>
      <c r="G109" s="81"/>
      <c r="H109" s="81"/>
      <c r="I109" s="81"/>
      <c r="J109" s="81"/>
    </row>
    <row r="110" spans="2:10" x14ac:dyDescent="0.3">
      <c r="B110" s="197">
        <v>46023</v>
      </c>
      <c r="C110" s="205"/>
      <c r="D110" s="81"/>
      <c r="E110" s="81"/>
      <c r="F110" s="81"/>
      <c r="G110" s="81"/>
      <c r="H110" s="81"/>
      <c r="I110" s="81"/>
      <c r="J110" s="81"/>
    </row>
    <row r="111" spans="2:10" x14ac:dyDescent="0.3">
      <c r="B111" s="197">
        <v>46054</v>
      </c>
      <c r="C111" s="205"/>
      <c r="D111" s="81"/>
      <c r="E111" s="81"/>
      <c r="F111" s="81"/>
      <c r="G111" s="81"/>
      <c r="H111" s="81"/>
      <c r="I111" s="81"/>
      <c r="J111" s="81"/>
    </row>
    <row r="112" spans="2:10" x14ac:dyDescent="0.3">
      <c r="B112" s="197">
        <v>46082</v>
      </c>
      <c r="C112" s="205"/>
      <c r="D112" s="81"/>
      <c r="E112" s="81"/>
      <c r="F112" s="81"/>
      <c r="G112" s="81"/>
      <c r="H112" s="81"/>
      <c r="I112" s="81"/>
      <c r="J112" s="81"/>
    </row>
    <row r="113" spans="2:10" x14ac:dyDescent="0.3">
      <c r="B113" s="197">
        <v>46113</v>
      </c>
      <c r="C113" s="205"/>
      <c r="D113" s="81"/>
      <c r="E113" s="81"/>
      <c r="F113" s="81"/>
      <c r="G113" s="81"/>
      <c r="H113" s="81"/>
      <c r="I113" s="81"/>
      <c r="J113" s="81"/>
    </row>
    <row r="114" spans="2:10" x14ac:dyDescent="0.3">
      <c r="B114" s="197">
        <v>46143</v>
      </c>
      <c r="C114" s="205"/>
      <c r="D114" s="81"/>
      <c r="E114" s="81"/>
      <c r="F114" s="81"/>
      <c r="G114" s="81"/>
      <c r="H114" s="81"/>
      <c r="I114" s="81"/>
      <c r="J114" s="81"/>
    </row>
    <row r="115" spans="2:10" x14ac:dyDescent="0.3">
      <c r="B115" s="197">
        <v>46174</v>
      </c>
      <c r="C115" s="205"/>
      <c r="D115" s="81"/>
      <c r="E115" s="81"/>
      <c r="F115" s="81"/>
      <c r="G115" s="81"/>
      <c r="H115" s="81"/>
      <c r="I115" s="81"/>
      <c r="J115" s="81"/>
    </row>
    <row r="116" spans="2:10" x14ac:dyDescent="0.3">
      <c r="B116" s="197">
        <v>46204</v>
      </c>
      <c r="C116" s="205"/>
      <c r="D116" s="81"/>
      <c r="E116" s="81"/>
      <c r="F116" s="81"/>
      <c r="G116" s="81"/>
      <c r="H116" s="81"/>
      <c r="I116" s="81"/>
      <c r="J116" s="81"/>
    </row>
    <row r="117" spans="2:10" x14ac:dyDescent="0.3">
      <c r="B117" s="197">
        <v>46235</v>
      </c>
      <c r="C117" s="205"/>
      <c r="D117" s="81"/>
      <c r="E117" s="81"/>
      <c r="F117" s="81"/>
      <c r="G117" s="81"/>
      <c r="H117" s="81"/>
      <c r="I117" s="81"/>
      <c r="J117" s="81"/>
    </row>
    <row r="118" spans="2:10" x14ac:dyDescent="0.3">
      <c r="B118" s="197">
        <v>46266</v>
      </c>
      <c r="C118" s="205"/>
      <c r="D118" s="81"/>
      <c r="E118" s="81"/>
      <c r="F118" s="81"/>
      <c r="G118" s="81"/>
      <c r="H118" s="81"/>
      <c r="I118" s="81"/>
      <c r="J118" s="81"/>
    </row>
    <row r="119" spans="2:10" x14ac:dyDescent="0.3">
      <c r="B119" s="197">
        <v>46296</v>
      </c>
      <c r="C119" s="205"/>
      <c r="D119" s="81"/>
      <c r="E119" s="81"/>
      <c r="F119" s="81"/>
      <c r="G119" s="81"/>
      <c r="H119" s="81"/>
      <c r="I119" s="81"/>
      <c r="J119" s="81"/>
    </row>
    <row r="120" spans="2:10" x14ac:dyDescent="0.3">
      <c r="B120" s="197">
        <v>46327</v>
      </c>
      <c r="C120" s="205"/>
      <c r="D120" s="81"/>
      <c r="E120" s="81"/>
      <c r="F120" s="81"/>
      <c r="G120" s="81"/>
      <c r="H120" s="81"/>
      <c r="I120" s="81"/>
      <c r="J120" s="81"/>
    </row>
    <row r="121" spans="2:10" x14ac:dyDescent="0.3">
      <c r="B121" s="198">
        <v>46357</v>
      </c>
      <c r="C121" s="202"/>
      <c r="D121" s="81"/>
      <c r="E121" s="81"/>
      <c r="F121" s="81"/>
      <c r="G121" s="81"/>
      <c r="H121" s="81"/>
      <c r="I121" s="81"/>
      <c r="J121" s="81"/>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4140625" defaultRowHeight="14.4" x14ac:dyDescent="0.3"/>
  <cols>
    <col min="2" max="2" width="52.44140625" customWidth="1"/>
    <col min="3" max="4" width="11.44140625" customWidth="1"/>
    <col min="5" max="5" width="12.77734375" customWidth="1"/>
    <col min="6" max="6" width="10.77734375" customWidth="1"/>
    <col min="7" max="7" width="11.44140625" customWidth="1"/>
    <col min="8" max="8" width="12.21875" customWidth="1"/>
    <col min="9" max="9" width="8.44140625" customWidth="1"/>
    <col min="10" max="10" width="10.44140625" customWidth="1"/>
    <col min="11" max="11" width="8.44140625" customWidth="1"/>
    <col min="12" max="12" width="12.77734375" customWidth="1"/>
    <col min="13" max="13" width="20.44140625" customWidth="1"/>
    <col min="14" max="20" width="9.44140625" customWidth="1"/>
    <col min="21" max="25" width="10.77734375" customWidth="1"/>
    <col min="26" max="26" width="11.21875" customWidth="1"/>
    <col min="27" max="32" width="9.44140625" customWidth="1"/>
    <col min="33" max="36" width="8.44140625" customWidth="1"/>
  </cols>
  <sheetData>
    <row r="1" spans="2:30" x14ac:dyDescent="0.3">
      <c r="B1" s="1610" t="s">
        <v>53</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0" ht="14.25" customHeight="1" x14ac:dyDescent="0.3">
      <c r="B2" s="1611" t="s">
        <v>278</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2:30"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2:30"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2:30" x14ac:dyDescent="0.3">
      <c r="B5" s="1611"/>
      <c r="C5" s="1611"/>
      <c r="D5" s="1611"/>
      <c r="E5" s="1611"/>
      <c r="F5" s="1611"/>
      <c r="G5" s="1611"/>
      <c r="H5" s="1611"/>
      <c r="I5" s="1611"/>
      <c r="J5" s="1611"/>
      <c r="K5" s="1611"/>
      <c r="L5" s="1611"/>
      <c r="M5" s="1611"/>
      <c r="N5" s="1611"/>
      <c r="O5" s="1611"/>
      <c r="P5" s="1611"/>
      <c r="Q5" s="1611"/>
      <c r="R5" s="1611"/>
      <c r="S5" s="1611"/>
      <c r="T5" s="1611"/>
      <c r="U5" s="1611"/>
      <c r="V5" s="1611"/>
      <c r="W5" s="1611"/>
      <c r="X5" s="1611"/>
      <c r="Y5" s="1611"/>
      <c r="Z5" s="1611"/>
      <c r="AA5" s="1611"/>
      <c r="AB5" s="1611"/>
      <c r="AC5" s="1611"/>
    </row>
    <row r="6" spans="2:30" ht="38.85" customHeight="1" x14ac:dyDescent="0.3">
      <c r="B6" s="1611"/>
      <c r="C6" s="1611"/>
      <c r="D6" s="1611"/>
      <c r="E6" s="1611"/>
      <c r="F6" s="1611"/>
      <c r="G6" s="1611"/>
      <c r="H6" s="1611"/>
      <c r="I6" s="1611"/>
      <c r="J6" s="1611"/>
      <c r="K6" s="1611"/>
      <c r="L6" s="1611"/>
      <c r="M6" s="1611"/>
      <c r="N6" s="1611"/>
      <c r="O6" s="1611"/>
      <c r="P6" s="1611"/>
      <c r="Q6" s="1611"/>
      <c r="R6" s="1611"/>
      <c r="S6" s="1611"/>
      <c r="T6" s="1611"/>
      <c r="U6" s="1611"/>
      <c r="V6" s="1611"/>
      <c r="W6" s="1611"/>
      <c r="X6" s="1611"/>
      <c r="Y6" s="1611"/>
      <c r="Z6" s="1611"/>
      <c r="AA6" s="1611"/>
      <c r="AB6" s="1611"/>
      <c r="AC6" s="1611"/>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29" t="s">
        <v>279</v>
      </c>
      <c r="C8" s="1630"/>
      <c r="D8" s="1631" t="s">
        <v>280</v>
      </c>
      <c r="E8" s="1632"/>
      <c r="F8" s="1632"/>
      <c r="G8" s="1632"/>
      <c r="H8" s="1632"/>
      <c r="I8" s="1632"/>
      <c r="J8" s="1632"/>
      <c r="K8" s="1632"/>
      <c r="L8" s="1632"/>
      <c r="M8" s="1632"/>
      <c r="N8" s="1632"/>
      <c r="O8" s="1632"/>
      <c r="P8" s="1632"/>
      <c r="Q8" s="1632"/>
      <c r="R8" s="1632"/>
      <c r="S8" s="1632"/>
      <c r="T8" s="1633"/>
      <c r="U8" s="1634" t="s">
        <v>281</v>
      </c>
      <c r="V8" s="1635"/>
      <c r="W8" s="1635"/>
      <c r="X8" s="1635"/>
      <c r="Y8" s="1635"/>
      <c r="Z8" s="1635"/>
      <c r="AA8" s="1635"/>
      <c r="AB8" s="1635"/>
      <c r="AC8" s="1636"/>
    </row>
    <row r="9" spans="2:30" ht="12.75" customHeight="1" x14ac:dyDescent="0.3">
      <c r="B9" s="1617"/>
      <c r="C9" s="1618"/>
      <c r="D9" s="127">
        <v>2018</v>
      </c>
      <c r="E9" s="1600">
        <v>2019</v>
      </c>
      <c r="F9" s="1622"/>
      <c r="G9" s="1622"/>
      <c r="H9" s="1637"/>
      <c r="I9" s="1622">
        <v>2020</v>
      </c>
      <c r="J9" s="1622"/>
      <c r="K9" s="1622"/>
      <c r="L9" s="1622"/>
      <c r="M9" s="1600">
        <v>2021</v>
      </c>
      <c r="N9" s="1622"/>
      <c r="O9" s="1622"/>
      <c r="P9" s="1622"/>
      <c r="Q9" s="1638">
        <v>2022</v>
      </c>
      <c r="R9" s="1639"/>
      <c r="S9" s="158"/>
      <c r="T9" s="168"/>
      <c r="U9" s="1640">
        <v>2023</v>
      </c>
      <c r="V9" s="1607"/>
      <c r="W9" s="1607"/>
      <c r="X9" s="1641"/>
      <c r="Y9" s="1628">
        <v>2024</v>
      </c>
      <c r="Z9" s="1607"/>
      <c r="AA9" s="1607"/>
      <c r="AB9" s="1607"/>
      <c r="AC9" s="178">
        <v>2025</v>
      </c>
    </row>
    <row r="10" spans="2:30" ht="14.85" customHeight="1" x14ac:dyDescent="0.3">
      <c r="B10" s="1617"/>
      <c r="C10" s="1618"/>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85" customHeight="1" x14ac:dyDescent="0.3">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85" customHeight="1" x14ac:dyDescent="0.3">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
      <c r="B22" s="163" t="s">
        <v>1810</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
      <c r="B23" s="153" t="s">
        <v>1893</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
      <c r="B24" s="212" t="s">
        <v>1910</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
      <c r="B25" s="215" t="s">
        <v>1911</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
      <c r="C26" s="163"/>
      <c r="D26" s="159"/>
      <c r="E26" s="159"/>
      <c r="F26" s="159"/>
      <c r="G26" s="159"/>
      <c r="H26" s="161"/>
      <c r="I26" s="161"/>
      <c r="J26" s="161"/>
      <c r="K26" s="161"/>
      <c r="L26" s="161"/>
      <c r="M26" s="161"/>
      <c r="N26" s="161"/>
      <c r="O26" s="161"/>
      <c r="P26" s="161"/>
      <c r="AD26" s="188"/>
    </row>
    <row r="27" spans="1:32" x14ac:dyDescent="0.3">
      <c r="M27" s="163"/>
      <c r="N27" s="163"/>
      <c r="O27" s="163"/>
    </row>
    <row r="28" spans="1:32" ht="43.5" customHeight="1" x14ac:dyDescent="0.3">
      <c r="B28" s="210" t="s">
        <v>302</v>
      </c>
      <c r="C28" s="211" t="s">
        <v>303</v>
      </c>
      <c r="D28" s="207"/>
      <c r="E28" s="209" t="s">
        <v>1900</v>
      </c>
      <c r="F28" s="209" t="s">
        <v>1905</v>
      </c>
      <c r="G28" s="209"/>
      <c r="H28" s="209"/>
      <c r="I28" s="209"/>
      <c r="J28" s="209"/>
      <c r="O28" s="225"/>
    </row>
    <row r="29" spans="1:32" x14ac:dyDescent="0.3">
      <c r="A29" s="35"/>
      <c r="B29" s="197">
        <v>44197</v>
      </c>
      <c r="C29" s="123">
        <v>6.3</v>
      </c>
      <c r="D29" s="208"/>
      <c r="E29" s="203" t="s">
        <v>1808</v>
      </c>
      <c r="F29" s="81"/>
      <c r="G29" s="81"/>
      <c r="H29" s="157"/>
      <c r="I29" s="81"/>
      <c r="J29" s="157"/>
      <c r="O29" s="163"/>
    </row>
    <row r="30" spans="1:32" x14ac:dyDescent="0.3">
      <c r="A30" s="35"/>
      <c r="B30" s="197">
        <v>44228</v>
      </c>
      <c r="C30" s="123">
        <v>6.2</v>
      </c>
      <c r="D30" s="208"/>
      <c r="E30" s="204" t="s">
        <v>1901</v>
      </c>
      <c r="F30" s="206">
        <v>6.166666666666667</v>
      </c>
      <c r="G30" s="81"/>
      <c r="H30" s="157"/>
      <c r="I30" s="81"/>
      <c r="J30" s="157"/>
      <c r="O30" s="163"/>
    </row>
    <row r="31" spans="1:32" x14ac:dyDescent="0.3">
      <c r="A31" s="35"/>
      <c r="B31" s="197">
        <v>44256</v>
      </c>
      <c r="C31" s="123">
        <v>6</v>
      </c>
      <c r="D31" s="208"/>
      <c r="E31" s="204" t="s">
        <v>1902</v>
      </c>
      <c r="F31" s="206">
        <v>5.7666666666666657</v>
      </c>
      <c r="G31" s="81"/>
      <c r="H31" s="157"/>
      <c r="I31" s="81"/>
      <c r="J31" s="157"/>
      <c r="O31" s="163"/>
    </row>
    <row r="32" spans="1:32" x14ac:dyDescent="0.3">
      <c r="A32" s="35"/>
      <c r="B32" s="197">
        <v>44287</v>
      </c>
      <c r="C32" s="123">
        <v>6.1</v>
      </c>
      <c r="D32" s="208"/>
      <c r="E32" s="204" t="s">
        <v>1903</v>
      </c>
      <c r="F32" s="206">
        <v>5.1333333333333337</v>
      </c>
      <c r="G32" s="81"/>
      <c r="H32" s="157"/>
      <c r="I32" s="81"/>
      <c r="J32" s="157"/>
      <c r="O32" s="163"/>
    </row>
    <row r="33" spans="1:38" x14ac:dyDescent="0.3">
      <c r="A33" s="35"/>
      <c r="B33" s="197">
        <v>44317</v>
      </c>
      <c r="C33" s="123">
        <v>5.8</v>
      </c>
      <c r="D33" s="208"/>
      <c r="E33" s="204" t="s">
        <v>1904</v>
      </c>
      <c r="F33" s="206">
        <v>4.2333333333333334</v>
      </c>
      <c r="G33" s="81"/>
      <c r="H33" s="157"/>
      <c r="I33" s="81"/>
      <c r="J33" s="157"/>
      <c r="O33" s="163"/>
    </row>
    <row r="34" spans="1:38" x14ac:dyDescent="0.3">
      <c r="A34" s="35"/>
      <c r="B34" s="197">
        <v>44348</v>
      </c>
      <c r="C34" s="123">
        <v>5.4</v>
      </c>
      <c r="D34" s="208"/>
      <c r="E34" s="203" t="s">
        <v>1754</v>
      </c>
      <c r="F34" s="206"/>
      <c r="G34" s="81"/>
      <c r="H34" s="157"/>
      <c r="I34" s="81"/>
      <c r="J34" s="157"/>
      <c r="O34" s="163"/>
    </row>
    <row r="35" spans="1:38" x14ac:dyDescent="0.3">
      <c r="A35" s="35"/>
      <c r="B35" s="197">
        <v>44378</v>
      </c>
      <c r="C35" s="123">
        <v>5.4</v>
      </c>
      <c r="D35" s="208"/>
      <c r="E35" s="204" t="s">
        <v>1901</v>
      </c>
      <c r="F35" s="206">
        <v>3.8000000000000003</v>
      </c>
      <c r="G35" s="81"/>
      <c r="H35" s="157"/>
      <c r="I35" s="81"/>
      <c r="J35" s="157"/>
      <c r="O35" s="163"/>
    </row>
    <row r="36" spans="1:38" x14ac:dyDescent="0.3">
      <c r="A36" s="35"/>
      <c r="B36" s="197">
        <v>44409</v>
      </c>
      <c r="C36" s="123">
        <v>5.2</v>
      </c>
      <c r="D36" s="208"/>
      <c r="E36" s="204" t="s">
        <v>1902</v>
      </c>
      <c r="F36" s="206">
        <v>3.6</v>
      </c>
      <c r="G36" s="81"/>
      <c r="H36" s="157"/>
      <c r="I36" s="81"/>
      <c r="J36" s="157"/>
      <c r="O36" s="163"/>
    </row>
    <row r="37" spans="1:38" x14ac:dyDescent="0.3">
      <c r="A37" s="35"/>
      <c r="B37" s="197">
        <v>44440</v>
      </c>
      <c r="C37" s="123">
        <v>4.8</v>
      </c>
      <c r="D37" s="208"/>
      <c r="E37" s="204" t="s">
        <v>1903</v>
      </c>
      <c r="F37" s="206">
        <v>3.5666666666666664</v>
      </c>
      <c r="G37" s="81"/>
      <c r="H37" s="157"/>
      <c r="I37" s="81"/>
      <c r="J37" s="157"/>
      <c r="O37" s="163"/>
    </row>
    <row r="38" spans="1:38" x14ac:dyDescent="0.3">
      <c r="A38" s="35"/>
      <c r="B38" s="197">
        <v>44470</v>
      </c>
      <c r="C38" s="123">
        <v>4.5999999999999996</v>
      </c>
      <c r="D38" s="208"/>
      <c r="E38" s="204" t="s">
        <v>1904</v>
      </c>
      <c r="F38" s="206">
        <v>3.6</v>
      </c>
      <c r="G38" s="81"/>
      <c r="H38" s="157"/>
      <c r="I38" s="81"/>
      <c r="J38" s="157"/>
      <c r="O38" s="163"/>
    </row>
    <row r="39" spans="1:38" x14ac:dyDescent="0.3">
      <c r="A39" s="35"/>
      <c r="B39" s="197">
        <v>44501</v>
      </c>
      <c r="C39" s="123">
        <v>4.2</v>
      </c>
      <c r="D39" s="208"/>
      <c r="E39" s="203" t="s">
        <v>1906</v>
      </c>
      <c r="F39" s="206"/>
      <c r="G39" s="81"/>
      <c r="H39" s="157"/>
      <c r="I39" s="81"/>
      <c r="J39" s="157"/>
      <c r="O39" s="163"/>
      <c r="AD39" s="163"/>
      <c r="AE39" s="163"/>
      <c r="AF39" s="163"/>
      <c r="AG39" s="163"/>
      <c r="AH39" s="163"/>
      <c r="AI39" s="163"/>
      <c r="AJ39" s="163"/>
      <c r="AK39" s="163"/>
      <c r="AL39" s="163"/>
    </row>
    <row r="40" spans="1:38" x14ac:dyDescent="0.3">
      <c r="A40" s="35"/>
      <c r="B40" s="197">
        <v>44531</v>
      </c>
      <c r="C40" s="123">
        <v>3.9</v>
      </c>
      <c r="D40" s="208"/>
      <c r="E40" s="204" t="s">
        <v>1901</v>
      </c>
      <c r="F40" s="206">
        <v>3.5</v>
      </c>
      <c r="G40" s="81"/>
      <c r="H40" s="157"/>
      <c r="I40" s="81"/>
      <c r="J40" s="157"/>
      <c r="O40" s="163"/>
      <c r="AD40" s="163"/>
      <c r="AE40" s="163"/>
      <c r="AF40" s="163"/>
      <c r="AG40" s="163"/>
      <c r="AH40" s="163"/>
      <c r="AI40" s="163"/>
      <c r="AJ40" s="163"/>
      <c r="AK40" s="163"/>
      <c r="AL40" s="163"/>
    </row>
    <row r="41" spans="1:38" x14ac:dyDescent="0.3">
      <c r="A41" s="35"/>
      <c r="B41" s="197">
        <v>44562</v>
      </c>
      <c r="C41" s="123">
        <v>4</v>
      </c>
      <c r="D41" s="35"/>
      <c r="E41" s="204" t="s">
        <v>1902</v>
      </c>
      <c r="F41" s="206"/>
      <c r="G41" s="81"/>
      <c r="H41" s="157"/>
      <c r="I41" s="81"/>
      <c r="J41" s="157"/>
      <c r="O41" s="163"/>
    </row>
    <row r="42" spans="1:38" x14ac:dyDescent="0.3">
      <c r="A42" s="35"/>
      <c r="B42" s="197">
        <v>44593</v>
      </c>
      <c r="C42" s="123">
        <v>3.8</v>
      </c>
      <c r="D42" s="35"/>
      <c r="E42" s="204" t="s">
        <v>1903</v>
      </c>
      <c r="F42" s="206"/>
      <c r="G42" s="81"/>
      <c r="H42" s="157"/>
      <c r="I42" s="81"/>
      <c r="J42" s="157"/>
    </row>
    <row r="43" spans="1:38" x14ac:dyDescent="0.3">
      <c r="A43" s="35"/>
      <c r="B43" s="197">
        <v>44621</v>
      </c>
      <c r="C43" s="123">
        <v>3.6</v>
      </c>
      <c r="D43" s="35"/>
      <c r="E43" s="204" t="s">
        <v>1904</v>
      </c>
      <c r="F43" s="206"/>
      <c r="G43" s="81"/>
      <c r="H43" s="157"/>
      <c r="I43" s="81"/>
      <c r="J43" s="157"/>
    </row>
    <row r="44" spans="1:38" x14ac:dyDescent="0.3">
      <c r="A44" s="35"/>
      <c r="B44" s="197">
        <v>44652</v>
      </c>
      <c r="C44" s="123">
        <v>3.6</v>
      </c>
      <c r="D44" s="35"/>
      <c r="E44" s="203" t="s">
        <v>1907</v>
      </c>
      <c r="F44" s="206"/>
      <c r="G44" s="81"/>
      <c r="H44" s="157"/>
      <c r="I44" s="81"/>
      <c r="J44" s="157"/>
    </row>
    <row r="45" spans="1:38" x14ac:dyDescent="0.3">
      <c r="A45" s="35"/>
      <c r="B45" s="197">
        <v>44682</v>
      </c>
      <c r="C45" s="123">
        <v>3.6</v>
      </c>
      <c r="D45" s="35"/>
      <c r="E45" s="204" t="s">
        <v>1901</v>
      </c>
      <c r="F45" s="206"/>
      <c r="G45" s="81"/>
      <c r="H45" s="157"/>
      <c r="I45" s="81"/>
      <c r="J45" s="157"/>
    </row>
    <row r="46" spans="1:38" x14ac:dyDescent="0.3">
      <c r="A46" s="35"/>
      <c r="B46" s="197">
        <v>44713</v>
      </c>
      <c r="C46" s="123">
        <v>3.6</v>
      </c>
      <c r="D46" s="35"/>
      <c r="E46" s="204" t="s">
        <v>1902</v>
      </c>
      <c r="F46" s="206"/>
      <c r="G46" s="81"/>
      <c r="H46" s="157"/>
      <c r="I46" s="81"/>
      <c r="J46" s="157"/>
    </row>
    <row r="47" spans="1:38" x14ac:dyDescent="0.3">
      <c r="A47" s="35"/>
      <c r="B47" s="197">
        <v>44743</v>
      </c>
      <c r="C47" s="123">
        <v>3.5</v>
      </c>
      <c r="D47" s="35"/>
      <c r="E47" s="204" t="s">
        <v>1903</v>
      </c>
      <c r="F47" s="206"/>
      <c r="G47" s="81"/>
      <c r="H47" s="157"/>
      <c r="I47" s="81"/>
      <c r="J47" s="157"/>
    </row>
    <row r="48" spans="1:38" x14ac:dyDescent="0.3">
      <c r="A48" s="35"/>
      <c r="B48" s="197">
        <v>44774</v>
      </c>
      <c r="C48" s="123">
        <v>3.7</v>
      </c>
      <c r="D48" s="35"/>
      <c r="E48" s="204" t="s">
        <v>1904</v>
      </c>
      <c r="F48" s="206"/>
      <c r="G48" s="81"/>
      <c r="H48" s="157"/>
      <c r="I48" s="81"/>
      <c r="J48" s="157"/>
    </row>
    <row r="49" spans="2:10" x14ac:dyDescent="0.3">
      <c r="B49" s="197">
        <v>44805</v>
      </c>
      <c r="C49" s="123">
        <v>3.5</v>
      </c>
      <c r="D49" s="35"/>
      <c r="E49" s="203" t="s">
        <v>1908</v>
      </c>
      <c r="F49" s="206"/>
      <c r="G49" s="81"/>
      <c r="H49" s="81"/>
      <c r="I49" s="81"/>
      <c r="J49" s="81"/>
    </row>
    <row r="50" spans="2:10" x14ac:dyDescent="0.3">
      <c r="B50" s="197">
        <v>44835</v>
      </c>
      <c r="C50" s="123">
        <v>3.7</v>
      </c>
      <c r="D50" s="35"/>
      <c r="E50" s="204" t="s">
        <v>1901</v>
      </c>
      <c r="F50" s="206"/>
      <c r="G50" s="81"/>
      <c r="H50" s="81"/>
      <c r="I50" s="81"/>
      <c r="J50" s="81"/>
    </row>
    <row r="51" spans="2:10" x14ac:dyDescent="0.3">
      <c r="B51" s="197">
        <v>44866</v>
      </c>
      <c r="C51" s="123">
        <v>3.6</v>
      </c>
      <c r="D51" s="35"/>
      <c r="E51" s="204" t="s">
        <v>1902</v>
      </c>
      <c r="F51" s="206"/>
      <c r="G51" s="81"/>
      <c r="H51" s="81"/>
      <c r="I51" s="81"/>
      <c r="J51" s="81"/>
    </row>
    <row r="52" spans="2:10" x14ac:dyDescent="0.3">
      <c r="B52" s="197">
        <v>44896</v>
      </c>
      <c r="C52" s="123">
        <v>3.5</v>
      </c>
      <c r="D52" s="35"/>
      <c r="E52" s="204" t="s">
        <v>1903</v>
      </c>
      <c r="F52" s="206"/>
      <c r="G52" s="81"/>
      <c r="H52" s="81"/>
      <c r="I52" s="81"/>
      <c r="J52" s="81"/>
    </row>
    <row r="53" spans="2:10" x14ac:dyDescent="0.3">
      <c r="B53" s="197">
        <v>44927</v>
      </c>
      <c r="C53" s="205">
        <v>3.4</v>
      </c>
      <c r="D53" s="35"/>
      <c r="E53" s="204" t="s">
        <v>1904</v>
      </c>
      <c r="F53" s="206"/>
      <c r="G53" s="81"/>
      <c r="H53" s="81"/>
      <c r="I53" s="81"/>
      <c r="J53" s="81"/>
    </row>
    <row r="54" spans="2:10" x14ac:dyDescent="0.3">
      <c r="B54" s="197">
        <v>44958</v>
      </c>
      <c r="C54" s="205">
        <v>3.6</v>
      </c>
      <c r="D54" s="81"/>
      <c r="E54" s="203" t="s">
        <v>1909</v>
      </c>
      <c r="F54" s="206"/>
      <c r="G54" s="81"/>
      <c r="H54" s="81"/>
      <c r="I54" s="81"/>
      <c r="J54" s="81"/>
    </row>
    <row r="55" spans="2:10" x14ac:dyDescent="0.3">
      <c r="B55" s="197">
        <v>44986</v>
      </c>
      <c r="C55" s="205">
        <v>3.5</v>
      </c>
      <c r="D55" s="81"/>
      <c r="E55" s="204" t="s">
        <v>1901</v>
      </c>
      <c r="F55" s="206"/>
      <c r="G55" s="81"/>
      <c r="H55" s="81"/>
      <c r="I55" s="81"/>
      <c r="J55" s="81"/>
    </row>
    <row r="56" spans="2:10" x14ac:dyDescent="0.3">
      <c r="B56" s="197">
        <v>45017</v>
      </c>
      <c r="C56" s="205"/>
      <c r="D56" s="81"/>
      <c r="E56" s="204" t="s">
        <v>1902</v>
      </c>
      <c r="F56" s="206"/>
      <c r="G56" s="81"/>
      <c r="H56" s="81"/>
      <c r="I56" s="81"/>
      <c r="J56" s="81"/>
    </row>
    <row r="57" spans="2:10" x14ac:dyDescent="0.3">
      <c r="B57" s="197">
        <v>45047</v>
      </c>
      <c r="C57" s="205"/>
      <c r="D57" s="81"/>
      <c r="E57" s="204" t="s">
        <v>1903</v>
      </c>
      <c r="F57" s="206"/>
      <c r="G57" s="81"/>
      <c r="H57" s="81"/>
      <c r="I57" s="81"/>
      <c r="J57" s="81"/>
    </row>
    <row r="58" spans="2:10" x14ac:dyDescent="0.3">
      <c r="B58" s="197">
        <v>45078</v>
      </c>
      <c r="C58" s="205"/>
      <c r="D58" s="81"/>
      <c r="E58" s="204" t="s">
        <v>1904</v>
      </c>
      <c r="F58" s="206"/>
      <c r="G58" s="81"/>
      <c r="H58" s="81"/>
      <c r="I58" s="81"/>
      <c r="J58" s="81"/>
    </row>
    <row r="59" spans="2:10" x14ac:dyDescent="0.3">
      <c r="B59" s="197">
        <v>45108</v>
      </c>
      <c r="C59" s="205"/>
      <c r="D59" s="81"/>
      <c r="E59" s="81"/>
      <c r="F59" s="81"/>
      <c r="G59" s="81"/>
      <c r="H59" s="81"/>
      <c r="I59" s="81"/>
      <c r="J59" s="81"/>
    </row>
    <row r="60" spans="2:10" x14ac:dyDescent="0.3">
      <c r="B60" s="197">
        <v>45139</v>
      </c>
      <c r="C60" s="205"/>
      <c r="D60" s="81"/>
      <c r="E60" s="81"/>
      <c r="F60" s="81"/>
      <c r="G60" s="81"/>
      <c r="H60" s="81"/>
      <c r="I60" s="81"/>
      <c r="J60" s="81"/>
    </row>
    <row r="61" spans="2:10" x14ac:dyDescent="0.3">
      <c r="B61" s="197">
        <v>45170</v>
      </c>
      <c r="C61" s="205"/>
      <c r="D61" s="81"/>
      <c r="E61" s="81"/>
      <c r="F61" s="81"/>
      <c r="G61" s="81"/>
      <c r="H61" s="81"/>
      <c r="I61" s="81"/>
      <c r="J61" s="81"/>
    </row>
    <row r="62" spans="2:10" x14ac:dyDescent="0.3">
      <c r="B62" s="197">
        <v>45200</v>
      </c>
      <c r="C62" s="205"/>
      <c r="D62" s="81"/>
      <c r="E62" s="81"/>
      <c r="F62" s="81"/>
      <c r="G62" s="81"/>
      <c r="H62" s="81"/>
      <c r="I62" s="81"/>
      <c r="J62" s="81"/>
    </row>
    <row r="63" spans="2:10" x14ac:dyDescent="0.3">
      <c r="B63" s="197">
        <v>45231</v>
      </c>
      <c r="C63" s="205"/>
      <c r="D63" s="81"/>
      <c r="E63" s="81"/>
      <c r="F63" s="81"/>
      <c r="G63" s="81"/>
      <c r="H63" s="81"/>
      <c r="I63" s="81"/>
      <c r="J63" s="81"/>
    </row>
    <row r="64" spans="2:10" x14ac:dyDescent="0.3">
      <c r="B64" s="197">
        <v>45261</v>
      </c>
      <c r="C64" s="205"/>
      <c r="D64" s="81"/>
      <c r="E64" s="81"/>
      <c r="F64" s="81"/>
      <c r="G64" s="81"/>
      <c r="H64" s="81"/>
      <c r="I64" s="81"/>
      <c r="J64" s="81"/>
    </row>
    <row r="65" spans="2:10" x14ac:dyDescent="0.3">
      <c r="B65" s="197">
        <v>45292</v>
      </c>
      <c r="C65" s="205"/>
      <c r="D65" s="81"/>
      <c r="E65" s="81"/>
      <c r="F65" s="81"/>
      <c r="G65" s="81"/>
      <c r="H65" s="81"/>
      <c r="I65" s="81"/>
      <c r="J65" s="81"/>
    </row>
    <row r="66" spans="2:10" x14ac:dyDescent="0.3">
      <c r="B66" s="197">
        <v>45323</v>
      </c>
      <c r="C66" s="205"/>
      <c r="D66" s="81"/>
      <c r="E66" s="81"/>
      <c r="F66" s="81"/>
      <c r="G66" s="81"/>
      <c r="H66" s="81"/>
      <c r="I66" s="81"/>
      <c r="J66" s="81"/>
    </row>
    <row r="67" spans="2:10" x14ac:dyDescent="0.3">
      <c r="B67" s="197">
        <v>45352</v>
      </c>
      <c r="C67" s="205"/>
      <c r="D67" s="81"/>
      <c r="E67" s="81"/>
      <c r="F67" s="81"/>
      <c r="G67" s="81"/>
      <c r="H67" s="81"/>
      <c r="I67" s="81"/>
      <c r="J67" s="81"/>
    </row>
    <row r="68" spans="2:10" x14ac:dyDescent="0.3">
      <c r="B68" s="197">
        <v>45383</v>
      </c>
      <c r="C68" s="205"/>
      <c r="D68" s="81"/>
      <c r="E68" s="81"/>
      <c r="F68" s="81"/>
      <c r="G68" s="81"/>
      <c r="H68" s="81"/>
      <c r="I68" s="81"/>
      <c r="J68" s="81"/>
    </row>
    <row r="69" spans="2:10" x14ac:dyDescent="0.3">
      <c r="B69" s="197">
        <v>45413</v>
      </c>
      <c r="C69" s="205"/>
      <c r="D69" s="81"/>
      <c r="E69" s="81"/>
      <c r="F69" s="81"/>
      <c r="G69" s="81"/>
      <c r="H69" s="81"/>
      <c r="I69" s="81"/>
      <c r="J69" s="81"/>
    </row>
    <row r="70" spans="2:10" x14ac:dyDescent="0.3">
      <c r="B70" s="197">
        <v>45444</v>
      </c>
      <c r="C70" s="205"/>
      <c r="D70" s="81"/>
      <c r="E70" s="81"/>
      <c r="F70" s="81"/>
      <c r="G70" s="81"/>
      <c r="H70" s="81"/>
      <c r="I70" s="81"/>
      <c r="J70" s="81"/>
    </row>
    <row r="71" spans="2:10" x14ac:dyDescent="0.3">
      <c r="B71" s="197">
        <v>45474</v>
      </c>
      <c r="C71" s="205"/>
      <c r="D71" s="81"/>
      <c r="E71" s="81"/>
      <c r="F71" s="81"/>
      <c r="G71" s="81"/>
      <c r="H71" s="81"/>
      <c r="I71" s="81"/>
      <c r="J71" s="81"/>
    </row>
    <row r="72" spans="2:10" x14ac:dyDescent="0.3">
      <c r="B72" s="197">
        <v>45505</v>
      </c>
      <c r="C72" s="205"/>
      <c r="D72" s="81"/>
      <c r="E72" s="81"/>
      <c r="F72" s="81"/>
      <c r="G72" s="81"/>
      <c r="H72" s="81"/>
      <c r="I72" s="81"/>
      <c r="J72" s="81"/>
    </row>
    <row r="73" spans="2:10" x14ac:dyDescent="0.3">
      <c r="B73" s="197">
        <v>45536</v>
      </c>
      <c r="C73" s="205"/>
      <c r="D73" s="81"/>
      <c r="E73" s="81"/>
      <c r="F73" s="81"/>
      <c r="G73" s="81"/>
      <c r="H73" s="81"/>
      <c r="I73" s="81"/>
      <c r="J73" s="81"/>
    </row>
    <row r="74" spans="2:10" x14ac:dyDescent="0.3">
      <c r="B74" s="197">
        <v>45566</v>
      </c>
      <c r="C74" s="205"/>
      <c r="D74" s="81"/>
      <c r="E74" s="81"/>
      <c r="F74" s="81"/>
      <c r="G74" s="81"/>
      <c r="H74" s="81"/>
      <c r="I74" s="81"/>
      <c r="J74" s="81"/>
    </row>
    <row r="75" spans="2:10" x14ac:dyDescent="0.3">
      <c r="B75" s="197">
        <v>45597</v>
      </c>
      <c r="C75" s="205"/>
      <c r="D75" s="81"/>
      <c r="E75" s="81"/>
      <c r="F75" s="81"/>
      <c r="G75" s="81"/>
      <c r="H75" s="81"/>
      <c r="I75" s="81"/>
      <c r="J75" s="81"/>
    </row>
    <row r="76" spans="2:10" x14ac:dyDescent="0.3">
      <c r="B76" s="197">
        <v>45627</v>
      </c>
      <c r="C76" s="205"/>
      <c r="D76" s="81"/>
      <c r="E76" s="81"/>
      <c r="F76" s="81"/>
      <c r="G76" s="81"/>
      <c r="H76" s="81"/>
      <c r="I76" s="81"/>
      <c r="J76" s="81"/>
    </row>
    <row r="77" spans="2:10" x14ac:dyDescent="0.3">
      <c r="B77" s="197">
        <v>45658</v>
      </c>
      <c r="C77" s="205"/>
      <c r="D77" s="81"/>
      <c r="E77" s="81"/>
      <c r="F77" s="81"/>
      <c r="G77" s="81"/>
      <c r="H77" s="81"/>
      <c r="I77" s="81"/>
      <c r="J77" s="81"/>
    </row>
    <row r="78" spans="2:10" x14ac:dyDescent="0.3">
      <c r="B78" s="197">
        <v>45689</v>
      </c>
      <c r="C78" s="205"/>
      <c r="D78" s="81"/>
      <c r="E78" s="81"/>
      <c r="F78" s="81"/>
      <c r="G78" s="81"/>
      <c r="H78" s="81"/>
      <c r="I78" s="81"/>
      <c r="J78" s="81"/>
    </row>
    <row r="79" spans="2:10" x14ac:dyDescent="0.3">
      <c r="B79" s="197">
        <v>45717</v>
      </c>
      <c r="C79" s="205"/>
      <c r="D79" s="81"/>
      <c r="E79" s="81"/>
      <c r="F79" s="81"/>
      <c r="G79" s="81"/>
      <c r="H79" s="81"/>
      <c r="I79" s="81"/>
      <c r="J79" s="81"/>
    </row>
    <row r="80" spans="2:10" x14ac:dyDescent="0.3">
      <c r="B80" s="197">
        <v>45748</v>
      </c>
      <c r="C80" s="205"/>
      <c r="D80" s="81"/>
      <c r="E80" s="81"/>
      <c r="F80" s="81"/>
      <c r="G80" s="81"/>
      <c r="H80" s="81"/>
      <c r="I80" s="81"/>
      <c r="J80" s="81"/>
    </row>
    <row r="81" spans="2:10" x14ac:dyDescent="0.3">
      <c r="B81" s="197">
        <v>45778</v>
      </c>
      <c r="C81" s="205"/>
      <c r="D81" s="81"/>
      <c r="E81" s="81"/>
      <c r="F81" s="81"/>
      <c r="G81" s="81"/>
      <c r="H81" s="81"/>
      <c r="I81" s="81"/>
      <c r="J81" s="81"/>
    </row>
    <row r="82" spans="2:10" x14ac:dyDescent="0.3">
      <c r="B82" s="197">
        <v>45809</v>
      </c>
      <c r="C82" s="205"/>
      <c r="D82" s="81"/>
      <c r="E82" s="81"/>
      <c r="F82" s="81"/>
      <c r="G82" s="81"/>
      <c r="H82" s="81"/>
      <c r="I82" s="81"/>
      <c r="J82" s="81"/>
    </row>
    <row r="83" spans="2:10" x14ac:dyDescent="0.3">
      <c r="B83" s="197">
        <v>45839</v>
      </c>
      <c r="C83" s="205"/>
      <c r="D83" s="81"/>
      <c r="E83" s="81"/>
      <c r="F83" s="81"/>
      <c r="G83" s="81"/>
      <c r="H83" s="81"/>
      <c r="I83" s="81"/>
      <c r="J83" s="81"/>
    </row>
    <row r="84" spans="2:10" x14ac:dyDescent="0.3">
      <c r="B84" s="197">
        <v>45870</v>
      </c>
      <c r="C84" s="205"/>
      <c r="D84" s="81"/>
      <c r="E84" s="81"/>
      <c r="F84" s="81"/>
      <c r="G84" s="81"/>
      <c r="H84" s="81"/>
      <c r="I84" s="81"/>
      <c r="J84" s="81"/>
    </row>
    <row r="85" spans="2:10" x14ac:dyDescent="0.3">
      <c r="B85" s="197">
        <v>45901</v>
      </c>
      <c r="C85" s="205"/>
      <c r="D85" s="81"/>
      <c r="E85" s="81"/>
      <c r="F85" s="81"/>
      <c r="G85" s="81"/>
      <c r="H85" s="81"/>
      <c r="I85" s="81"/>
      <c r="J85" s="81"/>
    </row>
    <row r="86" spans="2:10" x14ac:dyDescent="0.3">
      <c r="B86" s="197">
        <v>45931</v>
      </c>
      <c r="C86" s="205"/>
      <c r="D86" s="81"/>
      <c r="E86" s="81"/>
      <c r="F86" s="81"/>
      <c r="G86" s="81"/>
      <c r="H86" s="81"/>
      <c r="I86" s="81"/>
      <c r="J86" s="81"/>
    </row>
    <row r="87" spans="2:10" x14ac:dyDescent="0.3">
      <c r="B87" s="197">
        <v>45962</v>
      </c>
      <c r="C87" s="205"/>
      <c r="D87" s="81"/>
      <c r="E87" s="81"/>
      <c r="F87" s="81"/>
      <c r="G87" s="81"/>
      <c r="H87" s="81"/>
      <c r="I87" s="81"/>
      <c r="J87" s="81"/>
    </row>
    <row r="88" spans="2:10" x14ac:dyDescent="0.3">
      <c r="B88" s="197">
        <v>45992</v>
      </c>
      <c r="C88" s="205"/>
      <c r="D88" s="81"/>
      <c r="E88" s="81"/>
      <c r="F88" s="81"/>
      <c r="G88" s="81"/>
      <c r="H88" s="81"/>
      <c r="I88" s="81"/>
      <c r="J88" s="81"/>
    </row>
    <row r="89" spans="2:10" x14ac:dyDescent="0.3">
      <c r="B89" s="197">
        <v>46023</v>
      </c>
      <c r="C89" s="205"/>
      <c r="D89" s="81"/>
      <c r="E89" s="81"/>
      <c r="F89" s="81"/>
      <c r="G89" s="81"/>
      <c r="H89" s="81"/>
      <c r="I89" s="81"/>
      <c r="J89" s="81"/>
    </row>
    <row r="90" spans="2:10" x14ac:dyDescent="0.3">
      <c r="B90" s="197">
        <v>46054</v>
      </c>
      <c r="C90" s="205"/>
      <c r="D90" s="81"/>
      <c r="E90" s="81"/>
      <c r="F90" s="81"/>
      <c r="G90" s="81"/>
      <c r="H90" s="81"/>
      <c r="I90" s="81"/>
      <c r="J90" s="81"/>
    </row>
    <row r="91" spans="2:10" x14ac:dyDescent="0.3">
      <c r="B91" s="197">
        <v>46082</v>
      </c>
      <c r="C91" s="205"/>
      <c r="D91" s="81"/>
      <c r="E91" s="81"/>
      <c r="F91" s="81"/>
      <c r="G91" s="81"/>
      <c r="H91" s="81"/>
      <c r="I91" s="81"/>
      <c r="J91" s="81"/>
    </row>
    <row r="92" spans="2:10" x14ac:dyDescent="0.3">
      <c r="B92" s="197">
        <v>46113</v>
      </c>
      <c r="C92" s="205"/>
      <c r="D92" s="81"/>
      <c r="E92" s="81"/>
      <c r="F92" s="81"/>
      <c r="G92" s="81"/>
      <c r="H92" s="81"/>
      <c r="I92" s="81"/>
      <c r="J92" s="81"/>
    </row>
    <row r="93" spans="2:10" x14ac:dyDescent="0.3">
      <c r="B93" s="197">
        <v>46143</v>
      </c>
      <c r="C93" s="205"/>
      <c r="D93" s="81"/>
      <c r="E93" s="81"/>
      <c r="F93" s="81"/>
      <c r="G93" s="81"/>
      <c r="H93" s="81"/>
      <c r="I93" s="81"/>
      <c r="J93" s="81"/>
    </row>
    <row r="94" spans="2:10" x14ac:dyDescent="0.3">
      <c r="B94" s="197">
        <v>46174</v>
      </c>
      <c r="C94" s="205"/>
      <c r="D94" s="81"/>
      <c r="E94" s="81"/>
      <c r="F94" s="81"/>
      <c r="G94" s="81"/>
      <c r="H94" s="81"/>
      <c r="I94" s="81"/>
      <c r="J94" s="81"/>
    </row>
    <row r="95" spans="2:10" x14ac:dyDescent="0.3">
      <c r="B95" s="197">
        <v>46204</v>
      </c>
      <c r="C95" s="205"/>
      <c r="D95" s="81"/>
      <c r="E95" s="81"/>
      <c r="F95" s="81"/>
      <c r="G95" s="81"/>
      <c r="H95" s="81"/>
      <c r="I95" s="81"/>
      <c r="J95" s="81"/>
    </row>
    <row r="96" spans="2:10" x14ac:dyDescent="0.3">
      <c r="B96" s="197">
        <v>46235</v>
      </c>
      <c r="C96" s="205"/>
      <c r="D96" s="81"/>
      <c r="E96" s="81"/>
      <c r="F96" s="81"/>
      <c r="G96" s="81"/>
      <c r="H96" s="81"/>
      <c r="I96" s="81"/>
      <c r="J96" s="81"/>
    </row>
    <row r="97" spans="2:10" x14ac:dyDescent="0.3">
      <c r="B97" s="197">
        <v>46266</v>
      </c>
      <c r="C97" s="205"/>
      <c r="D97" s="81"/>
      <c r="E97" s="81"/>
      <c r="F97" s="81"/>
      <c r="G97" s="81"/>
      <c r="H97" s="81"/>
      <c r="I97" s="81"/>
      <c r="J97" s="81"/>
    </row>
    <row r="98" spans="2:10" x14ac:dyDescent="0.3">
      <c r="B98" s="197">
        <v>46296</v>
      </c>
      <c r="C98" s="205"/>
      <c r="D98" s="81"/>
      <c r="E98" s="81"/>
      <c r="F98" s="81"/>
      <c r="G98" s="81"/>
      <c r="H98" s="81"/>
      <c r="I98" s="81"/>
      <c r="J98" s="81"/>
    </row>
    <row r="99" spans="2:10" x14ac:dyDescent="0.3">
      <c r="B99" s="197">
        <v>46327</v>
      </c>
      <c r="C99" s="205"/>
      <c r="D99" s="81"/>
      <c r="E99" s="81"/>
      <c r="F99" s="81"/>
      <c r="G99" s="81"/>
      <c r="H99" s="81"/>
      <c r="I99" s="81"/>
      <c r="J99" s="81"/>
    </row>
    <row r="100" spans="2:10" x14ac:dyDescent="0.3">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C106" zoomScale="80" zoomScaleNormal="80" workbookViewId="0">
      <selection activeCell="AD132" sqref="AD132"/>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610" t="s">
        <v>192</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47"/>
      <c r="AA1" s="147"/>
      <c r="AB1" s="147"/>
      <c r="AC1" s="147"/>
      <c r="AD1" s="136"/>
      <c r="AE1" s="136"/>
    </row>
    <row r="2" spans="2:34" ht="14.25" customHeight="1" x14ac:dyDescent="0.3">
      <c r="B2" s="1611" t="s">
        <v>332</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c r="AD2" s="148"/>
      <c r="AE2" s="148"/>
    </row>
    <row r="3" spans="2:34" ht="50.85" customHeight="1"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c r="AD3" s="148"/>
      <c r="AE3" s="148"/>
    </row>
    <row r="4" spans="2:34" ht="5.25" customHeight="1"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c r="AD4" s="148"/>
      <c r="AE4" s="148"/>
    </row>
    <row r="5" spans="2:34" x14ac:dyDescent="0.3">
      <c r="B5" s="299" t="s">
        <v>333</v>
      </c>
    </row>
    <row r="6" spans="2:34" ht="14.85" customHeight="1" x14ac:dyDescent="0.3">
      <c r="B6" s="1629" t="s">
        <v>334</v>
      </c>
      <c r="C6" s="1630"/>
      <c r="D6" s="1631" t="s">
        <v>280</v>
      </c>
      <c r="E6" s="1632"/>
      <c r="F6" s="1632"/>
      <c r="G6" s="1632"/>
      <c r="H6" s="1632"/>
      <c r="I6" s="1632"/>
      <c r="J6" s="1632"/>
      <c r="K6" s="1632"/>
      <c r="L6" s="1632"/>
      <c r="M6" s="1632"/>
      <c r="N6" s="1632"/>
      <c r="O6" s="1632"/>
      <c r="P6" s="1632"/>
      <c r="Q6" s="1632"/>
      <c r="R6" s="1632"/>
      <c r="S6" s="1632"/>
      <c r="T6" s="1626"/>
      <c r="U6" s="1246"/>
      <c r="V6" s="1627" t="s">
        <v>281</v>
      </c>
      <c r="W6" s="1605"/>
      <c r="X6" s="1605"/>
      <c r="Y6" s="1605"/>
      <c r="Z6" s="1605"/>
      <c r="AA6" s="1605"/>
      <c r="AB6" s="1605"/>
      <c r="AC6" s="1606"/>
      <c r="AD6" s="1643" t="s">
        <v>335</v>
      </c>
      <c r="AE6" s="1646" t="s">
        <v>336</v>
      </c>
    </row>
    <row r="7" spans="2:34" ht="24" customHeight="1" x14ac:dyDescent="0.3">
      <c r="B7" s="1617"/>
      <c r="C7" s="1618"/>
      <c r="D7" s="118">
        <v>2018</v>
      </c>
      <c r="E7" s="1612">
        <v>2019</v>
      </c>
      <c r="F7" s="1642"/>
      <c r="G7" s="1642"/>
      <c r="H7" s="1614"/>
      <c r="I7" s="1612">
        <v>2020</v>
      </c>
      <c r="J7" s="1642"/>
      <c r="K7" s="1642"/>
      <c r="L7" s="1642"/>
      <c r="M7" s="1612">
        <v>2021</v>
      </c>
      <c r="N7" s="1642"/>
      <c r="O7" s="1642"/>
      <c r="P7" s="1642"/>
      <c r="Q7" s="1600">
        <v>2022</v>
      </c>
      <c r="R7" s="1601"/>
      <c r="S7" s="1601"/>
      <c r="T7" s="1637"/>
      <c r="U7" s="1242"/>
      <c r="V7" s="1243">
        <v>2023</v>
      </c>
      <c r="W7" s="1243"/>
      <c r="X7" s="1244"/>
      <c r="Y7" s="1609">
        <v>2024</v>
      </c>
      <c r="Z7" s="1607"/>
      <c r="AA7" s="1607"/>
      <c r="AB7" s="1608"/>
      <c r="AC7" s="178">
        <v>2025</v>
      </c>
      <c r="AD7" s="1644"/>
      <c r="AE7" s="1647"/>
    </row>
    <row r="8" spans="2:34" ht="14.25" customHeight="1" x14ac:dyDescent="0.3">
      <c r="B8" s="1619"/>
      <c r="C8" s="1620"/>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40" t="s">
        <v>283</v>
      </c>
      <c r="V8" s="190" t="s">
        <v>284</v>
      </c>
      <c r="W8" s="190" t="s">
        <v>238</v>
      </c>
      <c r="X8" s="191" t="s">
        <v>282</v>
      </c>
      <c r="Y8" s="189" t="s">
        <v>283</v>
      </c>
      <c r="Z8" s="186" t="s">
        <v>284</v>
      </c>
      <c r="AA8" s="190" t="s">
        <v>238</v>
      </c>
      <c r="AB8" s="190" t="s">
        <v>282</v>
      </c>
      <c r="AC8" s="192" t="s">
        <v>283</v>
      </c>
      <c r="AD8" s="1645"/>
      <c r="AE8" s="1648"/>
    </row>
    <row r="9" spans="2:34" ht="23.85" customHeight="1" x14ac:dyDescent="0.3">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292">
        <f>'Haver Pivoted'!HE32</f>
        <v>953.3</v>
      </c>
      <c r="U9" s="1103">
        <f>'Haver Pivoted'!HF32</f>
        <v>980.5</v>
      </c>
      <c r="V9" s="228">
        <f t="shared" ref="V9:AC9" si="0">V10+V11</f>
        <v>1017.6661089246602</v>
      </c>
      <c r="W9" s="228">
        <f t="shared" si="0"/>
        <v>1010.1603751277091</v>
      </c>
      <c r="X9" s="228">
        <f t="shared" si="0"/>
        <v>979.65171920091257</v>
      </c>
      <c r="Y9" s="228">
        <f t="shared" si="0"/>
        <v>949.98156287240681</v>
      </c>
      <c r="Z9" s="228">
        <f t="shared" si="0"/>
        <v>926.44619993907554</v>
      </c>
      <c r="AA9" s="228">
        <f t="shared" si="0"/>
        <v>922.04454040624285</v>
      </c>
      <c r="AB9" s="228">
        <f t="shared" si="0"/>
        <v>900.17929560536959</v>
      </c>
      <c r="AC9" s="227">
        <f t="shared" si="0"/>
        <v>896.09161352968886</v>
      </c>
      <c r="AD9" s="285"/>
      <c r="AE9" s="332"/>
    </row>
    <row r="10" spans="2:34" ht="27.6" customHeight="1" x14ac:dyDescent="0.3">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293">
        <f>'Haver Pivoted'!HE40</f>
        <v>604.82500000000005</v>
      </c>
      <c r="U10" s="262">
        <f>'Haver Pivoted'!HF40</f>
        <v>627.72799999999995</v>
      </c>
      <c r="V10" s="267">
        <f>Medicaid!V28</f>
        <v>600.94087022445149</v>
      </c>
      <c r="W10" s="267">
        <f>Medicaid!W28</f>
        <v>590.38143529167962</v>
      </c>
      <c r="X10" s="267">
        <f>Medicaid!X28</f>
        <v>582.0469888702919</v>
      </c>
      <c r="Y10" s="267">
        <f>Medicaid!Y28</f>
        <v>574.26265620574009</v>
      </c>
      <c r="Z10" s="267">
        <f>Medicaid!Z28</f>
        <v>566.58243169085847</v>
      </c>
      <c r="AA10" s="267">
        <f>Medicaid!AA28</f>
        <v>559.00492297677215</v>
      </c>
      <c r="AB10" s="267">
        <f>Medicaid!AB28</f>
        <v>547.80853606152414</v>
      </c>
      <c r="AC10" s="327">
        <f>Medicaid!AC28</f>
        <v>540.48211059635548</v>
      </c>
      <c r="AD10" s="246"/>
      <c r="AE10" s="312"/>
    </row>
    <row r="11" spans="2:34" ht="17.25" customHeight="1" x14ac:dyDescent="0.3">
      <c r="B11" s="1306"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293">
        <f t="shared" si="3"/>
        <v>348.47499999999991</v>
      </c>
      <c r="U11" s="262">
        <f>U9-U10</f>
        <v>352.77200000000005</v>
      </c>
      <c r="V11" s="267">
        <f t="shared" ref="V11:AC11" si="4">SUM(V12:V20)</f>
        <v>416.72523870020871</v>
      </c>
      <c r="W11" s="267">
        <f t="shared" si="4"/>
        <v>419.77893983602951</v>
      </c>
      <c r="X11" s="267">
        <f t="shared" si="4"/>
        <v>397.60473033062061</v>
      </c>
      <c r="Y11" s="267">
        <f t="shared" si="4"/>
        <v>375.71890666666673</v>
      </c>
      <c r="Z11" s="267">
        <f t="shared" si="4"/>
        <v>359.86376824821707</v>
      </c>
      <c r="AA11" s="267">
        <f t="shared" si="4"/>
        <v>363.0396174294707</v>
      </c>
      <c r="AB11" s="267">
        <f t="shared" si="4"/>
        <v>352.37075954384545</v>
      </c>
      <c r="AC11" s="327">
        <f t="shared" si="4"/>
        <v>355.60950293333343</v>
      </c>
      <c r="AD11" s="246"/>
      <c r="AE11" s="312"/>
    </row>
    <row r="12" spans="2:34" ht="16.350000000000001" customHeight="1" x14ac:dyDescent="0.3">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294">
        <v>0</v>
      </c>
      <c r="U12" s="1305">
        <v>0</v>
      </c>
      <c r="V12" s="267">
        <v>0</v>
      </c>
      <c r="W12" s="267">
        <v>0</v>
      </c>
      <c r="X12" s="267">
        <v>0</v>
      </c>
      <c r="Y12" s="267">
        <v>0</v>
      </c>
      <c r="Z12" s="267">
        <v>0</v>
      </c>
      <c r="AA12" s="267">
        <v>0</v>
      </c>
      <c r="AB12" s="267">
        <v>0</v>
      </c>
      <c r="AC12" s="327">
        <v>0</v>
      </c>
      <c r="AD12" s="246">
        <f>SUM(I12:Y12)/4</f>
        <v>149.47499999999999</v>
      </c>
      <c r="AE12" s="312">
        <f>AD59</f>
        <v>150</v>
      </c>
    </row>
    <row r="13" spans="2:34" x14ac:dyDescent="0.3">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293">
        <f>'Haver Pivoted'!HE57</f>
        <v>64</v>
      </c>
      <c r="U13" s="1293">
        <f>'Haver Pivoted'!HF57</f>
        <v>0</v>
      </c>
      <c r="V13" s="1106">
        <f t="shared" ref="V13:AC13" si="5">V60+V64+V70</f>
        <v>60.929333333333297</v>
      </c>
      <c r="W13" s="1106">
        <f t="shared" si="5"/>
        <v>60.929333333333297</v>
      </c>
      <c r="X13" s="1106">
        <f t="shared" si="5"/>
        <v>54.244333333333302</v>
      </c>
      <c r="Y13" s="1106">
        <f t="shared" si="5"/>
        <v>50.911000000000001</v>
      </c>
      <c r="Z13" s="1106">
        <f t="shared" si="5"/>
        <v>31.911000000000001</v>
      </c>
      <c r="AA13" s="1106">
        <f t="shared" si="5"/>
        <v>31.911000000000001</v>
      </c>
      <c r="AB13" s="1106">
        <f t="shared" si="5"/>
        <v>23.099</v>
      </c>
      <c r="AC13" s="1107">
        <f t="shared" si="5"/>
        <v>23.099</v>
      </c>
      <c r="AD13" s="246">
        <f t="shared" ref="AD13:AD19" si="6">SUM(I13:Y13)/4</f>
        <v>210.35349999999994</v>
      </c>
      <c r="AE13" s="312">
        <f>AD60+AD64+AD70</f>
        <v>225.76349999999994</v>
      </c>
      <c r="AF13" s="56">
        <f>SUM(J13:R13)/4</f>
        <v>120.52500000000001</v>
      </c>
    </row>
    <row r="14" spans="2:34" x14ac:dyDescent="0.3">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293">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294">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35" customHeight="1" x14ac:dyDescent="0.3">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294">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294">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
      <c r="B18" s="320" t="s">
        <v>786</v>
      </c>
      <c r="C18" s="49"/>
      <c r="D18" s="231"/>
      <c r="E18" s="49"/>
      <c r="F18" s="49"/>
      <c r="G18" s="49"/>
      <c r="H18" s="68"/>
      <c r="I18" s="68"/>
      <c r="J18" s="68"/>
      <c r="K18" s="68"/>
      <c r="L18" s="68"/>
      <c r="M18" s="68"/>
      <c r="N18" s="50">
        <v>-40</v>
      </c>
      <c r="O18" s="50">
        <v>-40</v>
      </c>
      <c r="P18" s="50">
        <f>-51</f>
        <v>-51</v>
      </c>
      <c r="Q18" s="50">
        <f>-51</f>
        <v>-51</v>
      </c>
      <c r="R18" s="50">
        <v>-51</v>
      </c>
      <c r="S18" s="50">
        <f>-51</f>
        <v>-51</v>
      </c>
      <c r="T18" s="1294">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293">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306.88933333333341</v>
      </c>
      <c r="V20" s="186">
        <f t="shared" ref="V20:AC20" si="13">U20*(1.04)^0.25</f>
        <v>309.91323870020875</v>
      </c>
      <c r="W20" s="186">
        <f t="shared" si="13"/>
        <v>312.96693983602955</v>
      </c>
      <c r="X20" s="186">
        <f t="shared" si="13"/>
        <v>316.05073033062064</v>
      </c>
      <c r="Y20" s="186">
        <f t="shared" si="13"/>
        <v>319.16490666666675</v>
      </c>
      <c r="Z20" s="186">
        <f t="shared" si="13"/>
        <v>322.3097682482171</v>
      </c>
      <c r="AA20" s="186">
        <f t="shared" si="13"/>
        <v>325.48561742947072</v>
      </c>
      <c r="AB20" s="186">
        <f t="shared" si="13"/>
        <v>328.69275954384545</v>
      </c>
      <c r="AC20" s="344">
        <f t="shared" si="13"/>
        <v>331.93150293333343</v>
      </c>
      <c r="AD20" s="318"/>
      <c r="AE20" s="314"/>
      <c r="AF20" s="271" t="s">
        <v>351</v>
      </c>
      <c r="AG20" s="271"/>
      <c r="AH20" s="271"/>
    </row>
    <row r="21" spans="1:34" ht="15.75" customHeight="1" x14ac:dyDescent="0.3">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
      <c r="A22" s="10"/>
      <c r="B22" s="1102" t="s">
        <v>337</v>
      </c>
      <c r="C22" s="329" t="s">
        <v>338</v>
      </c>
      <c r="D22" s="49"/>
      <c r="E22" s="49"/>
      <c r="F22" s="49"/>
      <c r="G22" s="49"/>
      <c r="H22" s="49"/>
      <c r="I22" s="49"/>
      <c r="J22" s="49"/>
      <c r="K22" s="49"/>
      <c r="L22" s="49"/>
      <c r="M22" s="49"/>
      <c r="N22" s="49"/>
      <c r="O22" s="283"/>
      <c r="P22" s="49"/>
      <c r="Q22" s="164"/>
      <c r="R22" s="164"/>
      <c r="S22" s="164"/>
      <c r="T22" s="1103">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104">
        <v>809.47000098687454</v>
      </c>
      <c r="AD22" s="164">
        <f>SUM(U12:U19)</f>
        <v>45.882666666666665</v>
      </c>
      <c r="AE22" s="277">
        <f>U11-AD22</f>
        <v>306.88933333333341</v>
      </c>
      <c r="AF22" s="271"/>
      <c r="AG22" s="271"/>
      <c r="AH22" s="271"/>
    </row>
    <row r="23" spans="1:34" ht="15.75" customHeight="1" x14ac:dyDescent="0.3">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
      <c r="A24" s="10"/>
      <c r="B24" s="1098"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60.92933333333329</v>
      </c>
      <c r="AE24" s="277"/>
      <c r="AF24" s="271"/>
      <c r="AG24" s="271"/>
      <c r="AH24" s="271"/>
    </row>
    <row r="25" spans="1:34" ht="15.75" customHeight="1" x14ac:dyDescent="0.3">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
      <c r="A26" s="10"/>
      <c r="B26" s="240" t="s">
        <v>150</v>
      </c>
      <c r="C26" s="52" t="s">
        <v>342</v>
      </c>
      <c r="D26" s="49"/>
      <c r="E26" s="49"/>
      <c r="F26" s="49"/>
      <c r="G26" s="49"/>
      <c r="H26" s="49"/>
      <c r="I26" s="49"/>
      <c r="J26" s="49"/>
      <c r="K26" s="49"/>
      <c r="L26" s="49"/>
      <c r="M26" s="49"/>
      <c r="N26" s="49"/>
      <c r="O26" s="283"/>
      <c r="P26" s="49"/>
      <c r="Q26" s="164"/>
      <c r="R26" s="164"/>
      <c r="S26" s="164"/>
      <c r="T26" s="262">
        <v>64</v>
      </c>
      <c r="U26" s="1106">
        <v>60.929333333333297</v>
      </c>
      <c r="V26" s="1106">
        <v>60.929333333333297</v>
      </c>
      <c r="W26" s="1106">
        <v>60.929333333333297</v>
      </c>
      <c r="X26" s="1106">
        <v>54.244333333333302</v>
      </c>
      <c r="Y26" s="1106">
        <v>50.911000000000001</v>
      </c>
      <c r="Z26" s="1106">
        <v>31.911000000000001</v>
      </c>
      <c r="AA26" s="1106">
        <v>31.911000000000001</v>
      </c>
      <c r="AB26" s="1106">
        <v>23.099</v>
      </c>
      <c r="AC26" s="1107">
        <v>23.099</v>
      </c>
      <c r="AD26" s="164"/>
      <c r="AE26" s="277"/>
      <c r="AF26" s="271"/>
      <c r="AG26" s="271"/>
      <c r="AH26" s="271"/>
    </row>
    <row r="27" spans="1:34" ht="15.75" customHeight="1" x14ac:dyDescent="0.3">
      <c r="A27" s="10"/>
      <c r="B27" s="240" t="s">
        <v>152</v>
      </c>
      <c r="C27" s="49" t="s">
        <v>307</v>
      </c>
      <c r="D27" s="49"/>
      <c r="E27" s="1657" t="s">
        <v>2240</v>
      </c>
      <c r="F27" s="1657"/>
      <c r="G27" s="1657"/>
      <c r="H27" s="1657"/>
      <c r="I27" s="1657"/>
      <c r="J27" s="1657"/>
      <c r="K27" s="1657"/>
      <c r="L27" s="1657"/>
      <c r="M27" s="1657"/>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
      <c r="A28" s="10"/>
      <c r="B28" s="240" t="s">
        <v>343</v>
      </c>
      <c r="C28" s="49"/>
      <c r="D28" s="49"/>
      <c r="E28" s="1657"/>
      <c r="F28" s="1657"/>
      <c r="G28" s="1657"/>
      <c r="H28" s="1657"/>
      <c r="I28" s="1657"/>
      <c r="J28" s="1657"/>
      <c r="K28" s="1657"/>
      <c r="L28" s="1657"/>
      <c r="M28" s="1657"/>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
      <c r="A29" s="10"/>
      <c r="B29" s="240" t="s">
        <v>345</v>
      </c>
      <c r="C29" s="49"/>
      <c r="D29" s="49"/>
      <c r="E29" s="1657"/>
      <c r="F29" s="1657"/>
      <c r="G29" s="1657"/>
      <c r="H29" s="1657"/>
      <c r="I29" s="1657"/>
      <c r="J29" s="1657"/>
      <c r="K29" s="1657"/>
      <c r="L29" s="1657"/>
      <c r="M29" s="1657"/>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
      <c r="A30" s="10"/>
      <c r="B30" s="240" t="s">
        <v>347</v>
      </c>
      <c r="C30" s="49"/>
      <c r="D30" s="49"/>
      <c r="E30" s="1657"/>
      <c r="F30" s="1657"/>
      <c r="G30" s="1657"/>
      <c r="H30" s="1657"/>
      <c r="I30" s="1657"/>
      <c r="J30" s="1657"/>
      <c r="K30" s="1657"/>
      <c r="L30" s="1657"/>
      <c r="M30" s="1657"/>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
      <c r="A31" s="10"/>
      <c r="B31" s="320" t="s">
        <v>786</v>
      </c>
      <c r="C31" s="49"/>
      <c r="D31" s="49"/>
      <c r="E31" s="1657"/>
      <c r="F31" s="1657"/>
      <c r="G31" s="1657"/>
      <c r="H31" s="1657"/>
      <c r="I31" s="1657"/>
      <c r="J31" s="1657"/>
      <c r="K31" s="1657"/>
      <c r="L31" s="1657"/>
      <c r="M31" s="1657"/>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
      <c r="A32" s="10"/>
      <c r="B32" s="240" t="s">
        <v>348</v>
      </c>
      <c r="C32" s="52" t="s">
        <v>349</v>
      </c>
      <c r="D32" s="49"/>
      <c r="E32" s="1657"/>
      <c r="F32" s="1657"/>
      <c r="G32" s="1657"/>
      <c r="H32" s="1657"/>
      <c r="I32" s="1657"/>
      <c r="J32" s="1657"/>
      <c r="K32" s="1657"/>
      <c r="L32" s="1657"/>
      <c r="M32" s="1657"/>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
      <c r="A34" s="10"/>
      <c r="B34" s="1153"/>
      <c r="C34" s="1154"/>
      <c r="D34" s="49"/>
      <c r="E34" s="49"/>
      <c r="F34" s="49"/>
      <c r="G34" s="49"/>
      <c r="H34" s="49"/>
      <c r="I34" s="49"/>
      <c r="J34" s="49"/>
      <c r="L34" s="49"/>
      <c r="N34" s="49"/>
      <c r="O34" s="283"/>
      <c r="P34" s="49"/>
      <c r="Q34" s="164"/>
      <c r="R34" s="164"/>
      <c r="S34" s="1303"/>
      <c r="T34" s="1304"/>
      <c r="U34" s="1184"/>
      <c r="V34" s="1184"/>
      <c r="W34" s="1184"/>
      <c r="X34" s="1184"/>
      <c r="Y34" s="1184"/>
      <c r="Z34" s="1184"/>
      <c r="AA34" s="1184"/>
      <c r="AB34" s="1184"/>
      <c r="AC34" s="1184"/>
      <c r="AD34" s="1303"/>
      <c r="AE34" s="277"/>
      <c r="AF34" s="271"/>
      <c r="AG34" s="271"/>
      <c r="AH34" s="271"/>
    </row>
    <row r="35" spans="1:34" ht="15.75" customHeight="1" x14ac:dyDescent="0.3">
      <c r="A35" s="10"/>
      <c r="C35" s="1154"/>
      <c r="D35" s="49"/>
      <c r="E35" s="49"/>
      <c r="F35" s="49"/>
      <c r="G35" s="49"/>
      <c r="H35" s="1157" t="s">
        <v>337</v>
      </c>
      <c r="I35" s="49"/>
      <c r="L35" s="49"/>
      <c r="N35" s="49"/>
      <c r="O35" s="283"/>
      <c r="P35" s="49"/>
      <c r="Q35" s="164"/>
      <c r="R35" s="164"/>
      <c r="S35" s="164"/>
      <c r="T35" s="1155">
        <f>T9-T22</f>
        <v>0</v>
      </c>
      <c r="U35" s="1155">
        <f t="shared" ref="U35:AC35" si="14">U9-U22</f>
        <v>31.21719841358572</v>
      </c>
      <c r="V35" s="1155">
        <f t="shared" si="14"/>
        <v>81.295436505805583</v>
      </c>
      <c r="W35" s="1155">
        <f t="shared" si="14"/>
        <v>90.657163396020565</v>
      </c>
      <c r="X35" s="1155">
        <f t="shared" si="14"/>
        <v>89.877521025355236</v>
      </c>
      <c r="Y35" s="1155">
        <f t="shared" si="14"/>
        <v>89.144564757219996</v>
      </c>
      <c r="Z35" s="1155">
        <f t="shared" si="14"/>
        <v>88.452463270582143</v>
      </c>
      <c r="AA35" s="1155">
        <f t="shared" si="14"/>
        <v>87.800681358987504</v>
      </c>
      <c r="AB35" s="1155">
        <f t="shared" si="14"/>
        <v>87.18602702337364</v>
      </c>
      <c r="AC35" s="1155">
        <f t="shared" si="14"/>
        <v>86.621612542814319</v>
      </c>
      <c r="AD35" s="164"/>
      <c r="AE35" s="277"/>
      <c r="AF35" s="271"/>
      <c r="AG35" s="271"/>
      <c r="AH35" s="271"/>
    </row>
    <row r="36" spans="1:34" ht="15.75" customHeight="1" x14ac:dyDescent="0.3">
      <c r="A36" s="10"/>
      <c r="C36" s="1154"/>
      <c r="D36" s="49"/>
      <c r="E36" s="49"/>
      <c r="F36" s="49"/>
      <c r="G36" s="49"/>
      <c r="H36" s="697" t="s">
        <v>133</v>
      </c>
      <c r="I36" s="49"/>
      <c r="L36" s="49"/>
      <c r="N36" s="49"/>
      <c r="O36" s="283"/>
      <c r="P36" s="49"/>
      <c r="Q36" s="164"/>
      <c r="R36" s="164"/>
      <c r="S36" s="164"/>
      <c r="T36" s="1155">
        <f t="shared" ref="T36:AC46" si="15">T10-T23</f>
        <v>0</v>
      </c>
      <c r="U36" s="1155">
        <f t="shared" si="15"/>
        <v>19.939387886115696</v>
      </c>
      <c r="V36" s="1155">
        <f t="shared" si="15"/>
        <v>8.3768063008018316</v>
      </c>
      <c r="W36" s="1155">
        <f t="shared" si="15"/>
        <v>17.020036282612978</v>
      </c>
      <c r="X36" s="1155">
        <f t="shared" si="15"/>
        <v>15.514817361401015</v>
      </c>
      <c r="Y36" s="1155">
        <f t="shared" si="15"/>
        <v>14.049135141984493</v>
      </c>
      <c r="Z36" s="1155">
        <f t="shared" si="15"/>
        <v>12.617087857378237</v>
      </c>
      <c r="AA36" s="1155">
        <f t="shared" si="15"/>
        <v>11.218069161043672</v>
      </c>
      <c r="AB36" s="1155">
        <f t="shared" si="15"/>
        <v>9.848815212861382</v>
      </c>
      <c r="AC36" s="1155">
        <f t="shared" si="15"/>
        <v>8.5223657429693276</v>
      </c>
      <c r="AD36" s="164"/>
      <c r="AE36" s="277"/>
      <c r="AF36" s="271"/>
      <c r="AG36" s="271"/>
      <c r="AH36" s="271"/>
    </row>
    <row r="37" spans="1:34" ht="15.75" customHeight="1" x14ac:dyDescent="0.3">
      <c r="A37" s="10"/>
      <c r="C37" s="1154"/>
      <c r="D37" s="49"/>
      <c r="E37" s="49"/>
      <c r="F37" s="49"/>
      <c r="G37" s="49"/>
      <c r="H37" s="405" t="s">
        <v>340</v>
      </c>
      <c r="I37" s="49"/>
      <c r="L37" s="49"/>
      <c r="N37" s="49"/>
      <c r="O37" s="283"/>
      <c r="P37" s="49"/>
      <c r="Q37" s="164"/>
      <c r="R37" s="164"/>
      <c r="S37" s="164"/>
      <c r="T37" s="1155">
        <f t="shared" si="15"/>
        <v>0</v>
      </c>
      <c r="U37" s="1155">
        <f t="shared" si="15"/>
        <v>11.277810527470024</v>
      </c>
      <c r="V37" s="1155">
        <f t="shared" si="15"/>
        <v>72.918630205003751</v>
      </c>
      <c r="W37" s="1155">
        <f t="shared" si="15"/>
        <v>73.637127113407587</v>
      </c>
      <c r="X37" s="1155">
        <f t="shared" si="15"/>
        <v>74.362703663954107</v>
      </c>
      <c r="Y37" s="1155">
        <f t="shared" si="15"/>
        <v>75.095429615235503</v>
      </c>
      <c r="Z37" s="1155">
        <f t="shared" si="15"/>
        <v>75.835375413203906</v>
      </c>
      <c r="AA37" s="1155">
        <f t="shared" si="15"/>
        <v>76.582612197943831</v>
      </c>
      <c r="AB37" s="1155">
        <f t="shared" si="15"/>
        <v>77.337211810512258</v>
      </c>
      <c r="AC37" s="1155">
        <f t="shared" si="15"/>
        <v>78.099246799844991</v>
      </c>
      <c r="AD37" s="164"/>
      <c r="AE37" s="277"/>
      <c r="AF37" s="271"/>
      <c r="AG37" s="271"/>
      <c r="AH37" s="271"/>
    </row>
    <row r="38" spans="1:34" ht="15.75" customHeight="1" x14ac:dyDescent="0.3">
      <c r="A38" s="10"/>
      <c r="C38" s="1154"/>
      <c r="D38" s="49"/>
      <c r="E38" s="49"/>
      <c r="F38" s="49"/>
      <c r="G38" s="49"/>
      <c r="H38" s="1158" t="s">
        <v>149</v>
      </c>
      <c r="I38" s="49"/>
      <c r="L38" s="49"/>
      <c r="N38" s="49"/>
      <c r="O38" s="283"/>
      <c r="P38" s="49"/>
      <c r="Q38" s="164"/>
      <c r="R38" s="164"/>
      <c r="S38" s="164"/>
      <c r="T38" s="1155">
        <f t="shared" si="15"/>
        <v>0</v>
      </c>
      <c r="U38" s="1155">
        <f t="shared" si="15"/>
        <v>0</v>
      </c>
      <c r="V38" s="1155">
        <f t="shared" si="15"/>
        <v>0</v>
      </c>
      <c r="W38" s="1155">
        <f t="shared" si="15"/>
        <v>0</v>
      </c>
      <c r="X38" s="1155">
        <f t="shared" si="15"/>
        <v>0</v>
      </c>
      <c r="Y38" s="1155">
        <f t="shared" si="15"/>
        <v>0</v>
      </c>
      <c r="Z38" s="1155">
        <f t="shared" si="15"/>
        <v>0</v>
      </c>
      <c r="AA38" s="1155">
        <f t="shared" si="15"/>
        <v>0</v>
      </c>
      <c r="AB38" s="1155">
        <f t="shared" si="15"/>
        <v>0</v>
      </c>
      <c r="AC38" s="1155">
        <f t="shared" si="15"/>
        <v>0</v>
      </c>
      <c r="AD38" s="164"/>
      <c r="AE38" s="277"/>
      <c r="AF38" s="271"/>
      <c r="AG38" s="271"/>
      <c r="AH38" s="271"/>
    </row>
    <row r="39" spans="1:34" ht="15.75" customHeight="1" x14ac:dyDescent="0.3">
      <c r="A39" s="10"/>
      <c r="C39" s="1154"/>
      <c r="D39" s="49"/>
      <c r="E39" s="49"/>
      <c r="F39" s="49"/>
      <c r="G39" s="49"/>
      <c r="H39" s="1158" t="s">
        <v>150</v>
      </c>
      <c r="I39" s="49"/>
      <c r="L39" s="49"/>
      <c r="N39" s="49"/>
      <c r="O39" s="283"/>
      <c r="P39" s="49"/>
      <c r="Q39" s="164"/>
      <c r="R39" s="164"/>
      <c r="S39" s="164"/>
      <c r="T39" s="1155">
        <f t="shared" si="15"/>
        <v>0</v>
      </c>
      <c r="U39" s="1155">
        <f t="shared" si="15"/>
        <v>-60.929333333333297</v>
      </c>
      <c r="V39" s="1155">
        <f t="shared" si="15"/>
        <v>0</v>
      </c>
      <c r="W39" s="1155">
        <f t="shared" si="15"/>
        <v>0</v>
      </c>
      <c r="X39" s="1155">
        <f t="shared" si="15"/>
        <v>0</v>
      </c>
      <c r="Y39" s="1155">
        <f t="shared" si="15"/>
        <v>0</v>
      </c>
      <c r="Z39" s="1155">
        <f t="shared" si="15"/>
        <v>0</v>
      </c>
      <c r="AA39" s="1155">
        <f t="shared" si="15"/>
        <v>0</v>
      </c>
      <c r="AB39" s="1155">
        <f t="shared" si="15"/>
        <v>0</v>
      </c>
      <c r="AC39" s="1155">
        <f t="shared" si="15"/>
        <v>0</v>
      </c>
      <c r="AD39" s="164"/>
      <c r="AE39" s="277"/>
      <c r="AF39" s="271"/>
      <c r="AG39" s="271"/>
      <c r="AH39" s="271"/>
    </row>
    <row r="40" spans="1:34" ht="15.75" customHeight="1" x14ac:dyDescent="0.3">
      <c r="A40" s="10"/>
      <c r="C40" s="1154"/>
      <c r="D40" s="49"/>
      <c r="E40" s="49"/>
      <c r="F40" s="49"/>
      <c r="G40" s="49"/>
      <c r="H40" s="1158" t="s">
        <v>152</v>
      </c>
      <c r="I40" s="49"/>
      <c r="L40" s="49"/>
      <c r="N40" s="49"/>
      <c r="O40" s="283"/>
      <c r="P40" s="49"/>
      <c r="Q40" s="164"/>
      <c r="R40" s="164"/>
      <c r="S40" s="164"/>
      <c r="T40" s="1155">
        <f t="shared" si="15"/>
        <v>0</v>
      </c>
      <c r="U40" s="1155">
        <f t="shared" si="15"/>
        <v>0</v>
      </c>
      <c r="V40" s="1155">
        <f t="shared" si="15"/>
        <v>0</v>
      </c>
      <c r="W40" s="1155">
        <f t="shared" si="15"/>
        <v>0</v>
      </c>
      <c r="X40" s="1155">
        <f t="shared" si="15"/>
        <v>0</v>
      </c>
      <c r="Y40" s="1155">
        <f t="shared" si="15"/>
        <v>0</v>
      </c>
      <c r="Z40" s="1155">
        <f t="shared" si="15"/>
        <v>0</v>
      </c>
      <c r="AA40" s="1155">
        <f t="shared" si="15"/>
        <v>0</v>
      </c>
      <c r="AB40" s="1155">
        <f t="shared" si="15"/>
        <v>0</v>
      </c>
      <c r="AC40" s="1155">
        <f t="shared" si="15"/>
        <v>0</v>
      </c>
      <c r="AD40" s="164"/>
      <c r="AE40" s="277"/>
      <c r="AF40" s="271"/>
      <c r="AG40" s="271"/>
      <c r="AH40" s="271"/>
    </row>
    <row r="41" spans="1:34" ht="15.75" customHeight="1" x14ac:dyDescent="0.3">
      <c r="A41" s="10"/>
      <c r="C41" s="1154"/>
      <c r="D41" s="49"/>
      <c r="E41" s="49"/>
      <c r="F41" s="49"/>
      <c r="G41" s="49"/>
      <c r="H41" s="1158" t="s">
        <v>343</v>
      </c>
      <c r="I41" s="49"/>
      <c r="L41" s="49"/>
      <c r="N41" s="49"/>
      <c r="O41" s="283"/>
      <c r="P41" s="49"/>
      <c r="Q41" s="164"/>
      <c r="R41" s="164"/>
      <c r="S41" s="164"/>
      <c r="T41" s="1155">
        <f t="shared" si="15"/>
        <v>0</v>
      </c>
      <c r="U41" s="1155">
        <f t="shared" si="15"/>
        <v>0</v>
      </c>
      <c r="V41" s="1155">
        <f t="shared" si="15"/>
        <v>0</v>
      </c>
      <c r="W41" s="1155">
        <f t="shared" si="15"/>
        <v>0</v>
      </c>
      <c r="X41" s="1155">
        <f t="shared" si="15"/>
        <v>0</v>
      </c>
      <c r="Y41" s="1155">
        <f t="shared" si="15"/>
        <v>0</v>
      </c>
      <c r="Z41" s="1155">
        <f t="shared" si="15"/>
        <v>0</v>
      </c>
      <c r="AA41" s="1155">
        <f t="shared" si="15"/>
        <v>0</v>
      </c>
      <c r="AB41" s="1155">
        <f t="shared" si="15"/>
        <v>0</v>
      </c>
      <c r="AC41" s="1155">
        <f t="shared" si="15"/>
        <v>0</v>
      </c>
      <c r="AD41" s="164"/>
      <c r="AE41" s="277"/>
      <c r="AF41" s="271"/>
      <c r="AG41" s="271"/>
      <c r="AH41" s="271"/>
    </row>
    <row r="42" spans="1:34" ht="15.75" customHeight="1" x14ac:dyDescent="0.3">
      <c r="A42" s="10"/>
      <c r="C42" s="1154"/>
      <c r="D42" s="49"/>
      <c r="E42" s="49"/>
      <c r="F42" s="49"/>
      <c r="G42" s="49"/>
      <c r="H42" s="1158" t="s">
        <v>345</v>
      </c>
      <c r="I42" s="49"/>
      <c r="L42" s="49"/>
      <c r="N42" s="49"/>
      <c r="O42" s="283"/>
      <c r="P42" s="49"/>
      <c r="Q42" s="164"/>
      <c r="R42" s="164"/>
      <c r="S42" s="164"/>
      <c r="T42" s="1155">
        <f t="shared" si="15"/>
        <v>0</v>
      </c>
      <c r="U42" s="1155">
        <f t="shared" si="15"/>
        <v>0</v>
      </c>
      <c r="V42" s="1155">
        <f t="shared" si="15"/>
        <v>0</v>
      </c>
      <c r="W42" s="1155">
        <f t="shared" si="15"/>
        <v>0</v>
      </c>
      <c r="X42" s="1155">
        <f t="shared" si="15"/>
        <v>0</v>
      </c>
      <c r="Y42" s="1155">
        <f t="shared" si="15"/>
        <v>0</v>
      </c>
      <c r="Z42" s="1155">
        <f t="shared" si="15"/>
        <v>0</v>
      </c>
      <c r="AA42" s="1155">
        <f t="shared" si="15"/>
        <v>0</v>
      </c>
      <c r="AB42" s="1155">
        <f t="shared" si="15"/>
        <v>0</v>
      </c>
      <c r="AC42" s="1155">
        <f t="shared" si="15"/>
        <v>0</v>
      </c>
      <c r="AD42" s="164"/>
      <c r="AE42" s="277"/>
      <c r="AF42" s="271"/>
      <c r="AG42" s="271"/>
      <c r="AH42" s="271"/>
    </row>
    <row r="43" spans="1:34" ht="15.75" customHeight="1" x14ac:dyDescent="0.3">
      <c r="A43" s="10"/>
      <c r="C43" s="1154"/>
      <c r="D43" s="49"/>
      <c r="E43" s="49"/>
      <c r="F43" s="49"/>
      <c r="G43" s="49"/>
      <c r="H43" s="1158" t="s">
        <v>347</v>
      </c>
      <c r="I43" s="49"/>
      <c r="L43" s="49"/>
      <c r="N43" s="49"/>
      <c r="O43" s="283"/>
      <c r="P43" s="49"/>
      <c r="Q43" s="164"/>
      <c r="R43" s="164"/>
      <c r="S43" s="164"/>
      <c r="T43" s="1155">
        <f t="shared" si="15"/>
        <v>0</v>
      </c>
      <c r="U43" s="1155">
        <f t="shared" si="15"/>
        <v>0</v>
      </c>
      <c r="V43" s="1155">
        <f t="shared" si="15"/>
        <v>0</v>
      </c>
      <c r="W43" s="1155">
        <f t="shared" si="15"/>
        <v>0</v>
      </c>
      <c r="X43" s="1155">
        <f t="shared" si="15"/>
        <v>0</v>
      </c>
      <c r="Y43" s="1155">
        <f t="shared" si="15"/>
        <v>0</v>
      </c>
      <c r="Z43" s="1155">
        <f t="shared" si="15"/>
        <v>0</v>
      </c>
      <c r="AA43" s="1155">
        <f t="shared" si="15"/>
        <v>0</v>
      </c>
      <c r="AB43" s="1155">
        <f t="shared" si="15"/>
        <v>0</v>
      </c>
      <c r="AC43" s="1155">
        <f t="shared" si="15"/>
        <v>0</v>
      </c>
      <c r="AD43" s="164"/>
      <c r="AE43" s="277"/>
      <c r="AF43" s="271"/>
      <c r="AG43" s="271"/>
      <c r="AH43" s="271"/>
    </row>
    <row r="44" spans="1:34" ht="15.75" customHeight="1" x14ac:dyDescent="0.3">
      <c r="A44" s="10"/>
      <c r="C44" s="1154"/>
      <c r="D44" s="49"/>
      <c r="E44" s="49"/>
      <c r="F44" s="49"/>
      <c r="G44" s="49"/>
      <c r="H44" s="1159" t="s">
        <v>786</v>
      </c>
      <c r="I44" s="49"/>
      <c r="L44" s="49"/>
      <c r="N44" s="49"/>
      <c r="O44" s="283"/>
      <c r="P44" s="49"/>
      <c r="Q44" s="164"/>
      <c r="R44" s="164"/>
      <c r="S44" s="164"/>
      <c r="T44" s="1155">
        <f t="shared" si="15"/>
        <v>0</v>
      </c>
      <c r="U44" s="1155">
        <f t="shared" si="15"/>
        <v>0</v>
      </c>
      <c r="V44" s="1155">
        <f t="shared" si="15"/>
        <v>0</v>
      </c>
      <c r="W44" s="1155">
        <f t="shared" si="15"/>
        <v>0</v>
      </c>
      <c r="X44" s="1155">
        <f t="shared" si="15"/>
        <v>0</v>
      </c>
      <c r="Y44" s="1155">
        <f t="shared" si="15"/>
        <v>0</v>
      </c>
      <c r="Z44" s="1155">
        <f t="shared" si="15"/>
        <v>0</v>
      </c>
      <c r="AA44" s="1155">
        <f t="shared" si="15"/>
        <v>0</v>
      </c>
      <c r="AB44" s="1155">
        <f t="shared" si="15"/>
        <v>0</v>
      </c>
      <c r="AC44" s="1155">
        <f t="shared" si="15"/>
        <v>0</v>
      </c>
      <c r="AD44" s="164"/>
      <c r="AE44" s="277"/>
      <c r="AF44" s="271"/>
      <c r="AG44" s="271"/>
      <c r="AH44" s="271"/>
    </row>
    <row r="45" spans="1:34" ht="15.75" customHeight="1" x14ac:dyDescent="0.3">
      <c r="A45" s="10"/>
      <c r="C45" s="1154"/>
      <c r="D45" s="49"/>
      <c r="E45" s="49"/>
      <c r="F45" s="49"/>
      <c r="G45" s="49"/>
      <c r="H45" s="1158" t="s">
        <v>348</v>
      </c>
      <c r="I45" s="49"/>
      <c r="L45" s="49"/>
      <c r="N45" s="49"/>
      <c r="O45" s="283"/>
      <c r="P45" s="49"/>
      <c r="Q45" s="164"/>
      <c r="R45" s="164"/>
      <c r="S45" s="164"/>
      <c r="T45" s="1155">
        <f t="shared" si="15"/>
        <v>0</v>
      </c>
      <c r="U45" s="1155">
        <f t="shared" si="15"/>
        <v>0</v>
      </c>
      <c r="V45" s="1155">
        <f t="shared" si="15"/>
        <v>0</v>
      </c>
      <c r="W45" s="1155">
        <f t="shared" si="15"/>
        <v>0</v>
      </c>
      <c r="X45" s="1155">
        <f t="shared" si="15"/>
        <v>0</v>
      </c>
      <c r="Y45" s="1155">
        <f t="shared" si="15"/>
        <v>0</v>
      </c>
      <c r="Z45" s="1155">
        <f t="shared" si="15"/>
        <v>0</v>
      </c>
      <c r="AA45" s="1155">
        <f t="shared" si="15"/>
        <v>0</v>
      </c>
      <c r="AB45" s="1155">
        <f t="shared" si="15"/>
        <v>0</v>
      </c>
      <c r="AC45" s="1155">
        <f t="shared" si="15"/>
        <v>0</v>
      </c>
      <c r="AD45" s="164"/>
      <c r="AE45" s="277"/>
      <c r="AF45" s="271"/>
      <c r="AG45" s="271"/>
      <c r="AH45" s="271"/>
    </row>
    <row r="46" spans="1:34" ht="15.75" customHeight="1" x14ac:dyDescent="0.3">
      <c r="A46" s="10"/>
      <c r="C46" s="1154"/>
      <c r="D46" s="49"/>
      <c r="E46" s="49"/>
      <c r="F46" s="49"/>
      <c r="G46" s="49"/>
      <c r="H46" s="1160" t="s">
        <v>350</v>
      </c>
      <c r="I46" s="49"/>
      <c r="K46" s="49"/>
      <c r="L46" s="49"/>
      <c r="M46" s="49"/>
      <c r="N46" s="49"/>
      <c r="O46" s="283"/>
      <c r="P46" s="49"/>
      <c r="Q46" s="164"/>
      <c r="R46" s="164"/>
      <c r="S46" s="164"/>
      <c r="T46" s="1155">
        <f t="shared" si="15"/>
        <v>0</v>
      </c>
      <c r="U46" s="1155">
        <f>U20-U33</f>
        <v>72.20714386080337</v>
      </c>
      <c r="V46" s="1155">
        <f t="shared" si="15"/>
        <v>72.918630205003751</v>
      </c>
      <c r="W46" s="1155">
        <f t="shared" si="15"/>
        <v>73.637127113407587</v>
      </c>
      <c r="X46" s="1155">
        <f t="shared" si="15"/>
        <v>74.362703663954107</v>
      </c>
      <c r="Y46" s="1155">
        <f t="shared" si="15"/>
        <v>75.095429615235531</v>
      </c>
      <c r="Z46" s="1155">
        <f t="shared" si="15"/>
        <v>75.835375413203906</v>
      </c>
      <c r="AA46" s="1155">
        <f t="shared" si="15"/>
        <v>76.582612197943888</v>
      </c>
      <c r="AB46" s="1155">
        <f t="shared" si="15"/>
        <v>77.337211810512287</v>
      </c>
      <c r="AC46" s="1155">
        <f t="shared" si="15"/>
        <v>78.099246799844991</v>
      </c>
      <c r="AD46" s="164"/>
      <c r="AE46" s="277"/>
      <c r="AF46" s="271"/>
      <c r="AG46" s="271"/>
      <c r="AH46" s="271"/>
    </row>
    <row r="47" spans="1:34" ht="15.75" customHeight="1" x14ac:dyDescent="0.3">
      <c r="A47" s="10"/>
      <c r="B47" s="273"/>
      <c r="C47" s="49"/>
      <c r="D47" s="49"/>
      <c r="E47" s="49"/>
      <c r="F47" s="49"/>
      <c r="G47" s="49"/>
      <c r="H47" s="49"/>
      <c r="I47" s="49"/>
      <c r="J47" s="49"/>
      <c r="K47" s="49"/>
      <c r="L47" s="49"/>
      <c r="M47" s="49"/>
      <c r="N47" s="49"/>
      <c r="O47" s="283"/>
      <c r="P47" s="49"/>
      <c r="Q47" s="164"/>
      <c r="R47" s="164"/>
      <c r="S47" s="164"/>
      <c r="T47" s="1155"/>
      <c r="U47" s="1155"/>
      <c r="V47" s="1155"/>
      <c r="W47" s="1155"/>
      <c r="X47" s="1155"/>
      <c r="Y47" s="1155"/>
      <c r="Z47" s="1155"/>
      <c r="AA47" s="1155"/>
      <c r="AB47" s="1155"/>
      <c r="AC47" s="1155"/>
      <c r="AD47" s="164"/>
      <c r="AE47" s="277"/>
      <c r="AF47" s="271"/>
      <c r="AG47" s="271"/>
      <c r="AH47" s="271"/>
    </row>
    <row r="48" spans="1:34" ht="15.75" customHeight="1" x14ac:dyDescent="0.3">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
      <c r="B57" s="1651" t="s">
        <v>353</v>
      </c>
      <c r="C57" s="1652"/>
      <c r="D57" s="1653"/>
      <c r="E57" s="1653"/>
      <c r="F57" s="1653"/>
      <c r="G57" s="1653"/>
      <c r="H57" s="1653"/>
      <c r="I57" s="1653"/>
      <c r="J57" s="1653"/>
      <c r="K57" s="1653"/>
      <c r="L57" s="1653"/>
      <c r="M57" s="1653"/>
      <c r="N57" s="1653"/>
      <c r="O57" s="1653"/>
      <c r="P57" s="1653"/>
      <c r="Q57" s="1653"/>
      <c r="R57" s="1653"/>
      <c r="S57" s="1653"/>
      <c r="T57" s="1653"/>
      <c r="U57" s="1653"/>
      <c r="V57" s="1653"/>
      <c r="W57" s="1653"/>
      <c r="X57" s="1653"/>
      <c r="Y57" s="1653"/>
      <c r="Z57" s="1653"/>
      <c r="AA57" s="1653"/>
      <c r="AB57" s="1653"/>
      <c r="AC57" s="1654"/>
      <c r="AD57" s="316" t="s">
        <v>335</v>
      </c>
      <c r="AE57" s="315"/>
    </row>
    <row r="58" spans="1:34" ht="17.850000000000001" customHeight="1" x14ac:dyDescent="0.3">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649" t="s">
        <v>355</v>
      </c>
      <c r="AF58" s="1650"/>
    </row>
    <row r="59" spans="1:34" x14ac:dyDescent="0.3">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649" t="s">
        <v>357</v>
      </c>
      <c r="AF62" s="1650"/>
    </row>
    <row r="63" spans="1:34" x14ac:dyDescent="0.3">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649"/>
      <c r="AF63" s="1650"/>
    </row>
    <row r="64" spans="1:34" ht="41.85" customHeight="1" x14ac:dyDescent="0.3">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35" customHeight="1" x14ac:dyDescent="0.3">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649" t="s">
        <v>362</v>
      </c>
      <c r="AF68" s="1650"/>
    </row>
    <row r="69" spans="1:88" ht="17.850000000000001" customHeight="1" x14ac:dyDescent="0.3">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3">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3">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655"/>
      <c r="R81" s="1655"/>
      <c r="S81" s="1655"/>
      <c r="T81" s="1655"/>
      <c r="U81" s="1655"/>
      <c r="V81" s="1655"/>
      <c r="W81" s="1655"/>
      <c r="X81" s="1655"/>
      <c r="Y81" s="1655"/>
      <c r="Z81" s="1655"/>
      <c r="AA81" s="1655"/>
      <c r="AB81" s="1655"/>
      <c r="AC81" s="1655"/>
      <c r="AD81" s="1655"/>
      <c r="AE81" s="1655"/>
      <c r="AF81" s="1655"/>
      <c r="AG81" s="1655"/>
      <c r="AH81" s="1655"/>
    </row>
    <row r="82" spans="2:34" ht="17.25" customHeight="1" x14ac:dyDescent="0.3">
      <c r="B82" s="338" t="s">
        <v>371</v>
      </c>
      <c r="C82" s="195">
        <f>C92</f>
        <v>29</v>
      </c>
      <c r="D82" s="50">
        <f>SUM(H15:M15)/4</f>
        <v>2.4166666666666665</v>
      </c>
      <c r="E82" s="246">
        <f>C82-D82</f>
        <v>26.583333333333332</v>
      </c>
      <c r="F82" s="50"/>
      <c r="G82" s="50"/>
      <c r="H82" s="50"/>
      <c r="I82" s="284"/>
      <c r="J82" s="284"/>
      <c r="K82" s="284"/>
      <c r="L82" s="284"/>
      <c r="M82" s="284"/>
      <c r="N82" s="284"/>
      <c r="O82" s="284"/>
      <c r="P82" s="284"/>
      <c r="Q82" s="1656"/>
      <c r="R82" s="1656"/>
      <c r="S82" s="1656"/>
      <c r="T82" s="1656"/>
      <c r="U82" s="1656"/>
      <c r="V82" s="1656"/>
      <c r="W82" s="1656"/>
      <c r="X82" s="1656"/>
      <c r="Y82" s="1656"/>
      <c r="Z82" s="159"/>
      <c r="AA82" s="159"/>
      <c r="AB82" s="159"/>
      <c r="AC82" s="159"/>
      <c r="AD82" s="1656"/>
      <c r="AE82" s="1656"/>
      <c r="AF82" s="1656"/>
      <c r="AG82" s="1656"/>
      <c r="AH82" s="159"/>
    </row>
    <row r="83" spans="2:34" ht="15.75" customHeight="1" x14ac:dyDescent="0.3">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50000000000001" customHeight="1" x14ac:dyDescent="0.3">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85" customHeight="1" x14ac:dyDescent="0.3">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
      <c r="B92" s="275" t="s">
        <v>343</v>
      </c>
      <c r="C92" s="195">
        <f>'Response and Relief Act Score'!F7</f>
        <v>29</v>
      </c>
      <c r="D92" s="50"/>
      <c r="E92" s="246"/>
      <c r="F92" s="50"/>
      <c r="G92" s="50"/>
      <c r="H92" s="50"/>
      <c r="I92" s="50"/>
    </row>
    <row r="93" spans="2:34" x14ac:dyDescent="0.3">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50000000000001" customHeight="1" x14ac:dyDescent="0.3">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
      <c r="A99" s="1658"/>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
      <c r="A100" s="1658"/>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3">
      <c r="B105" s="1629" t="s">
        <v>376</v>
      </c>
      <c r="C105" s="1630"/>
      <c r="D105" s="1631" t="s">
        <v>280</v>
      </c>
      <c r="E105" s="1632"/>
      <c r="F105" s="1632"/>
      <c r="G105" s="1632"/>
      <c r="H105" s="1632"/>
      <c r="I105" s="1632"/>
      <c r="J105" s="1632"/>
      <c r="K105" s="1632"/>
      <c r="L105" s="1632"/>
      <c r="M105" s="1632"/>
      <c r="N105" s="1632"/>
      <c r="O105" s="1632"/>
      <c r="P105" s="1632"/>
      <c r="Q105" s="1632"/>
      <c r="R105" s="1632"/>
      <c r="S105" s="1632"/>
      <c r="T105" s="1626"/>
      <c r="U105" s="1246"/>
      <c r="V105" s="1605" t="s">
        <v>281</v>
      </c>
      <c r="W105" s="1605"/>
      <c r="X105" s="1605"/>
      <c r="Y105" s="1605"/>
      <c r="Z105" s="1605"/>
      <c r="AA105" s="1605"/>
      <c r="AB105" s="1605"/>
      <c r="AC105" s="1606"/>
      <c r="AD105" s="136"/>
      <c r="AE105" s="136"/>
    </row>
    <row r="106" spans="1:31" x14ac:dyDescent="0.3">
      <c r="B106" s="1617"/>
      <c r="C106" s="1618"/>
      <c r="D106" s="127">
        <v>2018</v>
      </c>
      <c r="E106" s="1600">
        <v>2019</v>
      </c>
      <c r="F106" s="1622"/>
      <c r="G106" s="1622"/>
      <c r="H106" s="1637"/>
      <c r="I106" s="1600">
        <v>2020</v>
      </c>
      <c r="J106" s="1622"/>
      <c r="K106" s="1622"/>
      <c r="L106" s="1622"/>
      <c r="M106" s="1600">
        <v>2021</v>
      </c>
      <c r="N106" s="1622"/>
      <c r="O106" s="1622"/>
      <c r="P106" s="1622"/>
      <c r="Q106" s="1638">
        <v>2022</v>
      </c>
      <c r="R106" s="1639"/>
      <c r="S106" s="158"/>
      <c r="T106" s="168"/>
      <c r="U106" s="1242"/>
      <c r="V106" s="1243">
        <v>2023</v>
      </c>
      <c r="W106" s="1243"/>
      <c r="X106" s="1244"/>
      <c r="Y106" s="1609">
        <v>2024</v>
      </c>
      <c r="Z106" s="1607"/>
      <c r="AA106" s="1607"/>
      <c r="AB106" s="1608"/>
      <c r="AC106" s="178">
        <v>2025</v>
      </c>
      <c r="AD106" s="159"/>
      <c r="AE106" s="159"/>
    </row>
    <row r="107" spans="1:31" x14ac:dyDescent="0.3">
      <c r="B107" s="1619"/>
      <c r="C107" s="1620"/>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40"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
      <c r="B108" s="1307" t="s">
        <v>377</v>
      </c>
      <c r="C108" s="329"/>
      <c r="D108" s="1148"/>
      <c r="E108" s="1149"/>
      <c r="F108" s="1149"/>
      <c r="G108" s="1149"/>
      <c r="H108" s="1150">
        <f t="shared" ref="H108:O108" si="24">SUM(H110:H118)</f>
        <v>205.80500000000001</v>
      </c>
      <c r="I108" s="1150">
        <f t="shared" si="24"/>
        <v>210.29200000000003</v>
      </c>
      <c r="J108" s="1150">
        <f t="shared" si="24"/>
        <v>325.28399999999999</v>
      </c>
      <c r="K108" s="1150">
        <f t="shared" si="24"/>
        <v>297.32000000000005</v>
      </c>
      <c r="L108" s="1150">
        <f t="shared" si="24"/>
        <v>289.54199999999997</v>
      </c>
      <c r="M108" s="1150">
        <f t="shared" si="24"/>
        <v>315.67900000000003</v>
      </c>
      <c r="N108" s="1150">
        <f t="shared" si="24"/>
        <v>361.52700000000004</v>
      </c>
      <c r="O108" s="1150">
        <f t="shared" si="24"/>
        <v>374.99100000000004</v>
      </c>
      <c r="P108" s="1150">
        <f>SUM(P110:P119)</f>
        <v>401.58485200000007</v>
      </c>
      <c r="Q108" s="1150">
        <f>SUM(Q110:Q119)</f>
        <v>438.45827479999997</v>
      </c>
      <c r="R108" s="1150">
        <f>SUM(R110:R119)</f>
        <v>505.04903199999995</v>
      </c>
      <c r="S108" s="1150">
        <f>SUM(S110:S119)</f>
        <v>492.38786800000003</v>
      </c>
      <c r="T108" s="265">
        <f t="shared" ref="T108:AC108" si="25">SUM(T110:T119)</f>
        <v>454.86592799999988</v>
      </c>
      <c r="U108" s="1151">
        <f>SUM(U110:U119)</f>
        <v>448.74654320000008</v>
      </c>
      <c r="V108" s="319">
        <f t="shared" si="25"/>
        <v>509.15888270020872</v>
      </c>
      <c r="W108" s="319">
        <f t="shared" si="25"/>
        <v>508.58759583602955</v>
      </c>
      <c r="X108" s="319">
        <f t="shared" si="25"/>
        <v>509.55611433062063</v>
      </c>
      <c r="Y108" s="319">
        <f t="shared" si="25"/>
        <v>498.76001866666672</v>
      </c>
      <c r="Z108" s="319">
        <f t="shared" si="25"/>
        <v>479.51787724821708</v>
      </c>
      <c r="AA108" s="319">
        <f t="shared" si="25"/>
        <v>484.60394742947074</v>
      </c>
      <c r="AB108" s="319">
        <f t="shared" si="25"/>
        <v>489.9870852438454</v>
      </c>
      <c r="AC108" s="302">
        <f t="shared" si="25"/>
        <v>473.79449993333344</v>
      </c>
      <c r="AD108" s="251"/>
      <c r="AE108" s="251"/>
    </row>
    <row r="109" spans="1:31" ht="19.350000000000001" customHeight="1" x14ac:dyDescent="0.3">
      <c r="B109" s="339" t="s">
        <v>378</v>
      </c>
      <c r="C109" s="162"/>
      <c r="D109" s="195"/>
      <c r="E109" s="162"/>
      <c r="F109" s="162"/>
      <c r="G109" s="162"/>
      <c r="H109" s="252"/>
      <c r="I109" s="252"/>
      <c r="J109" s="252"/>
      <c r="K109" s="252"/>
      <c r="L109" s="252"/>
      <c r="M109" s="252"/>
      <c r="N109" s="252"/>
      <c r="O109" s="252"/>
      <c r="P109" s="252"/>
      <c r="Q109" s="252"/>
      <c r="R109" s="252"/>
      <c r="S109" s="252"/>
      <c r="T109" s="1295"/>
      <c r="U109" s="1308"/>
      <c r="V109" s="269"/>
      <c r="W109" s="269"/>
      <c r="X109" s="269"/>
      <c r="Y109" s="269"/>
      <c r="Z109" s="269"/>
      <c r="AA109" s="269"/>
      <c r="AB109" s="269"/>
      <c r="AC109" s="310"/>
      <c r="AD109" s="251"/>
      <c r="AE109" s="251"/>
    </row>
    <row r="110" spans="1:31" x14ac:dyDescent="0.3">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295">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295">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295">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296">
        <f t="shared" si="29"/>
        <v>232.39233333333323</v>
      </c>
      <c r="U113" s="1115">
        <f t="shared" si="29"/>
        <v>306.88933333333341</v>
      </c>
      <c r="V113" s="270">
        <f t="shared" si="29"/>
        <v>309.91323870020875</v>
      </c>
      <c r="W113" s="270">
        <f t="shared" si="29"/>
        <v>312.96693983602955</v>
      </c>
      <c r="X113" s="270">
        <f t="shared" si="29"/>
        <v>316.05073033062064</v>
      </c>
      <c r="Y113" s="270">
        <f t="shared" si="29"/>
        <v>319.16490666666675</v>
      </c>
      <c r="Z113" s="270">
        <f t="shared" si="29"/>
        <v>322.3097682482171</v>
      </c>
      <c r="AA113" s="270">
        <f t="shared" si="29"/>
        <v>325.48561742947072</v>
      </c>
      <c r="AB113" s="270">
        <f t="shared" si="29"/>
        <v>328.69275954384545</v>
      </c>
      <c r="AC113" s="308">
        <f t="shared" si="29"/>
        <v>331.93150293333343</v>
      </c>
      <c r="AD113" s="52"/>
      <c r="AE113" s="52"/>
    </row>
    <row r="114" spans="2:31" x14ac:dyDescent="0.3">
      <c r="B114" s="240" t="s">
        <v>1194</v>
      </c>
      <c r="C114" s="49"/>
      <c r="D114" s="231"/>
      <c r="E114" s="49"/>
      <c r="F114" s="49"/>
      <c r="G114" s="49"/>
      <c r="H114" s="52"/>
      <c r="I114" s="52"/>
      <c r="J114" s="52"/>
      <c r="K114" s="52"/>
      <c r="L114" s="52"/>
      <c r="M114" s="52"/>
      <c r="N114" s="52"/>
      <c r="O114" s="52"/>
      <c r="P114" s="52"/>
      <c r="Q114" s="52"/>
      <c r="R114" s="52"/>
      <c r="S114" s="232">
        <f>'IRA and CHIPS'!E184</f>
        <v>0</v>
      </c>
      <c r="T114" s="1297">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85" customHeight="1" x14ac:dyDescent="0.3">
      <c r="B115" s="309" t="s">
        <v>381</v>
      </c>
      <c r="C115" s="49"/>
      <c r="D115" s="231"/>
      <c r="E115" s="49"/>
      <c r="F115" s="49"/>
      <c r="G115" s="49"/>
      <c r="H115" s="252"/>
      <c r="I115" s="252"/>
      <c r="J115" s="252"/>
      <c r="K115" s="252"/>
      <c r="L115" s="252"/>
      <c r="M115" s="252"/>
      <c r="N115" s="252"/>
      <c r="O115" s="252"/>
      <c r="P115" s="252"/>
      <c r="Q115" s="252"/>
      <c r="R115" s="252"/>
      <c r="S115" s="252"/>
      <c r="T115" s="1295"/>
      <c r="U115" s="1308"/>
      <c r="V115" s="269"/>
      <c r="W115" s="269"/>
      <c r="X115" s="269"/>
      <c r="Y115" s="269"/>
      <c r="Z115" s="269"/>
      <c r="AA115" s="269"/>
      <c r="AB115" s="269"/>
      <c r="AC115" s="310"/>
      <c r="AD115" s="252"/>
      <c r="AE115" s="252"/>
    </row>
    <row r="116" spans="2:31" ht="14.85" customHeight="1" x14ac:dyDescent="0.3">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298">
        <f t="shared" si="30"/>
        <v>64</v>
      </c>
      <c r="U116" s="1117">
        <f t="shared" si="30"/>
        <v>0</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52"/>
      <c r="AE116" s="252"/>
    </row>
    <row r="117" spans="2:31" x14ac:dyDescent="0.3">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295">
        <v>50</v>
      </c>
      <c r="U117" s="1302">
        <v>40</v>
      </c>
      <c r="V117" s="269">
        <v>30</v>
      </c>
      <c r="W117" s="269">
        <v>20</v>
      </c>
      <c r="X117" s="269">
        <v>15</v>
      </c>
      <c r="Y117" s="269">
        <v>10</v>
      </c>
      <c r="Z117" s="269"/>
      <c r="AA117" s="269"/>
      <c r="AB117" s="269"/>
      <c r="AC117" s="310"/>
      <c r="AD117" s="80">
        <f>SUM(O117:AC117)</f>
        <v>395</v>
      </c>
    </row>
    <row r="118" spans="2:31" ht="28.5" customHeight="1" x14ac:dyDescent="0.3">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295">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35" customHeight="1" x14ac:dyDescent="0.3">
      <c r="B119" s="280" t="s">
        <v>836</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5" customHeight="1" x14ac:dyDescent="0.3">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5" customHeight="1" x14ac:dyDescent="0.3">
      <c r="B121" s="1102" t="s">
        <v>377</v>
      </c>
      <c r="C121" s="163"/>
      <c r="D121" s="163"/>
      <c r="E121" s="163"/>
      <c r="F121" s="163"/>
      <c r="G121" s="163"/>
      <c r="H121" s="163"/>
      <c r="I121" s="163"/>
      <c r="J121" s="163"/>
      <c r="K121" s="163"/>
      <c r="L121" s="163"/>
      <c r="M121" s="163"/>
      <c r="N121" s="163"/>
      <c r="O121" s="163"/>
      <c r="P121" s="163"/>
      <c r="Q121" s="163"/>
      <c r="R121" s="163"/>
      <c r="S121" s="163"/>
      <c r="T121" s="1151">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52">
        <v>395.69525313348845</v>
      </c>
      <c r="AD121" s="1161">
        <f>U108-U121</f>
        <v>16.690674527470094</v>
      </c>
    </row>
    <row r="122" spans="2:31" ht="14.55" customHeight="1" x14ac:dyDescent="0.3">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61">
        <f t="shared" ref="AD122:AD132" si="31">U109-U122</f>
        <v>0</v>
      </c>
    </row>
    <row r="123" spans="2:31" ht="14.55" customHeight="1" x14ac:dyDescent="0.3">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61">
        <f t="shared" si="31"/>
        <v>0</v>
      </c>
    </row>
    <row r="124" spans="2:31" ht="14.55" customHeight="1" x14ac:dyDescent="0.3">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61">
        <f t="shared" si="31"/>
        <v>0</v>
      </c>
    </row>
    <row r="125" spans="2:31" ht="14.55" customHeight="1" x14ac:dyDescent="0.3">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61">
        <f t="shared" si="31"/>
        <v>0</v>
      </c>
    </row>
    <row r="126" spans="2:31" ht="14.55" customHeight="1" x14ac:dyDescent="0.3">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116">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61">
        <f t="shared" si="31"/>
        <v>72.20714386080337</v>
      </c>
    </row>
    <row r="127" spans="2:31" ht="14.55" customHeight="1" x14ac:dyDescent="0.3">
      <c r="B127" s="240" t="s">
        <v>1194</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61">
        <f t="shared" si="31"/>
        <v>0</v>
      </c>
    </row>
    <row r="128" spans="2:31" ht="14.55" customHeight="1" x14ac:dyDescent="0.3">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61">
        <f t="shared" si="31"/>
        <v>0</v>
      </c>
    </row>
    <row r="129" spans="2:31" ht="14.55" customHeight="1" x14ac:dyDescent="0.3">
      <c r="B129" s="240" t="s">
        <v>150</v>
      </c>
      <c r="C129" s="163"/>
      <c r="D129" s="163"/>
      <c r="E129" s="163"/>
      <c r="F129" s="163"/>
      <c r="G129" s="163"/>
      <c r="H129" s="163"/>
      <c r="I129" s="163"/>
      <c r="J129" s="163"/>
      <c r="K129" s="163"/>
      <c r="L129" s="163"/>
      <c r="M129" s="163"/>
      <c r="N129" s="163"/>
      <c r="O129" s="163"/>
      <c r="P129" s="163"/>
      <c r="Q129" s="163"/>
      <c r="R129" s="163"/>
      <c r="S129" s="163"/>
      <c r="T129" s="261">
        <v>64</v>
      </c>
      <c r="U129" s="1118">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61">
        <f t="shared" si="31"/>
        <v>-55.516469333333305</v>
      </c>
    </row>
    <row r="130" spans="2:31" ht="14.55" customHeight="1" x14ac:dyDescent="0.3">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61">
        <f t="shared" si="31"/>
        <v>0</v>
      </c>
    </row>
    <row r="131" spans="2:31" ht="14.55" customHeight="1" x14ac:dyDescent="0.3">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61">
        <f t="shared" si="31"/>
        <v>0</v>
      </c>
    </row>
    <row r="132" spans="2:31" ht="14.55" customHeight="1" x14ac:dyDescent="0.3">
      <c r="B132" s="280" t="s">
        <v>836</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61">
        <f t="shared" si="31"/>
        <v>0</v>
      </c>
    </row>
    <row r="133" spans="2:31" ht="14.55" customHeight="1" x14ac:dyDescent="0.3">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
      <c r="B134" s="1610" t="s">
        <v>134</v>
      </c>
      <c r="C134" s="1610"/>
      <c r="D134" s="1610"/>
      <c r="E134" s="1610"/>
      <c r="F134" s="1610"/>
      <c r="G134" s="1610"/>
      <c r="H134" s="1610"/>
      <c r="I134" s="1610"/>
      <c r="J134" s="1610"/>
      <c r="K134" s="1610"/>
      <c r="L134" s="1610"/>
      <c r="M134" s="1610"/>
      <c r="N134" s="1610"/>
      <c r="O134" s="1610"/>
      <c r="P134" s="1610"/>
      <c r="Q134" s="1610"/>
      <c r="R134" s="1610"/>
      <c r="S134" s="1610"/>
      <c r="T134" s="1610"/>
      <c r="U134" s="1610"/>
      <c r="V134" s="1610"/>
      <c r="W134" s="1610"/>
      <c r="X134" s="1610"/>
      <c r="Y134" s="1610"/>
      <c r="Z134" s="147"/>
      <c r="AA134" s="147"/>
      <c r="AB134" s="147"/>
      <c r="AC134" s="147"/>
      <c r="AD134" s="136"/>
      <c r="AE134" s="136"/>
    </row>
    <row r="135" spans="2:31" ht="19.350000000000001" customHeight="1" x14ac:dyDescent="0.3">
      <c r="B135" s="1611" t="s">
        <v>383</v>
      </c>
      <c r="C135" s="1611"/>
      <c r="D135" s="1611"/>
      <c r="E135" s="1611"/>
      <c r="F135" s="1611"/>
      <c r="G135" s="1611"/>
      <c r="H135" s="1611"/>
      <c r="I135" s="1611"/>
      <c r="J135" s="1611"/>
      <c r="K135" s="1611"/>
      <c r="L135" s="1611"/>
      <c r="M135" s="1611"/>
      <c r="N135" s="1611"/>
      <c r="O135" s="1611"/>
      <c r="P135" s="1611"/>
      <c r="Q135" s="1611"/>
      <c r="R135" s="1611"/>
      <c r="S135" s="1611"/>
      <c r="T135" s="1611"/>
      <c r="U135" s="1611"/>
      <c r="V135" s="1611"/>
      <c r="W135" s="1611"/>
      <c r="X135" s="1611"/>
      <c r="Y135" s="1611"/>
      <c r="Z135" s="1611"/>
      <c r="AA135" s="1611"/>
      <c r="AB135" s="1611"/>
      <c r="AC135" s="1611"/>
      <c r="AD135" s="148"/>
      <c r="AE135" s="148"/>
    </row>
    <row r="136" spans="2:31" ht="11.85" customHeight="1" x14ac:dyDescent="0.3">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85" customHeight="1" x14ac:dyDescent="0.3">
      <c r="B137" s="1629" t="s">
        <v>279</v>
      </c>
      <c r="C137" s="1630"/>
      <c r="D137" s="1631" t="s">
        <v>280</v>
      </c>
      <c r="E137" s="1632"/>
      <c r="F137" s="1632"/>
      <c r="G137" s="1632"/>
      <c r="H137" s="1632"/>
      <c r="I137" s="1632"/>
      <c r="J137" s="1632"/>
      <c r="K137" s="1632"/>
      <c r="L137" s="1632"/>
      <c r="M137" s="1632"/>
      <c r="N137" s="1632"/>
      <c r="O137" s="1632"/>
      <c r="P137" s="1632"/>
      <c r="Q137" s="1659"/>
      <c r="R137" s="1659"/>
      <c r="S137" s="1659"/>
      <c r="T137" s="1660"/>
      <c r="U137" s="1246"/>
      <c r="V137" s="1627" t="s">
        <v>281</v>
      </c>
      <c r="W137" s="1605"/>
      <c r="X137" s="1605"/>
      <c r="Y137" s="1605"/>
      <c r="Z137" s="1605"/>
      <c r="AA137" s="1605"/>
      <c r="AB137" s="1605"/>
      <c r="AC137" s="1606"/>
      <c r="AD137" s="136"/>
      <c r="AE137" s="136"/>
    </row>
    <row r="138" spans="2:31" x14ac:dyDescent="0.3">
      <c r="B138" s="1617"/>
      <c r="C138" s="1618"/>
      <c r="D138" s="149">
        <v>2018</v>
      </c>
      <c r="E138" s="1600">
        <v>2019</v>
      </c>
      <c r="F138" s="1622"/>
      <c r="G138" s="1622"/>
      <c r="H138" s="1637"/>
      <c r="I138" s="1600">
        <v>2020</v>
      </c>
      <c r="J138" s="1622"/>
      <c r="K138" s="1622"/>
      <c r="L138" s="1622"/>
      <c r="M138" s="1600">
        <v>2021</v>
      </c>
      <c r="N138" s="1622"/>
      <c r="O138" s="1622"/>
      <c r="P138" s="1622"/>
      <c r="Q138" s="1600">
        <v>2022</v>
      </c>
      <c r="R138" s="1601"/>
      <c r="S138" s="1601"/>
      <c r="T138" s="1637"/>
      <c r="U138" s="1242"/>
      <c r="V138" s="1243">
        <v>2023</v>
      </c>
      <c r="W138" s="1243"/>
      <c r="X138" s="1244"/>
      <c r="Y138" s="1609">
        <v>2024</v>
      </c>
      <c r="Z138" s="1607"/>
      <c r="AA138" s="1607"/>
      <c r="AB138" s="1608"/>
      <c r="AC138" s="178">
        <v>2025</v>
      </c>
      <c r="AD138" s="159"/>
      <c r="AE138" s="159"/>
    </row>
    <row r="139" spans="2:31" x14ac:dyDescent="0.3">
      <c r="B139" s="1617"/>
      <c r="C139" s="1618"/>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40" t="s">
        <v>283</v>
      </c>
      <c r="V139" s="190" t="s">
        <v>284</v>
      </c>
      <c r="W139" s="190" t="s">
        <v>238</v>
      </c>
      <c r="X139" s="191" t="s">
        <v>282</v>
      </c>
      <c r="Y139" s="189" t="s">
        <v>283</v>
      </c>
      <c r="Z139" s="186" t="s">
        <v>284</v>
      </c>
      <c r="AA139" s="190" t="s">
        <v>238</v>
      </c>
      <c r="AB139" s="190" t="s">
        <v>282</v>
      </c>
      <c r="AC139" s="192" t="s">
        <v>283</v>
      </c>
      <c r="AD139" s="159"/>
      <c r="AE139" s="159"/>
    </row>
    <row r="140" spans="2:31" ht="14.85" customHeight="1" x14ac:dyDescent="0.3">
      <c r="B140" s="345" t="s">
        <v>384</v>
      </c>
      <c r="C140" s="256" t="s">
        <v>385</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299">
        <f t="shared" ref="T140:AC140" si="33">AVERAGE($H$140:$N$140)+T141</f>
        <v>76.15900000000002</v>
      </c>
      <c r="U140" s="1300">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
      <c r="B141" s="124" t="s">
        <v>1193</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301">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
    <row r="143" spans="2:31" ht="21.75" customHeight="1" x14ac:dyDescent="0.3"/>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9"/>
  <sheetViews>
    <sheetView zoomScale="80" zoomScaleNormal="80" workbookViewId="0">
      <pane xSplit="2" ySplit="8" topLeftCell="C9" activePane="bottomRight" state="frozen"/>
      <selection pane="topRight" activeCell="C1" sqref="C1"/>
      <selection pane="bottomLeft" activeCell="A9" sqref="A9"/>
      <selection pane="bottomRight" activeCell="AE57" sqref="AE57"/>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610" t="s">
        <v>386</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9" ht="14.25" customHeight="1" x14ac:dyDescent="0.3">
      <c r="B2" s="1650" t="s">
        <v>387</v>
      </c>
      <c r="C2" s="1650"/>
      <c r="D2" s="1650"/>
      <c r="E2" s="1650"/>
      <c r="F2" s="1650"/>
      <c r="G2" s="1650"/>
      <c r="H2" s="1650"/>
      <c r="I2" s="1650"/>
      <c r="J2" s="1650"/>
      <c r="K2" s="1650"/>
      <c r="L2" s="1650"/>
      <c r="M2" s="1650"/>
      <c r="N2" s="1650"/>
      <c r="O2" s="1650"/>
      <c r="P2" s="1650"/>
      <c r="Q2" s="1650"/>
      <c r="R2" s="1650"/>
      <c r="S2" s="1650"/>
      <c r="T2" s="1650"/>
      <c r="U2" s="1650"/>
      <c r="V2" s="1650"/>
      <c r="W2" s="1650"/>
      <c r="X2" s="1650"/>
      <c r="Y2" s="1650"/>
      <c r="Z2" s="1650"/>
      <c r="AA2" s="1650"/>
      <c r="AB2" s="1650"/>
      <c r="AC2" s="1650"/>
    </row>
    <row r="3" spans="2:39" ht="9" customHeight="1" x14ac:dyDescent="0.3">
      <c r="B3" s="1650"/>
      <c r="C3" s="1650"/>
      <c r="D3" s="1650"/>
      <c r="E3" s="1650"/>
      <c r="F3" s="1650"/>
      <c r="G3" s="1650"/>
      <c r="H3" s="1650"/>
      <c r="I3" s="1650"/>
      <c r="J3" s="1650"/>
      <c r="K3" s="1650"/>
      <c r="L3" s="1650"/>
      <c r="M3" s="1650"/>
      <c r="N3" s="1650"/>
      <c r="O3" s="1650"/>
      <c r="P3" s="1650"/>
      <c r="Q3" s="1650"/>
      <c r="R3" s="1650"/>
      <c r="S3" s="1650"/>
      <c r="T3" s="1650"/>
      <c r="U3" s="1650"/>
      <c r="V3" s="1650"/>
      <c r="W3" s="1650"/>
      <c r="X3" s="1650"/>
      <c r="Y3" s="1650"/>
      <c r="Z3" s="1650"/>
      <c r="AA3" s="1650"/>
      <c r="AB3" s="1650"/>
      <c r="AC3" s="1650"/>
    </row>
    <row r="4" spans="2:39" ht="27" customHeight="1" x14ac:dyDescent="0.3">
      <c r="B4" s="1650"/>
      <c r="C4" s="1650"/>
      <c r="D4" s="1650"/>
      <c r="E4" s="1650"/>
      <c r="F4" s="1650"/>
      <c r="G4" s="1650"/>
      <c r="H4" s="1650"/>
      <c r="I4" s="1650"/>
      <c r="J4" s="1650"/>
      <c r="K4" s="1650"/>
      <c r="L4" s="1650"/>
      <c r="M4" s="1650"/>
      <c r="N4" s="1650"/>
      <c r="O4" s="1650"/>
      <c r="P4" s="1650"/>
      <c r="Q4" s="1650"/>
      <c r="R4" s="1650"/>
      <c r="S4" s="1650"/>
      <c r="T4" s="1650"/>
      <c r="U4" s="1650"/>
      <c r="V4" s="1650"/>
      <c r="W4" s="1650"/>
      <c r="X4" s="1650"/>
      <c r="Y4" s="1650"/>
      <c r="Z4" s="1650"/>
      <c r="AA4" s="1650"/>
      <c r="AB4" s="1650"/>
      <c r="AC4" s="1650"/>
      <c r="AE4" s="407"/>
      <c r="AF4" s="407"/>
      <c r="AG4" s="407"/>
      <c r="AH4" s="407"/>
      <c r="AI4" s="407"/>
      <c r="AJ4" s="407"/>
      <c r="AK4" s="407"/>
      <c r="AL4" s="407"/>
      <c r="AM4" s="407"/>
    </row>
    <row r="5" spans="2:39" x14ac:dyDescent="0.3">
      <c r="B5" s="225"/>
      <c r="AC5" s="188"/>
      <c r="AD5" s="188"/>
      <c r="AE5" s="188"/>
      <c r="AF5" s="188"/>
    </row>
    <row r="6" spans="2:39" ht="14.85" customHeight="1" x14ac:dyDescent="0.3">
      <c r="B6" s="1663" t="s">
        <v>279</v>
      </c>
      <c r="C6" s="1664"/>
      <c r="D6" s="1668" t="s">
        <v>280</v>
      </c>
      <c r="E6" s="1669"/>
      <c r="F6" s="1669"/>
      <c r="G6" s="1669"/>
      <c r="H6" s="1669"/>
      <c r="I6" s="1669"/>
      <c r="J6" s="1669"/>
      <c r="K6" s="1669"/>
      <c r="L6" s="1669"/>
      <c r="M6" s="1669"/>
      <c r="N6" s="1669"/>
      <c r="O6" s="1669"/>
      <c r="P6" s="1669"/>
      <c r="Q6" s="1669"/>
      <c r="R6" s="1669"/>
      <c r="S6" s="1669"/>
      <c r="T6" s="1670"/>
      <c r="U6" s="1246"/>
      <c r="V6" s="1627" t="s">
        <v>281</v>
      </c>
      <c r="W6" s="1605"/>
      <c r="X6" s="1605"/>
      <c r="Y6" s="1605"/>
      <c r="Z6" s="1605"/>
      <c r="AA6" s="1605"/>
      <c r="AB6" s="1605"/>
      <c r="AC6" s="1606"/>
    </row>
    <row r="7" spans="2:39" ht="14.85" customHeight="1" x14ac:dyDescent="0.3">
      <c r="B7" s="1665"/>
      <c r="C7" s="1666"/>
      <c r="D7" s="354">
        <v>2018</v>
      </c>
      <c r="E7" s="1661">
        <v>2019</v>
      </c>
      <c r="F7" s="1662"/>
      <c r="G7" s="1662"/>
      <c r="H7" s="1667"/>
      <c r="I7" s="1661">
        <v>2020</v>
      </c>
      <c r="J7" s="1662"/>
      <c r="K7" s="1662"/>
      <c r="L7" s="1662"/>
      <c r="M7" s="1661">
        <v>2021</v>
      </c>
      <c r="N7" s="1662"/>
      <c r="O7" s="1662"/>
      <c r="P7" s="1662"/>
      <c r="Q7" s="1661">
        <v>2022</v>
      </c>
      <c r="R7" s="1671"/>
      <c r="S7" s="1671"/>
      <c r="T7" s="1667"/>
      <c r="U7" s="1242"/>
      <c r="V7" s="1243">
        <v>2023</v>
      </c>
      <c r="W7" s="1243"/>
      <c r="X7" s="1244"/>
      <c r="Y7" s="1609">
        <v>2024</v>
      </c>
      <c r="Z7" s="1607"/>
      <c r="AA7" s="1607"/>
      <c r="AB7" s="1608"/>
      <c r="AC7" s="178">
        <v>2025</v>
      </c>
    </row>
    <row r="8" spans="2:39" x14ac:dyDescent="0.3">
      <c r="B8" s="1665"/>
      <c r="C8" s="1666"/>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40" t="s">
        <v>283</v>
      </c>
      <c r="V8" s="190" t="s">
        <v>284</v>
      </c>
      <c r="W8" s="190" t="s">
        <v>238</v>
      </c>
      <c r="X8" s="191" t="s">
        <v>282</v>
      </c>
      <c r="Y8" s="189" t="s">
        <v>283</v>
      </c>
      <c r="Z8" s="186" t="s">
        <v>284</v>
      </c>
      <c r="AA8" s="190" t="s">
        <v>238</v>
      </c>
      <c r="AB8" s="190" t="s">
        <v>282</v>
      </c>
      <c r="AC8" s="192" t="s">
        <v>283</v>
      </c>
    </row>
    <row r="9" spans="2:39" ht="18" customHeight="1" x14ac:dyDescent="0.3">
      <c r="B9" s="364" t="s">
        <v>1811</v>
      </c>
      <c r="C9" s="365"/>
      <c r="D9" s="366"/>
      <c r="E9" s="366"/>
      <c r="F9" s="366"/>
      <c r="G9" s="366"/>
      <c r="H9" s="366"/>
      <c r="I9" s="366"/>
      <c r="J9" s="366"/>
      <c r="K9" s="366"/>
      <c r="L9" s="366"/>
      <c r="M9" s="366"/>
      <c r="N9" s="366"/>
      <c r="O9" s="366"/>
      <c r="P9" s="366"/>
      <c r="Q9" s="348">
        <v>1613.1</v>
      </c>
      <c r="R9" s="348">
        <v>1622.7</v>
      </c>
      <c r="S9" s="348">
        <v>1656.9</v>
      </c>
      <c r="T9" s="348">
        <v>1665.8</v>
      </c>
      <c r="U9" s="1309">
        <v>1683.2</v>
      </c>
      <c r="V9" s="367">
        <v>1699</v>
      </c>
      <c r="W9" s="367">
        <v>1721.1</v>
      </c>
      <c r="X9" s="367">
        <v>1740.7</v>
      </c>
      <c r="Y9" s="367">
        <v>1758.2</v>
      </c>
      <c r="Z9" s="367">
        <v>1774.2</v>
      </c>
      <c r="AA9" s="367">
        <v>1790.4</v>
      </c>
      <c r="AB9" s="367">
        <v>1805.5</v>
      </c>
      <c r="AC9" s="368">
        <v>1819</v>
      </c>
    </row>
    <row r="10" spans="2:39" ht="17.25" customHeight="1" x14ac:dyDescent="0.3">
      <c r="B10" s="382" t="s">
        <v>1812</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310">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
      <c r="B11" s="391" t="s">
        <v>195</v>
      </c>
      <c r="C11" s="359" t="s">
        <v>917</v>
      </c>
      <c r="D11" s="359"/>
      <c r="E11" s="359"/>
      <c r="F11" s="359"/>
      <c r="G11" s="359"/>
      <c r="H11" s="349">
        <f>'Haver Pivoted'!GS23</f>
        <v>1437.7</v>
      </c>
      <c r="I11" s="349">
        <f>'Haver Pivoted'!GT23</f>
        <v>1455.6</v>
      </c>
      <c r="J11" s="349">
        <f>'Haver Pivoted'!GU23</f>
        <v>1560</v>
      </c>
      <c r="K11" s="349">
        <f>'Haver Pivoted'!GV23</f>
        <v>1525.3</v>
      </c>
      <c r="L11" s="349">
        <f>'Haver Pivoted'!GW23</f>
        <v>1541.3</v>
      </c>
      <c r="M11" s="349">
        <f>'Haver Pivoted'!GX23</f>
        <v>1620.3</v>
      </c>
      <c r="N11" s="349">
        <f>'Haver Pivoted'!GY23</f>
        <v>1608</v>
      </c>
      <c r="O11" s="349">
        <f>'Haver Pivoted'!GZ23</f>
        <v>1595.5</v>
      </c>
      <c r="P11" s="349">
        <f>'Haver Pivoted'!HA23</f>
        <v>1612.8</v>
      </c>
      <c r="Q11" s="349">
        <f>'Haver Pivoted'!HB23</f>
        <v>1613.1</v>
      </c>
      <c r="R11" s="349">
        <f>'Haver Pivoted'!HC23</f>
        <v>1622.7</v>
      </c>
      <c r="S11" s="362">
        <f>'Haver Pivoted'!HD23</f>
        <v>1657.1</v>
      </c>
      <c r="T11" s="362">
        <f>'Haver Pivoted'!HE23</f>
        <v>1693.8</v>
      </c>
      <c r="U11" s="1311">
        <f>'Haver Pivoted'!HF23</f>
        <v>1739.8</v>
      </c>
      <c r="V11" s="363">
        <f t="shared" ref="V11:AC11" si="0">(V9/U9)*U11</f>
        <v>1756.1312975285171</v>
      </c>
      <c r="W11" s="363">
        <f t="shared" si="0"/>
        <v>1778.9744415399239</v>
      </c>
      <c r="X11" s="363">
        <f t="shared" si="0"/>
        <v>1799.2335194866921</v>
      </c>
      <c r="Y11" s="363">
        <f t="shared" si="0"/>
        <v>1817.3219819391636</v>
      </c>
      <c r="Z11" s="363">
        <f t="shared" si="0"/>
        <v>1833.8600047528516</v>
      </c>
      <c r="AA11" s="363">
        <f t="shared" si="0"/>
        <v>1850.6047528517108</v>
      </c>
      <c r="AB11" s="363">
        <f t="shared" si="0"/>
        <v>1866.2125118821291</v>
      </c>
      <c r="AC11" s="370">
        <f t="shared" si="0"/>
        <v>1880.1664686311785</v>
      </c>
    </row>
    <row r="12" spans="2:39" x14ac:dyDescent="0.3">
      <c r="B12" s="386" t="s">
        <v>388</v>
      </c>
      <c r="C12" s="387"/>
      <c r="D12" s="387"/>
      <c r="E12" s="387"/>
      <c r="F12" s="387"/>
      <c r="G12" s="387"/>
      <c r="H12" s="390">
        <f t="shared" ref="H12:AC12" si="1">H11+H65</f>
        <v>1715.8720000000001</v>
      </c>
      <c r="I12" s="390">
        <f t="shared" si="1"/>
        <v>1741.471</v>
      </c>
      <c r="J12" s="390">
        <f t="shared" si="1"/>
        <v>1961.299</v>
      </c>
      <c r="K12" s="390">
        <f t="shared" si="1"/>
        <v>1901.492</v>
      </c>
      <c r="L12" s="390">
        <f t="shared" si="1"/>
        <v>1906.6610000000001</v>
      </c>
      <c r="M12" s="390">
        <f t="shared" si="1"/>
        <v>2009.6410000000001</v>
      </c>
      <c r="N12" s="390">
        <f t="shared" si="1"/>
        <v>2044.5930000000001</v>
      </c>
      <c r="O12" s="390">
        <f t="shared" si="1"/>
        <v>2039.836</v>
      </c>
      <c r="P12" s="390">
        <f t="shared" si="1"/>
        <v>2086.861852</v>
      </c>
      <c r="Q12" s="390">
        <f t="shared" si="1"/>
        <v>2124.0872747999997</v>
      </c>
      <c r="R12" s="390">
        <f t="shared" si="1"/>
        <v>2203.0890319999999</v>
      </c>
      <c r="S12" s="389">
        <f t="shared" si="1"/>
        <v>2224.8278679999999</v>
      </c>
      <c r="T12" s="389">
        <f t="shared" si="1"/>
        <v>2224.824928</v>
      </c>
      <c r="U12" s="1312">
        <f>U11+U65</f>
        <v>2264.7055432000002</v>
      </c>
      <c r="V12" s="388">
        <f t="shared" si="1"/>
        <v>2341.4491802287257</v>
      </c>
      <c r="W12" s="388">
        <f t="shared" si="1"/>
        <v>2363.7210373759535</v>
      </c>
      <c r="X12" s="388">
        <f t="shared" si="1"/>
        <v>2386.6076338173125</v>
      </c>
      <c r="Y12" s="388">
        <f t="shared" si="1"/>
        <v>2393.9000006058304</v>
      </c>
      <c r="Z12" s="388">
        <f t="shared" si="1"/>
        <v>2391.1958820010686</v>
      </c>
      <c r="AA12" s="388">
        <f t="shared" si="1"/>
        <v>2413.0267002811815</v>
      </c>
      <c r="AB12" s="388">
        <f t="shared" si="1"/>
        <v>2435.6115971259746</v>
      </c>
      <c r="AC12" s="371">
        <f t="shared" si="1"/>
        <v>2433.3729685645121</v>
      </c>
      <c r="AD12" s="163" t="s">
        <v>389</v>
      </c>
    </row>
    <row r="13" spans="2:39" ht="15.75" customHeight="1" x14ac:dyDescent="0.3">
      <c r="B13" s="154"/>
      <c r="C13" s="154"/>
      <c r="D13" s="154"/>
      <c r="E13" s="154"/>
      <c r="F13" s="154"/>
      <c r="G13" s="154"/>
      <c r="H13" s="164"/>
      <c r="I13" s="164"/>
      <c r="J13" s="164"/>
      <c r="K13" s="164"/>
      <c r="L13" s="164"/>
      <c r="M13" s="164"/>
      <c r="N13" s="164"/>
      <c r="O13" s="164"/>
      <c r="AD13" s="163"/>
    </row>
    <row r="14" spans="2:39" ht="15.75" customHeight="1" x14ac:dyDescent="0.3">
      <c r="B14" s="1100"/>
      <c r="C14" s="1100"/>
      <c r="D14" s="1100"/>
      <c r="E14" s="1100"/>
      <c r="F14" s="1100"/>
      <c r="G14" s="1100"/>
      <c r="H14" s="164"/>
      <c r="I14" s="164"/>
      <c r="J14" s="164"/>
      <c r="K14" s="164"/>
      <c r="L14" s="164"/>
      <c r="M14" s="164"/>
      <c r="N14" s="164"/>
      <c r="O14" s="164"/>
      <c r="T14" s="1119">
        <v>1665.8</v>
      </c>
      <c r="U14" s="1120">
        <v>1683.2</v>
      </c>
      <c r="V14" s="1120">
        <v>1699</v>
      </c>
      <c r="W14" s="1120">
        <v>1721.1</v>
      </c>
      <c r="X14" s="1120">
        <v>1740.7</v>
      </c>
      <c r="Y14" s="1120">
        <v>1758.2</v>
      </c>
      <c r="Z14" s="1120">
        <v>1774.2</v>
      </c>
      <c r="AA14" s="1120">
        <v>1790.4</v>
      </c>
      <c r="AB14" s="1120">
        <v>1805.5</v>
      </c>
      <c r="AC14" s="1121">
        <v>1819</v>
      </c>
      <c r="AD14" s="163"/>
    </row>
    <row r="15" spans="2:39" ht="15.75" customHeight="1" x14ac:dyDescent="0.3">
      <c r="B15" s="1100"/>
      <c r="C15" s="1100"/>
      <c r="D15" s="1100"/>
      <c r="E15" s="1100"/>
      <c r="F15" s="1100"/>
      <c r="G15" s="1100"/>
      <c r="H15" s="164"/>
      <c r="I15" s="164"/>
      <c r="J15" s="164"/>
      <c r="K15" s="164"/>
      <c r="L15" s="164"/>
      <c r="M15" s="164"/>
      <c r="N15" s="164"/>
      <c r="O15" s="164"/>
      <c r="T15" s="349">
        <v>2.1680000000000001</v>
      </c>
      <c r="U15" s="361">
        <v>4.2469999999999999</v>
      </c>
      <c r="V15" s="361">
        <v>3.8140000000000001</v>
      </c>
      <c r="W15" s="361">
        <v>5.2969999999999997</v>
      </c>
      <c r="X15" s="361">
        <v>4.6420000000000003</v>
      </c>
      <c r="Y15" s="361">
        <v>4.077</v>
      </c>
      <c r="Z15" s="361">
        <v>3.6869999999999998</v>
      </c>
      <c r="AA15" s="361">
        <v>3.7109999999999999</v>
      </c>
      <c r="AB15" s="361">
        <v>3.4009999999999998</v>
      </c>
      <c r="AC15" s="369">
        <v>3.0379999999999998</v>
      </c>
      <c r="AD15" s="163"/>
    </row>
    <row r="16" spans="2:39" ht="15.75" customHeight="1" x14ac:dyDescent="0.3">
      <c r="B16" s="1100"/>
      <c r="C16" s="1100"/>
      <c r="D16" s="1100"/>
      <c r="E16" s="1100"/>
      <c r="F16" s="1100"/>
      <c r="G16" s="1100"/>
      <c r="H16" s="164"/>
      <c r="I16" s="164"/>
      <c r="J16" s="164"/>
      <c r="K16" s="164"/>
      <c r="L16" s="164"/>
      <c r="M16" s="164"/>
      <c r="N16" s="164"/>
      <c r="O16" s="164"/>
      <c r="T16" s="362">
        <v>1693.8</v>
      </c>
      <c r="U16" s="1122">
        <v>1711.4924720854842</v>
      </c>
      <c r="V16" s="363">
        <v>1727.5580501860964</v>
      </c>
      <c r="W16" s="363">
        <v>1750.0295233521426</v>
      </c>
      <c r="X16" s="363">
        <v>1769.9589746668264</v>
      </c>
      <c r="Y16" s="363">
        <v>1787.7531276263653</v>
      </c>
      <c r="Z16" s="363">
        <v>1804.0220674750865</v>
      </c>
      <c r="AA16" s="363">
        <v>1820.4943690719167</v>
      </c>
      <c r="AB16" s="363">
        <v>1835.8481810541475</v>
      </c>
      <c r="AC16" s="370">
        <v>1849.5750990515062</v>
      </c>
      <c r="AD16" s="163"/>
    </row>
    <row r="17" spans="2:31" ht="15.75" customHeight="1" x14ac:dyDescent="0.3">
      <c r="B17" s="1100"/>
      <c r="C17" s="1100"/>
      <c r="D17" s="1100"/>
      <c r="E17" s="1100"/>
      <c r="F17" s="1100"/>
      <c r="G17" s="1100"/>
      <c r="H17" s="164"/>
      <c r="I17" s="164"/>
      <c r="J17" s="164"/>
      <c r="K17" s="164"/>
      <c r="L17" s="164"/>
      <c r="M17" s="164"/>
      <c r="N17" s="164"/>
      <c r="O17" s="164"/>
      <c r="T17" s="389">
        <v>2224.824928</v>
      </c>
      <c r="U17" s="388">
        <v>2219.7073407580142</v>
      </c>
      <c r="V17" s="388">
        <v>2239.9573026813014</v>
      </c>
      <c r="W17" s="388">
        <v>2261.1389920747647</v>
      </c>
      <c r="X17" s="388">
        <v>2282.9703853334931</v>
      </c>
      <c r="Y17" s="388">
        <v>2289.2357166777965</v>
      </c>
      <c r="Z17" s="388">
        <v>2285.5225693100997</v>
      </c>
      <c r="AA17" s="388">
        <v>2306.3337043034435</v>
      </c>
      <c r="AB17" s="388">
        <v>2327.9100544874809</v>
      </c>
      <c r="AC17" s="371">
        <v>2324.6823521849947</v>
      </c>
      <c r="AD17" s="163"/>
    </row>
    <row r="18" spans="2:31" ht="15.75" customHeight="1" x14ac:dyDescent="0.3">
      <c r="B18" s="1100"/>
      <c r="C18" s="1100"/>
      <c r="D18" s="1100"/>
      <c r="E18" s="1100"/>
      <c r="F18" s="1100"/>
      <c r="G18" s="1100"/>
      <c r="H18" s="164"/>
      <c r="I18" s="164"/>
      <c r="J18" s="164"/>
      <c r="K18" s="164"/>
      <c r="L18" s="164"/>
      <c r="M18" s="164"/>
      <c r="N18" s="164"/>
      <c r="O18" s="164"/>
      <c r="AD18" s="163"/>
    </row>
    <row r="19" spans="2:31" ht="15.75" customHeight="1" x14ac:dyDescent="0.3">
      <c r="B19" s="1100"/>
      <c r="C19" s="1100"/>
      <c r="D19" s="1100"/>
      <c r="E19" s="1100"/>
      <c r="F19" s="1100"/>
      <c r="G19" s="1100"/>
      <c r="H19" s="164"/>
      <c r="I19" s="164"/>
      <c r="J19" s="164"/>
      <c r="K19" s="164"/>
      <c r="L19" s="164"/>
      <c r="M19" s="164"/>
      <c r="N19" s="164"/>
      <c r="O19" s="164"/>
      <c r="U19" s="1604" t="s">
        <v>2212</v>
      </c>
      <c r="V19" s="1604"/>
      <c r="W19" s="1604"/>
      <c r="X19" s="1604"/>
      <c r="Y19" s="1604"/>
      <c r="Z19" s="1604"/>
      <c r="AD19" s="163"/>
    </row>
    <row r="20" spans="2:31" ht="15.75" customHeight="1" x14ac:dyDescent="0.3">
      <c r="B20" s="1100"/>
      <c r="C20" s="1100"/>
      <c r="D20" s="1100"/>
      <c r="E20" s="1100"/>
      <c r="F20" s="1100"/>
      <c r="G20" s="1100"/>
      <c r="H20" s="164"/>
      <c r="I20" s="164"/>
      <c r="J20" s="164"/>
      <c r="K20" s="164"/>
      <c r="L20" s="164"/>
      <c r="M20" s="164"/>
      <c r="N20" s="164"/>
      <c r="O20" s="164"/>
      <c r="U20" s="1604"/>
      <c r="V20" s="1604"/>
      <c r="W20" s="1604"/>
      <c r="X20" s="1604"/>
      <c r="Y20" s="1604"/>
      <c r="Z20" s="1604"/>
      <c r="AD20" s="163"/>
    </row>
    <row r="21" spans="2:31" ht="15.75" customHeight="1" x14ac:dyDescent="0.3">
      <c r="B21" s="1100"/>
      <c r="C21" s="1100"/>
      <c r="D21" s="1100"/>
      <c r="E21" s="1100"/>
      <c r="F21" s="1100"/>
      <c r="G21" s="1100"/>
      <c r="H21" s="164"/>
      <c r="I21" s="164"/>
      <c r="J21" s="164"/>
      <c r="K21" s="164"/>
      <c r="L21" s="164"/>
      <c r="M21" s="164"/>
      <c r="N21" s="164"/>
      <c r="O21" s="164"/>
      <c r="AD21" s="163"/>
    </row>
    <row r="22" spans="2:31" x14ac:dyDescent="0.3">
      <c r="B22" s="154"/>
      <c r="C22" s="154"/>
      <c r="D22" s="154"/>
      <c r="E22" s="154"/>
      <c r="F22" s="154"/>
      <c r="G22" s="154"/>
      <c r="H22" s="164"/>
      <c r="I22" s="164"/>
      <c r="J22" s="164"/>
      <c r="K22" s="164"/>
      <c r="L22" s="164"/>
      <c r="M22" s="164"/>
      <c r="N22" s="164"/>
      <c r="O22" s="164"/>
      <c r="P22" s="401"/>
      <c r="Q22" s="401"/>
      <c r="R22" s="401"/>
      <c r="S22" s="401"/>
      <c r="T22" s="401"/>
      <c r="U22" s="401"/>
      <c r="V22" s="401"/>
      <c r="W22" s="401"/>
      <c r="X22" s="401"/>
      <c r="Y22" s="401"/>
      <c r="Z22" s="401"/>
      <c r="AA22" s="401"/>
      <c r="AB22" s="401"/>
      <c r="AC22" s="401"/>
    </row>
    <row r="23" spans="2:31" ht="21.75" customHeight="1" x14ac:dyDescent="0.3">
      <c r="B23" s="1610" t="s">
        <v>165</v>
      </c>
      <c r="C23" s="1610"/>
      <c r="D23" s="1610"/>
      <c r="E23" s="1610"/>
      <c r="F23" s="1610"/>
      <c r="G23" s="1610"/>
      <c r="H23" s="1610"/>
      <c r="I23" s="1610"/>
      <c r="J23" s="1610"/>
      <c r="K23" s="1610"/>
      <c r="L23" s="1610"/>
      <c r="M23" s="1610"/>
      <c r="N23" s="1610"/>
      <c r="O23" s="1610"/>
      <c r="P23" s="1610"/>
      <c r="Q23" s="1610"/>
      <c r="R23" s="1610"/>
      <c r="S23" s="1610"/>
      <c r="T23" s="1610"/>
      <c r="U23" s="1610"/>
      <c r="V23" s="1610"/>
      <c r="W23" s="1610"/>
      <c r="X23" s="1610"/>
      <c r="Y23" s="1610"/>
      <c r="Z23" s="1610"/>
      <c r="AA23" s="1610"/>
      <c r="AB23" s="1610"/>
      <c r="AC23" s="1610"/>
      <c r="AE23" s="120"/>
    </row>
    <row r="24" spans="2:31" ht="14.25" customHeight="1" x14ac:dyDescent="0.3">
      <c r="B24" s="1611" t="s">
        <v>390</v>
      </c>
      <c r="C24" s="1611"/>
      <c r="D24" s="1611"/>
      <c r="E24" s="1611"/>
      <c r="F24" s="1611"/>
      <c r="G24" s="1611"/>
      <c r="H24" s="1611"/>
      <c r="I24" s="1611"/>
      <c r="J24" s="1611"/>
      <c r="K24" s="1611"/>
      <c r="L24" s="1611"/>
      <c r="M24" s="1611"/>
      <c r="N24" s="1611"/>
      <c r="O24" s="1611"/>
      <c r="P24" s="1611"/>
      <c r="Q24" s="1611"/>
      <c r="R24" s="1611"/>
      <c r="S24" s="1611"/>
      <c r="T24" s="1611"/>
      <c r="U24" s="1611"/>
      <c r="V24" s="1611"/>
      <c r="W24" s="1611"/>
      <c r="X24" s="1611"/>
      <c r="Y24" s="1611"/>
      <c r="Z24" s="1611"/>
      <c r="AA24" s="1611"/>
      <c r="AB24" s="1611"/>
      <c r="AC24" s="1611"/>
      <c r="AE24" s="120"/>
    </row>
    <row r="25" spans="2:31" x14ac:dyDescent="0.3">
      <c r="B25" s="1611"/>
      <c r="C25" s="1611"/>
      <c r="D25" s="1611"/>
      <c r="E25" s="1611"/>
      <c r="F25" s="1611"/>
      <c r="G25" s="1611"/>
      <c r="H25" s="1611"/>
      <c r="I25" s="1611"/>
      <c r="J25" s="1611"/>
      <c r="K25" s="1611"/>
      <c r="L25" s="1611"/>
      <c r="M25" s="1611"/>
      <c r="N25" s="1611"/>
      <c r="O25" s="1611"/>
      <c r="P25" s="1611"/>
      <c r="Q25" s="1611"/>
      <c r="R25" s="1611"/>
      <c r="S25" s="1611"/>
      <c r="T25" s="1611"/>
      <c r="U25" s="1611"/>
      <c r="V25" s="1611"/>
      <c r="W25" s="1611"/>
      <c r="X25" s="1611"/>
      <c r="Y25" s="1611"/>
      <c r="Z25" s="1611"/>
      <c r="AA25" s="1611"/>
      <c r="AB25" s="1611"/>
      <c r="AC25" s="1611"/>
    </row>
    <row r="26" spans="2:31" x14ac:dyDescent="0.3">
      <c r="B26" s="1611"/>
      <c r="C26" s="1611"/>
      <c r="D26" s="1611"/>
      <c r="E26" s="1611"/>
      <c r="F26" s="1611"/>
      <c r="G26" s="1611"/>
      <c r="H26" s="1611"/>
      <c r="I26" s="1611"/>
      <c r="J26" s="1611"/>
      <c r="K26" s="1611"/>
      <c r="L26" s="1611"/>
      <c r="M26" s="1611"/>
      <c r="N26" s="1611"/>
      <c r="O26" s="1611"/>
      <c r="P26" s="1611"/>
      <c r="Q26" s="1611"/>
      <c r="R26" s="1611"/>
      <c r="S26" s="1611"/>
      <c r="T26" s="1611"/>
      <c r="U26" s="1611"/>
      <c r="V26" s="1611"/>
      <c r="W26" s="1611"/>
      <c r="X26" s="1611"/>
      <c r="Y26" s="1611"/>
      <c r="Z26" s="1611"/>
      <c r="AA26" s="1611"/>
      <c r="AB26" s="1611"/>
      <c r="AC26" s="1611"/>
    </row>
    <row r="28" spans="2:31" x14ac:dyDescent="0.3">
      <c r="B28" s="1629" t="s">
        <v>279</v>
      </c>
      <c r="C28" s="1630"/>
      <c r="D28" s="1625" t="s">
        <v>280</v>
      </c>
      <c r="E28" s="1626"/>
      <c r="F28" s="1626"/>
      <c r="G28" s="1626"/>
      <c r="H28" s="1626"/>
      <c r="I28" s="1626"/>
      <c r="J28" s="1626"/>
      <c r="K28" s="1626"/>
      <c r="L28" s="1626"/>
      <c r="M28" s="1626"/>
      <c r="N28" s="1626"/>
      <c r="O28" s="1626"/>
      <c r="P28" s="1626"/>
      <c r="Q28" s="1626"/>
      <c r="R28" s="1626"/>
      <c r="S28" s="1626"/>
      <c r="T28" s="1626"/>
      <c r="U28" s="1246"/>
      <c r="V28" s="1627" t="s">
        <v>281</v>
      </c>
      <c r="W28" s="1605"/>
      <c r="X28" s="1605"/>
      <c r="Y28" s="1605"/>
      <c r="Z28" s="1605"/>
      <c r="AA28" s="1605"/>
      <c r="AB28" s="1605"/>
      <c r="AC28" s="1606"/>
    </row>
    <row r="29" spans="2:31" x14ac:dyDescent="0.3">
      <c r="B29" s="1617"/>
      <c r="C29" s="1618"/>
      <c r="D29" s="127">
        <v>2018</v>
      </c>
      <c r="E29" s="1600">
        <v>2019</v>
      </c>
      <c r="F29" s="1601"/>
      <c r="G29" s="1601"/>
      <c r="H29" s="1637"/>
      <c r="I29" s="1600">
        <v>2020</v>
      </c>
      <c r="J29" s="1601"/>
      <c r="K29" s="1601"/>
      <c r="L29" s="1601"/>
      <c r="M29" s="1600">
        <v>2021</v>
      </c>
      <c r="N29" s="1601"/>
      <c r="O29" s="1601"/>
      <c r="P29" s="1601"/>
      <c r="Q29" s="1600">
        <v>2022</v>
      </c>
      <c r="R29" s="1601"/>
      <c r="S29" s="1601"/>
      <c r="T29" s="1637"/>
      <c r="U29" s="1242"/>
      <c r="V29" s="1243">
        <v>2023</v>
      </c>
      <c r="W29" s="1243"/>
      <c r="X29" s="1244"/>
      <c r="Y29" s="1609">
        <v>2024</v>
      </c>
      <c r="Z29" s="1607"/>
      <c r="AA29" s="1607"/>
      <c r="AB29" s="1608"/>
      <c r="AC29" s="178">
        <v>2025</v>
      </c>
    </row>
    <row r="30" spans="2:31" x14ac:dyDescent="0.3">
      <c r="B30" s="1617"/>
      <c r="C30" s="1618"/>
      <c r="D30" s="118" t="s">
        <v>282</v>
      </c>
      <c r="E30" s="118" t="s">
        <v>283</v>
      </c>
      <c r="F30" s="132" t="s">
        <v>284</v>
      </c>
      <c r="G30" s="132" t="s">
        <v>238</v>
      </c>
      <c r="H30" s="115" t="s">
        <v>282</v>
      </c>
      <c r="I30" s="132" t="s">
        <v>283</v>
      </c>
      <c r="J30" s="132" t="s">
        <v>284</v>
      </c>
      <c r="K30" s="132" t="s">
        <v>238</v>
      </c>
      <c r="L30" s="132" t="s">
        <v>282</v>
      </c>
      <c r="M30" s="118" t="s">
        <v>283</v>
      </c>
      <c r="N30" s="132" t="s">
        <v>284</v>
      </c>
      <c r="O30" s="132" t="s">
        <v>238</v>
      </c>
      <c r="P30" s="132" t="s">
        <v>282</v>
      </c>
      <c r="Q30" s="118" t="s">
        <v>283</v>
      </c>
      <c r="R30" s="132" t="s">
        <v>284</v>
      </c>
      <c r="S30" s="132" t="s">
        <v>238</v>
      </c>
      <c r="T30" s="115" t="s">
        <v>282</v>
      </c>
      <c r="U30" s="1140" t="s">
        <v>283</v>
      </c>
      <c r="V30" s="190" t="s">
        <v>284</v>
      </c>
      <c r="W30" s="190" t="s">
        <v>238</v>
      </c>
      <c r="X30" s="191" t="s">
        <v>282</v>
      </c>
      <c r="Y30" s="189" t="s">
        <v>283</v>
      </c>
      <c r="Z30" s="186" t="s">
        <v>284</v>
      </c>
      <c r="AA30" s="190" t="s">
        <v>238</v>
      </c>
      <c r="AB30" s="190" t="s">
        <v>282</v>
      </c>
      <c r="AC30" s="192" t="s">
        <v>283</v>
      </c>
    </row>
    <row r="31" spans="2:31" x14ac:dyDescent="0.3">
      <c r="B31" s="409" t="s">
        <v>111</v>
      </c>
      <c r="C31" s="396" t="s">
        <v>391</v>
      </c>
      <c r="D31" s="396"/>
      <c r="E31" s="396"/>
      <c r="F31" s="396"/>
      <c r="G31" s="396"/>
      <c r="H31" s="395">
        <f>'Haver Pivoted'!GS24</f>
        <v>2384.1999999999998</v>
      </c>
      <c r="I31" s="395">
        <f>'Haver Pivoted'!GT24</f>
        <v>2427.4</v>
      </c>
      <c r="J31" s="395">
        <f>'Haver Pivoted'!GU24</f>
        <v>2391.8000000000002</v>
      </c>
      <c r="K31" s="395">
        <f>'Haver Pivoted'!GV24</f>
        <v>2397.6</v>
      </c>
      <c r="L31" s="395">
        <f>'Haver Pivoted'!GW24</f>
        <v>2416.5</v>
      </c>
      <c r="M31" s="395">
        <f>'Haver Pivoted'!GX24</f>
        <v>2468.4</v>
      </c>
      <c r="N31" s="395">
        <f>'Haver Pivoted'!GY24</f>
        <v>2516.4</v>
      </c>
      <c r="O31" s="395">
        <f>'Haver Pivoted'!GZ24</f>
        <v>2587.6</v>
      </c>
      <c r="P31" s="395">
        <f>'Haver Pivoted'!HA24</f>
        <v>2633.9</v>
      </c>
      <c r="Q31" s="395">
        <f>'Haver Pivoted'!HB24</f>
        <v>2698.2</v>
      </c>
      <c r="R31" s="395">
        <f>'Haver Pivoted'!HC24</f>
        <v>2790</v>
      </c>
      <c r="S31" s="381">
        <f>'Haver Pivoted'!HD24</f>
        <v>2836</v>
      </c>
      <c r="T31" s="381">
        <f>'Haver Pivoted'!HE24</f>
        <v>2881.6</v>
      </c>
      <c r="U31" s="1313">
        <f>'Haver Pivoted'!HF24</f>
        <v>2906.3</v>
      </c>
      <c r="V31" s="357"/>
      <c r="W31" s="357"/>
      <c r="X31" s="357"/>
      <c r="Y31" s="357"/>
      <c r="Z31" s="357"/>
      <c r="AA31" s="357"/>
      <c r="AB31" s="357"/>
      <c r="AC31" s="200"/>
    </row>
    <row r="32" spans="2:31" ht="29.25" customHeight="1" x14ac:dyDescent="0.3">
      <c r="B32" s="416" t="s">
        <v>1813</v>
      </c>
      <c r="C32" s="375"/>
      <c r="D32" s="375"/>
      <c r="E32" s="375"/>
      <c r="F32" s="375"/>
      <c r="G32" s="375"/>
      <c r="H32" s="164"/>
      <c r="I32" s="164"/>
      <c r="J32" s="164"/>
      <c r="K32" s="164"/>
      <c r="L32" s="164"/>
      <c r="M32" s="164"/>
      <c r="N32" s="164"/>
      <c r="O32" s="164"/>
      <c r="P32" s="164"/>
      <c r="Q32" s="376">
        <v>2698.2</v>
      </c>
      <c r="R32" s="376">
        <v>2790</v>
      </c>
      <c r="S32" s="376">
        <v>2829.6</v>
      </c>
      <c r="T32" s="1316">
        <v>2871.1</v>
      </c>
      <c r="U32" s="662">
        <v>2900.1</v>
      </c>
      <c r="V32" s="377">
        <v>2932.7</v>
      </c>
      <c r="W32" s="377">
        <v>2970.6</v>
      </c>
      <c r="X32" s="377">
        <v>3002.9</v>
      </c>
      <c r="Y32" s="377">
        <v>3034.4</v>
      </c>
      <c r="Z32" s="377">
        <v>3062.5</v>
      </c>
      <c r="AA32" s="377">
        <v>3090.1</v>
      </c>
      <c r="AB32" s="377">
        <v>3117.6</v>
      </c>
      <c r="AC32" s="378">
        <v>3146.1</v>
      </c>
    </row>
    <row r="33" spans="2:30" ht="21" customHeight="1" x14ac:dyDescent="0.3">
      <c r="B33" s="392" t="s">
        <v>392</v>
      </c>
      <c r="C33" s="154"/>
      <c r="D33" s="154"/>
      <c r="E33" s="154"/>
      <c r="F33" s="154"/>
      <c r="G33" s="154"/>
      <c r="H33" s="161"/>
      <c r="I33" s="161"/>
      <c r="J33" s="161"/>
      <c r="K33" s="161"/>
      <c r="L33" s="161"/>
      <c r="M33" s="372">
        <f>((M34/L34)^4-1)*100</f>
        <v>8.8716871433844435</v>
      </c>
      <c r="N33" s="372">
        <f t="shared" ref="N33:Q33" si="2">((N34/M34)^4-1)*100</f>
        <v>8.0081568848658691</v>
      </c>
      <c r="O33" s="372">
        <f t="shared" si="2"/>
        <v>11.807223761379305</v>
      </c>
      <c r="P33" s="372">
        <f t="shared" si="2"/>
        <v>7.3516092986590564</v>
      </c>
      <c r="Q33" s="372">
        <f t="shared" si="2"/>
        <v>10.128423587170188</v>
      </c>
      <c r="R33" s="372">
        <f>((R34/Q34)^4-1)*100</f>
        <v>14.319485516488072</v>
      </c>
      <c r="S33" s="373">
        <f>((S34/R34)^4-1)*100</f>
        <v>6.7598839303983915</v>
      </c>
      <c r="T33" s="1317">
        <f>((T34/S34)^4-1)*100</f>
        <v>6.5883835073017982</v>
      </c>
      <c r="U33" s="1314">
        <f>((U34/T34)^4-1)*100</f>
        <v>3.4729868742956471</v>
      </c>
      <c r="V33" s="175">
        <f t="shared" ref="V33:AC33" si="3">((V32/U32)^4-1)*100</f>
        <v>4.5727823733710871</v>
      </c>
      <c r="W33" s="175">
        <f t="shared" si="3"/>
        <v>5.2703701851707363</v>
      </c>
      <c r="X33" s="175">
        <f t="shared" si="3"/>
        <v>4.4207415105887327</v>
      </c>
      <c r="Y33" s="175">
        <f t="shared" si="3"/>
        <v>4.2624291366428535</v>
      </c>
      <c r="Z33" s="175">
        <f t="shared" si="3"/>
        <v>3.7559642184341602</v>
      </c>
      <c r="AA33" s="175">
        <f t="shared" si="3"/>
        <v>3.6539237455461615</v>
      </c>
      <c r="AB33" s="175">
        <f t="shared" si="3"/>
        <v>3.6075573724492882</v>
      </c>
      <c r="AC33" s="175">
        <f t="shared" si="3"/>
        <v>3.7071070833272657</v>
      </c>
      <c r="AD33" s="407" t="s">
        <v>393</v>
      </c>
    </row>
    <row r="34" spans="2:30" ht="17.850000000000001" customHeight="1" x14ac:dyDescent="0.3">
      <c r="B34" s="414" t="s">
        <v>394</v>
      </c>
      <c r="C34" s="193"/>
      <c r="D34" s="193"/>
      <c r="E34" s="193"/>
      <c r="F34" s="193"/>
      <c r="G34" s="193"/>
      <c r="H34" s="167">
        <f t="shared" ref="H34:T34" si="4">H31</f>
        <v>2384.1999999999998</v>
      </c>
      <c r="I34" s="167">
        <f t="shared" si="4"/>
        <v>2427.4</v>
      </c>
      <c r="J34" s="167">
        <f t="shared" si="4"/>
        <v>2391.8000000000002</v>
      </c>
      <c r="K34" s="167">
        <f t="shared" si="4"/>
        <v>2397.6</v>
      </c>
      <c r="L34" s="167">
        <f t="shared" si="4"/>
        <v>2416.5</v>
      </c>
      <c r="M34" s="167">
        <f t="shared" si="4"/>
        <v>2468.4</v>
      </c>
      <c r="N34" s="167">
        <f t="shared" si="4"/>
        <v>2516.4</v>
      </c>
      <c r="O34" s="167">
        <f t="shared" si="4"/>
        <v>2587.6</v>
      </c>
      <c r="P34" s="167">
        <f t="shared" si="4"/>
        <v>2633.9</v>
      </c>
      <c r="Q34" s="167">
        <f t="shared" si="4"/>
        <v>2698.2</v>
      </c>
      <c r="R34" s="167">
        <f t="shared" si="4"/>
        <v>2790</v>
      </c>
      <c r="S34" s="165">
        <f t="shared" si="4"/>
        <v>2836</v>
      </c>
      <c r="T34" s="1232">
        <f t="shared" si="4"/>
        <v>2881.6</v>
      </c>
      <c r="U34" s="173">
        <f t="shared" ref="U34" si="5">U31</f>
        <v>2906.3</v>
      </c>
      <c r="V34" s="358">
        <f t="shared" ref="V34:AC34" si="6">U34*((1+V33/100)^0.25)</f>
        <v>2938.9696941484776</v>
      </c>
      <c r="W34" s="358">
        <f t="shared" si="6"/>
        <v>2976.9507189407263</v>
      </c>
      <c r="X34" s="358">
        <f t="shared" si="6"/>
        <v>3009.3197717320099</v>
      </c>
      <c r="Y34" s="358">
        <f t="shared" si="6"/>
        <v>3040.8871142374405</v>
      </c>
      <c r="Z34" s="358">
        <f t="shared" si="6"/>
        <v>3069.0471880279993</v>
      </c>
      <c r="AA34" s="358">
        <f t="shared" si="6"/>
        <v>3096.7061928899002</v>
      </c>
      <c r="AB34" s="358">
        <f t="shared" si="6"/>
        <v>3124.2649839660703</v>
      </c>
      <c r="AC34" s="358">
        <f t="shared" si="6"/>
        <v>3152.8259128995555</v>
      </c>
    </row>
    <row r="35" spans="2:30" x14ac:dyDescent="0.3">
      <c r="B35" s="393" t="s">
        <v>395</v>
      </c>
      <c r="C35" s="394"/>
      <c r="D35" s="394"/>
      <c r="E35" s="394"/>
      <c r="F35" s="394"/>
      <c r="G35" s="394"/>
      <c r="H35" s="406">
        <f t="shared" ref="H35:P35" si="7">H31-H65</f>
        <v>2106.0279999999998</v>
      </c>
      <c r="I35" s="406">
        <f t="shared" si="7"/>
        <v>2141.529</v>
      </c>
      <c r="J35" s="406">
        <f t="shared" si="7"/>
        <v>1990.5010000000002</v>
      </c>
      <c r="K35" s="406">
        <f t="shared" si="7"/>
        <v>2021.4079999999999</v>
      </c>
      <c r="L35" s="406">
        <f t="shared" si="7"/>
        <v>2051.1390000000001</v>
      </c>
      <c r="M35" s="406">
        <f t="shared" si="7"/>
        <v>2079.0590000000002</v>
      </c>
      <c r="N35" s="406">
        <f t="shared" si="7"/>
        <v>2079.8069999999998</v>
      </c>
      <c r="O35" s="406">
        <f t="shared" si="7"/>
        <v>2143.2640000000001</v>
      </c>
      <c r="P35" s="406">
        <f t="shared" si="7"/>
        <v>2159.8381479999998</v>
      </c>
      <c r="Q35" s="406">
        <f t="shared" ref="Q35:AC35" si="8">Q34-Q65</f>
        <v>2187.2127252</v>
      </c>
      <c r="R35" s="406">
        <f t="shared" si="8"/>
        <v>2209.610968</v>
      </c>
      <c r="S35" s="406">
        <f t="shared" si="8"/>
        <v>2268.2721320000001</v>
      </c>
      <c r="T35" s="406">
        <f t="shared" si="8"/>
        <v>2350.5750720000001</v>
      </c>
      <c r="U35" s="318">
        <f t="shared" si="8"/>
        <v>2381.3944568000002</v>
      </c>
      <c r="V35" s="186">
        <f t="shared" si="8"/>
        <v>2353.6518114482687</v>
      </c>
      <c r="W35" s="186">
        <f t="shared" si="8"/>
        <v>2392.2041231046969</v>
      </c>
      <c r="X35" s="186">
        <f t="shared" si="8"/>
        <v>2421.9456574013893</v>
      </c>
      <c r="Y35" s="186">
        <f t="shared" si="8"/>
        <v>2464.3090955707739</v>
      </c>
      <c r="Z35" s="186">
        <f t="shared" si="8"/>
        <v>2511.7113107797823</v>
      </c>
      <c r="AA35" s="186">
        <f t="shared" si="8"/>
        <v>2534.2842454604297</v>
      </c>
      <c r="AB35" s="186">
        <f t="shared" si="8"/>
        <v>2554.8658987222248</v>
      </c>
      <c r="AC35" s="344">
        <f t="shared" si="8"/>
        <v>2599.6194129662222</v>
      </c>
      <c r="AD35" s="163" t="s">
        <v>396</v>
      </c>
    </row>
    <row r="36" spans="2:30" x14ac:dyDescent="0.3">
      <c r="B36" s="35"/>
      <c r="C36" s="35"/>
      <c r="D36" s="35"/>
      <c r="E36" s="35"/>
      <c r="F36" s="35"/>
      <c r="G36" s="35"/>
      <c r="H36" s="35"/>
      <c r="I36" s="35"/>
      <c r="J36" s="35"/>
      <c r="K36" s="35"/>
      <c r="L36" s="35"/>
      <c r="M36" s="120"/>
      <c r="N36" s="120"/>
      <c r="O36" s="120"/>
      <c r="P36" s="120"/>
      <c r="Q36" s="120"/>
      <c r="R36" s="120"/>
      <c r="S36" s="108"/>
      <c r="T36" s="108"/>
      <c r="U36" s="108"/>
      <c r="V36" s="108"/>
      <c r="W36" s="108"/>
      <c r="X36" s="108"/>
      <c r="Y36" s="108"/>
      <c r="Z36" s="108"/>
      <c r="AA36" s="108"/>
      <c r="AB36" s="108"/>
      <c r="AC36" s="108"/>
    </row>
    <row r="37" spans="2:30" x14ac:dyDescent="0.3">
      <c r="B37" s="1099"/>
      <c r="C37" s="1099"/>
      <c r="D37" s="1099"/>
      <c r="E37" s="1099"/>
      <c r="F37" s="1099"/>
      <c r="G37" s="1099"/>
      <c r="H37" s="1099"/>
      <c r="I37" s="1099"/>
      <c r="J37" s="1099"/>
      <c r="K37" s="1099"/>
      <c r="L37" s="1099"/>
      <c r="M37" s="120"/>
      <c r="N37" s="120"/>
      <c r="O37" s="120"/>
      <c r="P37" s="120"/>
      <c r="Q37" s="120"/>
      <c r="R37" s="120"/>
      <c r="S37" s="108"/>
      <c r="T37" s="1123">
        <v>2881.6</v>
      </c>
      <c r="U37" s="1124"/>
      <c r="V37" s="201"/>
      <c r="W37" s="201"/>
      <c r="X37" s="201"/>
      <c r="Y37" s="201"/>
      <c r="Z37" s="201"/>
      <c r="AA37" s="201"/>
      <c r="AB37" s="201"/>
      <c r="AC37" s="1125"/>
    </row>
    <row r="38" spans="2:30" x14ac:dyDescent="0.3">
      <c r="B38" s="1099"/>
      <c r="C38" s="1099"/>
      <c r="D38" s="1099"/>
      <c r="E38" s="1099"/>
      <c r="F38" s="1099"/>
      <c r="G38" s="1099"/>
      <c r="H38" s="1099"/>
      <c r="I38" s="1099"/>
      <c r="J38" s="1099"/>
      <c r="K38" s="1099"/>
      <c r="L38" s="1099"/>
      <c r="M38" s="120"/>
      <c r="N38" s="120"/>
      <c r="O38" s="120"/>
      <c r="P38" s="120"/>
      <c r="Q38" s="120"/>
      <c r="R38" s="120"/>
      <c r="S38" s="108"/>
      <c r="T38" s="376">
        <v>2871.1</v>
      </c>
      <c r="U38" s="640">
        <v>2900.1</v>
      </c>
      <c r="V38" s="377">
        <v>2932.7</v>
      </c>
      <c r="W38" s="377">
        <v>2970.6</v>
      </c>
      <c r="X38" s="377">
        <v>3002.9</v>
      </c>
      <c r="Y38" s="377">
        <v>3034.4</v>
      </c>
      <c r="Z38" s="377">
        <v>3062.5</v>
      </c>
      <c r="AA38" s="377">
        <v>3090.1</v>
      </c>
      <c r="AB38" s="377">
        <v>3117.6</v>
      </c>
      <c r="AC38" s="378">
        <v>3146.1</v>
      </c>
    </row>
    <row r="39" spans="2:30" x14ac:dyDescent="0.3">
      <c r="B39" s="1099"/>
      <c r="C39" s="1099"/>
      <c r="D39" s="1099"/>
      <c r="E39" s="1099"/>
      <c r="F39" s="1099"/>
      <c r="G39" s="1099"/>
      <c r="H39" s="1099"/>
      <c r="I39" s="1099"/>
      <c r="J39" s="1099"/>
      <c r="K39" s="1099"/>
      <c r="L39" s="1099"/>
      <c r="M39" s="120"/>
      <c r="N39" s="120"/>
      <c r="O39" s="120"/>
      <c r="P39" s="120"/>
      <c r="Q39" s="120"/>
      <c r="R39" s="120"/>
      <c r="S39" s="108"/>
      <c r="T39" s="373">
        <v>6.5883835073017982</v>
      </c>
      <c r="U39" s="1126">
        <v>4.1018905342404821</v>
      </c>
      <c r="V39" s="175">
        <v>4.5727823733710871</v>
      </c>
      <c r="W39" s="175">
        <v>5.2703701851707363</v>
      </c>
      <c r="X39" s="175">
        <v>4.4207415105887327</v>
      </c>
      <c r="Y39" s="175">
        <v>4.2624291366428535</v>
      </c>
      <c r="Z39" s="175">
        <v>3.7559642184341602</v>
      </c>
      <c r="AA39" s="175">
        <v>3.6539237455461615</v>
      </c>
      <c r="AB39" s="175">
        <v>3.6075573724492882</v>
      </c>
      <c r="AC39" s="175">
        <v>3.7071070833272657</v>
      </c>
    </row>
    <row r="40" spans="2:30" x14ac:dyDescent="0.3">
      <c r="B40" s="1099"/>
      <c r="C40" s="1099"/>
      <c r="D40" s="1099"/>
      <c r="E40" s="1099"/>
      <c r="F40" s="1099"/>
      <c r="G40" s="1099"/>
      <c r="H40" s="1099"/>
      <c r="I40" s="1099"/>
      <c r="J40" s="1099"/>
      <c r="K40" s="1099"/>
      <c r="L40" s="1099"/>
      <c r="M40" s="120"/>
      <c r="N40" s="120"/>
      <c r="O40" s="120"/>
      <c r="P40" s="120"/>
      <c r="Q40" s="120"/>
      <c r="R40" s="120"/>
      <c r="S40" s="108"/>
      <c r="T40" s="165">
        <v>2881.6</v>
      </c>
      <c r="U40" s="1127">
        <v>2910.7060569119849</v>
      </c>
      <c r="V40" s="358">
        <v>2943.4252795095954</v>
      </c>
      <c r="W40" s="358">
        <v>2981.4638849221551</v>
      </c>
      <c r="X40" s="358">
        <v>3013.8820103792973</v>
      </c>
      <c r="Y40" s="358">
        <v>3045.4972101285221</v>
      </c>
      <c r="Z40" s="358">
        <v>3073.6999756191003</v>
      </c>
      <c r="AA40" s="358">
        <v>3101.4009125422303</v>
      </c>
      <c r="AB40" s="358">
        <v>3129.0014837518715</v>
      </c>
      <c r="AC40" s="358">
        <v>3157.6057120964088</v>
      </c>
    </row>
    <row r="41" spans="2:30" x14ac:dyDescent="0.3">
      <c r="B41" s="1099"/>
      <c r="C41" s="1099"/>
      <c r="D41" s="1099"/>
      <c r="E41" s="1099"/>
      <c r="F41" s="1099"/>
      <c r="G41" s="1099"/>
      <c r="H41" s="1099"/>
      <c r="I41" s="1099"/>
      <c r="J41" s="1099"/>
      <c r="K41" s="1099"/>
      <c r="L41" s="1099"/>
      <c r="M41" s="120"/>
      <c r="N41" s="120"/>
      <c r="O41" s="120"/>
      <c r="P41" s="120"/>
      <c r="Q41" s="120"/>
      <c r="R41" s="120"/>
      <c r="S41" s="108"/>
      <c r="T41" s="406">
        <v>2350.5750720000001</v>
      </c>
      <c r="U41" s="1128">
        <v>2402.4911882394549</v>
      </c>
      <c r="V41" s="186">
        <v>2431.0260270143904</v>
      </c>
      <c r="W41" s="186">
        <v>2470.3544161995333</v>
      </c>
      <c r="X41" s="186">
        <v>2500.8705997126308</v>
      </c>
      <c r="Y41" s="186">
        <v>2544.0146210770909</v>
      </c>
      <c r="Z41" s="186">
        <v>2592.1994737840869</v>
      </c>
      <c r="AA41" s="186">
        <v>2615.5615773107033</v>
      </c>
      <c r="AB41" s="186">
        <v>2636.9396103185381</v>
      </c>
      <c r="AC41" s="344">
        <v>2682.4984589629203</v>
      </c>
    </row>
    <row r="42" spans="2:30" x14ac:dyDescent="0.3">
      <c r="B42" s="1099"/>
      <c r="C42" s="1099"/>
      <c r="D42" s="1099"/>
      <c r="E42" s="1099"/>
      <c r="F42" s="1099"/>
      <c r="G42" s="1099"/>
      <c r="H42" s="1099"/>
      <c r="I42" s="1099"/>
      <c r="J42" s="1099"/>
      <c r="K42" s="1099"/>
      <c r="L42" s="1099"/>
      <c r="M42" s="120"/>
      <c r="N42" s="120"/>
      <c r="O42" s="120"/>
      <c r="P42" s="120"/>
      <c r="Q42" s="120"/>
      <c r="R42" s="120"/>
      <c r="S42" s="108"/>
      <c r="T42" s="108"/>
      <c r="U42" s="108"/>
      <c r="V42" s="108"/>
      <c r="W42" s="108"/>
      <c r="X42" s="108"/>
      <c r="Y42" s="108"/>
      <c r="Z42" s="108"/>
      <c r="AA42" s="108"/>
      <c r="AB42" s="108"/>
      <c r="AC42" s="108"/>
    </row>
    <row r="43" spans="2:30" x14ac:dyDescent="0.3">
      <c r="B43" s="1099"/>
      <c r="C43" s="1099"/>
      <c r="D43" s="1099"/>
      <c r="E43" s="1099"/>
      <c r="F43" s="1099"/>
      <c r="G43" s="1099"/>
      <c r="H43" s="1099"/>
      <c r="I43" s="1099"/>
      <c r="J43" s="1099"/>
      <c r="K43" s="1099"/>
      <c r="L43" s="1099"/>
      <c r="M43" s="120"/>
      <c r="N43" s="120"/>
      <c r="O43" s="120"/>
      <c r="P43" s="120"/>
      <c r="Q43" s="120"/>
      <c r="R43" s="120"/>
      <c r="S43" s="108"/>
      <c r="T43" s="108"/>
      <c r="U43" s="108"/>
      <c r="V43" s="108"/>
      <c r="W43" s="108"/>
      <c r="X43" s="108"/>
      <c r="Y43" s="108"/>
      <c r="Z43" s="108"/>
      <c r="AA43" s="108"/>
      <c r="AB43" s="108"/>
      <c r="AC43" s="108"/>
    </row>
    <row r="44" spans="2:30" x14ac:dyDescent="0.3">
      <c r="B44" s="1099"/>
      <c r="C44" s="1099"/>
      <c r="D44" s="1099"/>
      <c r="E44" s="1099"/>
      <c r="F44" s="1099"/>
      <c r="G44" s="1099"/>
      <c r="H44" s="1099"/>
      <c r="I44" s="1099"/>
      <c r="J44" s="1099"/>
      <c r="K44" s="1099"/>
      <c r="L44" s="1099"/>
      <c r="M44" s="120"/>
      <c r="N44" s="120"/>
      <c r="O44" s="120"/>
      <c r="P44" s="120"/>
      <c r="Q44" s="120"/>
      <c r="R44" s="120"/>
      <c r="S44" s="108"/>
      <c r="T44" s="108"/>
      <c r="U44" s="108"/>
      <c r="V44" s="108"/>
      <c r="W44" s="108"/>
      <c r="X44" s="108"/>
      <c r="Y44" s="108"/>
      <c r="Z44" s="108"/>
      <c r="AA44" s="108"/>
      <c r="AB44" s="108"/>
      <c r="AC44" s="108"/>
    </row>
    <row r="45" spans="2:30" x14ac:dyDescent="0.3">
      <c r="B45" s="35"/>
      <c r="C45" s="35"/>
      <c r="D45" s="35"/>
      <c r="E45" s="35"/>
      <c r="F45" s="35"/>
      <c r="G45" s="35"/>
      <c r="H45" s="35"/>
      <c r="I45" s="35"/>
      <c r="J45" s="35"/>
      <c r="K45" s="35"/>
      <c r="L45" s="35"/>
      <c r="M45" s="120"/>
      <c r="N45" s="120"/>
      <c r="O45" s="120"/>
      <c r="P45" s="120"/>
      <c r="Q45" s="120"/>
      <c r="R45" s="120"/>
      <c r="S45" s="108"/>
      <c r="T45" s="108"/>
      <c r="U45" s="108"/>
      <c r="V45" s="108"/>
      <c r="W45" s="108"/>
      <c r="X45" s="108"/>
      <c r="Y45" s="108"/>
      <c r="Z45" s="108"/>
      <c r="AA45" s="108"/>
      <c r="AB45" s="108"/>
      <c r="AC45" s="108"/>
    </row>
    <row r="46" spans="2:30" x14ac:dyDescent="0.3">
      <c r="B46" s="35"/>
      <c r="C46" s="35"/>
      <c r="D46" s="35"/>
      <c r="E46" s="35"/>
      <c r="F46" s="35"/>
      <c r="G46" s="35"/>
      <c r="H46" s="35"/>
      <c r="I46" s="35"/>
      <c r="J46" s="35"/>
      <c r="K46" s="35"/>
      <c r="L46" s="35"/>
      <c r="M46" s="120"/>
      <c r="N46" s="120"/>
      <c r="O46" s="120"/>
      <c r="P46" s="120"/>
      <c r="Q46" s="120"/>
      <c r="R46" s="120"/>
      <c r="S46" s="108"/>
      <c r="T46" s="108"/>
      <c r="U46" s="108"/>
      <c r="V46" s="108"/>
      <c r="W46" s="108"/>
      <c r="X46" s="108"/>
      <c r="Y46" s="108"/>
      <c r="Z46" s="108"/>
      <c r="AA46" s="108"/>
      <c r="AB46" s="108"/>
      <c r="AC46" s="108"/>
    </row>
    <row r="47" spans="2:30" x14ac:dyDescent="0.3">
      <c r="B47" s="154"/>
      <c r="C47" s="154"/>
      <c r="D47" s="154"/>
      <c r="E47" s="154"/>
      <c r="F47" s="154"/>
      <c r="G47" s="154"/>
      <c r="H47" s="164"/>
      <c r="I47" s="164"/>
      <c r="J47" s="164"/>
      <c r="K47" s="164"/>
      <c r="L47" s="164"/>
      <c r="M47" s="164"/>
      <c r="N47" s="164"/>
      <c r="O47" s="164"/>
      <c r="P47" s="164"/>
      <c r="Q47" s="402"/>
      <c r="R47" s="164"/>
      <c r="S47" s="164"/>
      <c r="T47" s="164"/>
      <c r="U47" s="164"/>
      <c r="V47" s="164"/>
      <c r="W47" s="164"/>
      <c r="X47" s="164"/>
      <c r="Y47" s="164"/>
      <c r="Z47" s="164"/>
    </row>
    <row r="48" spans="2:30" ht="85.35" customHeight="1" x14ac:dyDescent="0.3">
      <c r="B48" s="408" t="s">
        <v>889</v>
      </c>
      <c r="C48" s="413" t="s">
        <v>888</v>
      </c>
      <c r="D48" s="411">
        <v>44197</v>
      </c>
      <c r="E48" s="412">
        <v>44228</v>
      </c>
      <c r="F48" s="412">
        <v>44256</v>
      </c>
      <c r="G48" s="412">
        <v>44287</v>
      </c>
      <c r="H48" s="412">
        <v>44317</v>
      </c>
      <c r="I48" s="412">
        <v>44348</v>
      </c>
      <c r="J48" s="412">
        <v>44378</v>
      </c>
      <c r="K48" s="412">
        <v>44409</v>
      </c>
      <c r="L48" s="412">
        <v>44440</v>
      </c>
      <c r="M48" s="412">
        <v>44470</v>
      </c>
      <c r="N48" s="412">
        <v>44501</v>
      </c>
      <c r="O48" s="412">
        <v>44531</v>
      </c>
      <c r="P48" s="404">
        <v>44562</v>
      </c>
      <c r="Q48" s="403">
        <v>44593</v>
      </c>
      <c r="R48" s="404">
        <v>44621</v>
      </c>
      <c r="S48" s="404">
        <v>44652</v>
      </c>
      <c r="T48" s="404">
        <v>44682</v>
      </c>
      <c r="U48" s="404">
        <v>44713</v>
      </c>
      <c r="V48" s="404">
        <v>44743</v>
      </c>
      <c r="W48" s="404">
        <v>44774</v>
      </c>
      <c r="X48" s="404">
        <v>44805</v>
      </c>
      <c r="Y48" s="404">
        <v>44835</v>
      </c>
      <c r="Z48" s="404">
        <v>44866</v>
      </c>
      <c r="AA48" s="404">
        <v>44896</v>
      </c>
      <c r="AB48" s="404">
        <v>44927</v>
      </c>
      <c r="AC48" s="404">
        <v>44958</v>
      </c>
      <c r="AD48" s="404">
        <v>44986</v>
      </c>
    </row>
    <row r="49" spans="2:33" ht="19.5" customHeight="1" x14ac:dyDescent="0.3">
      <c r="B49" s="306" t="s">
        <v>397</v>
      </c>
      <c r="C49" s="400" t="s">
        <v>398</v>
      </c>
      <c r="D49" s="35">
        <v>5162</v>
      </c>
      <c r="E49" s="35">
        <v>5167</v>
      </c>
      <c r="F49" s="35">
        <v>5195</v>
      </c>
      <c r="G49" s="35">
        <v>5191</v>
      </c>
      <c r="H49" s="35">
        <v>5179</v>
      </c>
      <c r="I49" s="35">
        <v>5190</v>
      </c>
      <c r="J49" s="35">
        <f>[1]Sheet1!H$2</f>
        <v>5241</v>
      </c>
      <c r="K49" s="35">
        <f>[1]Sheet1!I$2</f>
        <v>5226</v>
      </c>
      <c r="L49" s="35">
        <f>[1]Sheet1!J$2</f>
        <v>5224</v>
      </c>
      <c r="M49" s="35">
        <f>[1]Sheet1!K$2</f>
        <v>5224</v>
      </c>
      <c r="N49" s="35">
        <f>[1]Sheet1!L$2</f>
        <v>5220</v>
      </c>
      <c r="O49" s="35">
        <f>[1]Sheet1!M$2</f>
        <v>5237</v>
      </c>
      <c r="P49" s="35">
        <v>5101</v>
      </c>
      <c r="Q49" s="35">
        <v>5088</v>
      </c>
      <c r="R49" s="35">
        <v>5063</v>
      </c>
      <c r="S49" s="35">
        <v>5077</v>
      </c>
      <c r="T49" s="35">
        <v>5092</v>
      </c>
      <c r="U49" s="35">
        <v>5090</v>
      </c>
      <c r="V49" s="35">
        <v>5103</v>
      </c>
      <c r="W49" s="35">
        <v>5109</v>
      </c>
      <c r="X49" s="35">
        <v>5115</v>
      </c>
      <c r="Y49" s="35">
        <v>5104</v>
      </c>
      <c r="Z49" s="164">
        <v>5116</v>
      </c>
      <c r="AA49">
        <v>5087</v>
      </c>
      <c r="AB49">
        <v>5156</v>
      </c>
      <c r="AC49">
        <v>5171</v>
      </c>
      <c r="AD49">
        <v>5184</v>
      </c>
    </row>
    <row r="50" spans="2:33" ht="18" customHeight="1" x14ac:dyDescent="0.3">
      <c r="B50" s="153" t="s">
        <v>399</v>
      </c>
      <c r="C50" s="163" t="s">
        <v>400</v>
      </c>
      <c r="D50" s="35">
        <f>[1]Sheet1!B$3</f>
        <v>13748</v>
      </c>
      <c r="E50" s="35">
        <f>[1]Sheet1!C$3</f>
        <v>13760</v>
      </c>
      <c r="F50" s="35">
        <f>[1]Sheet1!D$3</f>
        <v>13801</v>
      </c>
      <c r="G50" s="35">
        <f>[1]Sheet1!E$3</f>
        <v>13842</v>
      </c>
      <c r="H50" s="35">
        <f>[1]Sheet1!F$3</f>
        <v>13856</v>
      </c>
      <c r="I50" s="35">
        <f>[1]Sheet1!G$3</f>
        <v>13889</v>
      </c>
      <c r="J50" s="35">
        <f>[1]Sheet1!H$3</f>
        <v>13948</v>
      </c>
      <c r="K50" s="35">
        <f>[1]Sheet1!I$3</f>
        <v>13984</v>
      </c>
      <c r="L50" s="35">
        <f>[1]Sheet1!J$3</f>
        <v>14002</v>
      </c>
      <c r="M50" s="35">
        <f>[1]Sheet1!K$3</f>
        <v>13990</v>
      </c>
      <c r="N50" s="35">
        <f>[1]Sheet1!L$3</f>
        <v>14010</v>
      </c>
      <c r="O50" s="35">
        <f>[1]Sheet1!M$3</f>
        <v>14028</v>
      </c>
      <c r="P50" s="35">
        <v>14100</v>
      </c>
      <c r="Q50" s="35">
        <v>14120</v>
      </c>
      <c r="R50" s="35">
        <v>14137</v>
      </c>
      <c r="S50" s="35">
        <v>14153</v>
      </c>
      <c r="T50" s="35">
        <v>14162</v>
      </c>
      <c r="U50" s="35">
        <v>14169</v>
      </c>
      <c r="V50" s="35">
        <v>14215</v>
      </c>
      <c r="W50" s="35">
        <v>14257</v>
      </c>
      <c r="X50" s="35">
        <v>14255</v>
      </c>
      <c r="Y50" s="35">
        <v>14287</v>
      </c>
      <c r="Z50" s="164">
        <v>14335</v>
      </c>
      <c r="AA50">
        <v>14370</v>
      </c>
      <c r="AB50">
        <v>14408</v>
      </c>
      <c r="AC50">
        <v>14444</v>
      </c>
      <c r="AD50">
        <v>14470</v>
      </c>
      <c r="AG50" s="163"/>
    </row>
    <row r="51" spans="2:33" ht="19.5" customHeight="1" x14ac:dyDescent="0.3">
      <c r="B51" s="393" t="s">
        <v>401</v>
      </c>
      <c r="C51" s="230" t="s">
        <v>402</v>
      </c>
      <c r="D51" s="36">
        <f>[1]Sheet1!B$4</f>
        <v>328517</v>
      </c>
      <c r="E51" s="36">
        <f>[1]Sheet1!C$4</f>
        <v>320118</v>
      </c>
      <c r="F51" s="36">
        <f>[1]Sheet1!D$4</f>
        <v>319991</v>
      </c>
      <c r="G51" s="36">
        <f>[1]Sheet1!E$4</f>
        <v>321220</v>
      </c>
      <c r="H51" s="36">
        <f>[1]Sheet1!F$4</f>
        <v>319056</v>
      </c>
      <c r="I51" s="36">
        <f>[1]Sheet1!G$4</f>
        <v>315198</v>
      </c>
      <c r="J51" s="36">
        <f>[1]Sheet1!H$4</f>
        <v>318559</v>
      </c>
      <c r="K51" s="36">
        <f>[1]Sheet1!I$4</f>
        <v>323086</v>
      </c>
      <c r="L51" s="36">
        <f>[1]Sheet1!J$4</f>
        <v>324024</v>
      </c>
      <c r="M51" s="36">
        <f>[1]Sheet1!K$4</f>
        <v>325954</v>
      </c>
      <c r="N51" s="36">
        <f>[1]Sheet1!L$4</f>
        <v>325873</v>
      </c>
      <c r="O51" s="36">
        <f>[1]Sheet1!M$4</f>
        <v>323714</v>
      </c>
      <c r="P51" s="36">
        <v>318072</v>
      </c>
      <c r="Q51" s="36">
        <v>320065</v>
      </c>
      <c r="R51" s="36">
        <v>319759</v>
      </c>
      <c r="S51" s="36">
        <v>323392</v>
      </c>
      <c r="T51" s="36">
        <v>320626</v>
      </c>
      <c r="U51" s="36">
        <v>324999</v>
      </c>
      <c r="V51" s="36">
        <v>336811</v>
      </c>
      <c r="W51" s="36">
        <v>342774</v>
      </c>
      <c r="X51" s="36">
        <v>351047</v>
      </c>
      <c r="Y51" s="36">
        <v>353981</v>
      </c>
      <c r="Z51" s="164">
        <v>355898</v>
      </c>
      <c r="AA51">
        <v>359372</v>
      </c>
      <c r="AB51">
        <v>360187</v>
      </c>
      <c r="AC51">
        <v>359010</v>
      </c>
      <c r="AD51" t="s">
        <v>2210</v>
      </c>
      <c r="AG51" s="163"/>
    </row>
    <row r="52" spans="2:33" ht="15.6" customHeight="1" x14ac:dyDescent="0.3">
      <c r="B52" s="193"/>
      <c r="C52" s="154"/>
      <c r="D52" s="154"/>
      <c r="E52" s="154"/>
      <c r="F52" s="154"/>
      <c r="G52" s="154"/>
      <c r="H52" s="164"/>
      <c r="I52" s="164"/>
      <c r="J52" s="164"/>
      <c r="Q52" s="415"/>
      <c r="R52" s="164"/>
      <c r="S52" s="164"/>
      <c r="T52" s="164"/>
      <c r="U52" s="164"/>
      <c r="V52" s="164"/>
      <c r="W52" s="164"/>
      <c r="X52" s="164"/>
      <c r="Y52" s="164"/>
      <c r="Z52" s="164"/>
      <c r="AG52" s="163"/>
    </row>
    <row r="53" spans="2:33" ht="12.75" customHeight="1" x14ac:dyDescent="0.3">
      <c r="AG53" s="163"/>
    </row>
    <row r="54" spans="2:33" x14ac:dyDescent="0.3">
      <c r="B54" s="1610" t="s">
        <v>403</v>
      </c>
      <c r="C54" s="1610"/>
      <c r="D54" s="1610"/>
      <c r="E54" s="1610"/>
      <c r="F54" s="1610"/>
      <c r="G54" s="1610"/>
      <c r="H54" s="1610"/>
      <c r="I54" s="1610"/>
      <c r="J54" s="1610"/>
      <c r="K54" s="1610"/>
      <c r="L54" s="1610"/>
      <c r="M54" s="1610"/>
      <c r="N54" s="1610"/>
      <c r="O54" s="1610"/>
      <c r="P54" s="1610"/>
      <c r="Q54" s="1610"/>
      <c r="R54" s="1610"/>
      <c r="S54" s="1610"/>
      <c r="T54" s="1610"/>
      <c r="U54" s="1610"/>
      <c r="V54" s="1610"/>
      <c r="W54" s="1610"/>
      <c r="X54" s="1610"/>
      <c r="Y54" s="1610"/>
      <c r="Z54" s="1610"/>
      <c r="AA54" s="1610"/>
      <c r="AB54" s="1610"/>
      <c r="AC54" s="1610"/>
      <c r="AG54" s="163"/>
    </row>
    <row r="55" spans="2:33" ht="9" customHeight="1" x14ac:dyDescent="0.3">
      <c r="B55" s="1610"/>
      <c r="C55" s="1610"/>
      <c r="D55" s="1610"/>
      <c r="E55" s="1610"/>
      <c r="F55" s="1610"/>
      <c r="G55" s="1610"/>
      <c r="H55" s="1610"/>
      <c r="I55" s="1610"/>
      <c r="J55" s="1610"/>
      <c r="K55" s="1610"/>
      <c r="L55" s="1610"/>
      <c r="M55" s="1610"/>
      <c r="N55" s="1610"/>
      <c r="O55" s="1610"/>
      <c r="P55" s="1610"/>
      <c r="Q55" s="1610"/>
      <c r="R55" s="1610"/>
      <c r="S55" s="1610"/>
      <c r="T55" s="1610"/>
      <c r="U55" s="1610"/>
      <c r="V55" s="1610"/>
      <c r="W55" s="1610"/>
      <c r="X55" s="1610"/>
      <c r="Y55" s="1610"/>
      <c r="Z55" s="1610"/>
      <c r="AA55" s="1610"/>
      <c r="AB55" s="1610"/>
      <c r="AC55" s="1610"/>
      <c r="AG55" s="163"/>
    </row>
    <row r="56" spans="2:33" ht="14.25" customHeight="1" x14ac:dyDescent="0.3">
      <c r="B56" s="1672" t="s">
        <v>404</v>
      </c>
      <c r="C56" s="1672"/>
      <c r="D56" s="1672"/>
      <c r="E56" s="1672"/>
      <c r="F56" s="1672"/>
      <c r="G56" s="1672"/>
      <c r="H56" s="1672"/>
      <c r="I56" s="1672"/>
      <c r="J56" s="1672"/>
      <c r="K56" s="1672"/>
      <c r="L56" s="1672"/>
      <c r="M56" s="1672"/>
      <c r="N56" s="1672"/>
      <c r="O56" s="1672"/>
      <c r="P56" s="1672"/>
      <c r="Q56" s="1672"/>
      <c r="R56" s="1672"/>
      <c r="S56" s="1672"/>
      <c r="T56" s="1672"/>
      <c r="U56" s="1672"/>
      <c r="V56" s="1672"/>
      <c r="W56" s="1672"/>
      <c r="X56" s="1672"/>
      <c r="Y56" s="1672"/>
      <c r="Z56" s="1672"/>
      <c r="AA56" s="1672"/>
      <c r="AB56" s="1672"/>
      <c r="AC56" s="1672"/>
      <c r="AG56" s="163"/>
    </row>
    <row r="57" spans="2:33" x14ac:dyDescent="0.3">
      <c r="B57" s="1672"/>
      <c r="C57" s="1672"/>
      <c r="D57" s="1672"/>
      <c r="E57" s="1672"/>
      <c r="F57" s="1672"/>
      <c r="G57" s="1672"/>
      <c r="H57" s="1672"/>
      <c r="I57" s="1672"/>
      <c r="J57" s="1672"/>
      <c r="K57" s="1672"/>
      <c r="L57" s="1672"/>
      <c r="M57" s="1672"/>
      <c r="N57" s="1672"/>
      <c r="O57" s="1672"/>
      <c r="P57" s="1672"/>
      <c r="Q57" s="1672"/>
      <c r="R57" s="1672"/>
      <c r="S57" s="1672"/>
      <c r="T57" s="1672"/>
      <c r="U57" s="1672"/>
      <c r="V57" s="1672"/>
      <c r="W57" s="1672"/>
      <c r="X57" s="1672"/>
      <c r="Y57" s="1672"/>
      <c r="Z57" s="1672"/>
      <c r="AA57" s="1672"/>
      <c r="AB57" s="1672"/>
      <c r="AC57" s="1672"/>
      <c r="AG57" s="163"/>
    </row>
    <row r="58" spans="2:33" ht="8.85" customHeight="1" x14ac:dyDescent="0.3">
      <c r="B58" s="1672"/>
      <c r="C58" s="1672"/>
      <c r="D58" s="1672"/>
      <c r="E58" s="1672"/>
      <c r="F58" s="1672"/>
      <c r="G58" s="1672"/>
      <c r="H58" s="1672"/>
      <c r="I58" s="1672"/>
      <c r="J58" s="1672"/>
      <c r="K58" s="1672"/>
      <c r="L58" s="1672"/>
      <c r="M58" s="1672"/>
      <c r="N58" s="1672"/>
      <c r="O58" s="1672"/>
      <c r="P58" s="1672"/>
      <c r="Q58" s="1672"/>
      <c r="R58" s="1672"/>
      <c r="S58" s="1672"/>
      <c r="T58" s="1672"/>
      <c r="U58" s="1672"/>
      <c r="V58" s="1672"/>
      <c r="W58" s="1672"/>
      <c r="X58" s="1672"/>
      <c r="Y58" s="1672"/>
      <c r="Z58" s="1672"/>
      <c r="AA58" s="1672"/>
      <c r="AB58" s="1672"/>
      <c r="AC58" s="1672"/>
      <c r="AG58" s="163"/>
    </row>
    <row r="59" spans="2:33" ht="12.75" customHeight="1" x14ac:dyDescent="0.3">
      <c r="AG59" s="163"/>
    </row>
    <row r="60" spans="2:33" ht="30.75" customHeight="1" x14ac:dyDescent="0.3">
      <c r="B60" s="1629" t="s">
        <v>279</v>
      </c>
      <c r="C60" s="1660"/>
      <c r="D60" s="1625" t="s">
        <v>280</v>
      </c>
      <c r="E60" s="1626"/>
      <c r="F60" s="1626"/>
      <c r="G60" s="1626"/>
      <c r="H60" s="1626"/>
      <c r="I60" s="1626"/>
      <c r="J60" s="1626"/>
      <c r="K60" s="1626"/>
      <c r="L60" s="1626"/>
      <c r="M60" s="1626"/>
      <c r="N60" s="1626"/>
      <c r="O60" s="1626"/>
      <c r="P60" s="1626"/>
      <c r="Q60" s="1626"/>
      <c r="R60" s="1626"/>
      <c r="S60" s="1626"/>
      <c r="T60" s="1626"/>
      <c r="U60" s="1246"/>
      <c r="V60" s="1627" t="s">
        <v>281</v>
      </c>
      <c r="W60" s="1605"/>
      <c r="X60" s="1605"/>
      <c r="Y60" s="1605"/>
      <c r="Z60" s="1605"/>
      <c r="AA60" s="1605"/>
      <c r="AB60" s="1605"/>
      <c r="AC60" s="1606"/>
      <c r="AG60" s="163"/>
    </row>
    <row r="61" spans="2:33" x14ac:dyDescent="0.3">
      <c r="B61" s="1617"/>
      <c r="C61" s="1673"/>
      <c r="D61" s="127">
        <v>2018</v>
      </c>
      <c r="E61" s="1600">
        <v>2019</v>
      </c>
      <c r="F61" s="1622"/>
      <c r="G61" s="1622"/>
      <c r="H61" s="1637"/>
      <c r="I61" s="1600">
        <v>2020</v>
      </c>
      <c r="J61" s="1622"/>
      <c r="K61" s="1622"/>
      <c r="L61" s="1622"/>
      <c r="M61" s="1600">
        <v>2021</v>
      </c>
      <c r="N61" s="1622"/>
      <c r="O61" s="1622"/>
      <c r="P61" s="1622"/>
      <c r="Q61" s="1600">
        <v>2022</v>
      </c>
      <c r="R61" s="1601"/>
      <c r="S61" s="1601"/>
      <c r="T61" s="1637"/>
      <c r="U61" s="1242"/>
      <c r="V61" s="1243">
        <v>2023</v>
      </c>
      <c r="W61" s="1243"/>
      <c r="X61" s="1244"/>
      <c r="Y61" s="1609">
        <v>2024</v>
      </c>
      <c r="Z61" s="1607"/>
      <c r="AA61" s="1607"/>
      <c r="AB61" s="1608"/>
      <c r="AC61" s="178">
        <v>2025</v>
      </c>
      <c r="AG61" s="163"/>
    </row>
    <row r="62" spans="2:33" x14ac:dyDescent="0.3">
      <c r="B62" s="1619"/>
      <c r="C62" s="1674"/>
      <c r="D62" s="118" t="s">
        <v>282</v>
      </c>
      <c r="E62" s="118" t="s">
        <v>283</v>
      </c>
      <c r="F62" s="132" t="s">
        <v>284</v>
      </c>
      <c r="G62" s="132" t="s">
        <v>238</v>
      </c>
      <c r="H62" s="115" t="s">
        <v>282</v>
      </c>
      <c r="I62" s="132" t="s">
        <v>283</v>
      </c>
      <c r="J62" s="132" t="s">
        <v>284</v>
      </c>
      <c r="K62" s="132" t="s">
        <v>238</v>
      </c>
      <c r="L62" s="132" t="s">
        <v>282</v>
      </c>
      <c r="M62" s="118" t="s">
        <v>283</v>
      </c>
      <c r="N62" s="132" t="s">
        <v>284</v>
      </c>
      <c r="O62" s="132" t="s">
        <v>238</v>
      </c>
      <c r="P62" s="132" t="s">
        <v>282</v>
      </c>
      <c r="Q62" s="118" t="s">
        <v>283</v>
      </c>
      <c r="R62" s="132" t="s">
        <v>284</v>
      </c>
      <c r="S62" s="132" t="s">
        <v>238</v>
      </c>
      <c r="T62" s="115" t="s">
        <v>282</v>
      </c>
      <c r="U62" s="1315" t="s">
        <v>283</v>
      </c>
      <c r="V62" s="190" t="s">
        <v>284</v>
      </c>
      <c r="W62" s="190" t="s">
        <v>238</v>
      </c>
      <c r="X62" s="191" t="s">
        <v>282</v>
      </c>
      <c r="Y62" s="189" t="s">
        <v>283</v>
      </c>
      <c r="Z62" s="186" t="s">
        <v>284</v>
      </c>
      <c r="AA62" s="190" t="s">
        <v>238</v>
      </c>
      <c r="AB62" s="190" t="s">
        <v>282</v>
      </c>
      <c r="AC62" s="192" t="s">
        <v>283</v>
      </c>
      <c r="AG62" s="163"/>
    </row>
    <row r="63" spans="2:33" x14ac:dyDescent="0.3">
      <c r="B63" s="409" t="s">
        <v>134</v>
      </c>
      <c r="C63" s="194"/>
      <c r="D63" s="182"/>
      <c r="E63" s="396"/>
      <c r="F63" s="396"/>
      <c r="G63" s="396"/>
      <c r="H63" s="374">
        <f>Grants!H140</f>
        <v>72.367000000000004</v>
      </c>
      <c r="I63" s="374">
        <f>Grants!I140</f>
        <v>75.578999999999994</v>
      </c>
      <c r="J63" s="374">
        <f>Grants!J140</f>
        <v>76.015000000000001</v>
      </c>
      <c r="K63" s="374">
        <f>Grants!K140</f>
        <v>78.872</v>
      </c>
      <c r="L63" s="374">
        <f>Grants!L140</f>
        <v>75.819000000000003</v>
      </c>
      <c r="M63" s="374">
        <f>Grants!M140</f>
        <v>73.662000000000006</v>
      </c>
      <c r="N63" s="374">
        <f>Grants!N140</f>
        <v>75.066000000000003</v>
      </c>
      <c r="O63" s="374">
        <f>Grants!O140</f>
        <v>69.344999999999999</v>
      </c>
      <c r="P63" s="374">
        <f>Grants!P140</f>
        <v>72.477000000000004</v>
      </c>
      <c r="Q63" s="374">
        <f>Grants!Q140</f>
        <v>72.528999999999996</v>
      </c>
      <c r="R63" s="374">
        <f>Grants!R140</f>
        <v>75.340000000000018</v>
      </c>
      <c r="S63" s="397">
        <f>Grants!S140</f>
        <v>75.340000000000018</v>
      </c>
      <c r="T63" s="351">
        <f>Grants!T140</f>
        <v>76.15900000000002</v>
      </c>
      <c r="U63" s="1147">
        <f>Grants!U140</f>
        <v>76.15900000000002</v>
      </c>
      <c r="V63" s="201">
        <f>Grants!V140</f>
        <v>76.15900000000002</v>
      </c>
      <c r="W63" s="201">
        <f>Grants!W140</f>
        <v>76.15900000000002</v>
      </c>
      <c r="X63" s="201">
        <f>Grants!X140</f>
        <v>77.818000000000012</v>
      </c>
      <c r="Y63" s="201">
        <f>Grants!Y140</f>
        <v>77.818000000000012</v>
      </c>
      <c r="Z63" s="201">
        <f>Grants!Z140</f>
        <v>77.818000000000012</v>
      </c>
      <c r="AA63" s="201">
        <f>Grants!AA140</f>
        <v>77.818000000000012</v>
      </c>
      <c r="AB63" s="201">
        <f>Grants!AB140</f>
        <v>79.41200000000002</v>
      </c>
      <c r="AC63" s="200">
        <f>Grants!AC140</f>
        <v>79.41200000000002</v>
      </c>
    </row>
    <row r="64" spans="2:33" x14ac:dyDescent="0.3">
      <c r="B64" s="392" t="s">
        <v>192</v>
      </c>
      <c r="C64" s="375"/>
      <c r="D64" s="405"/>
      <c r="E64" s="375"/>
      <c r="F64" s="375"/>
      <c r="G64" s="375"/>
      <c r="H64" s="161">
        <f>Grants!H108</f>
        <v>205.80500000000001</v>
      </c>
      <c r="I64" s="161">
        <f>Grants!I108</f>
        <v>210.29200000000003</v>
      </c>
      <c r="J64" s="161">
        <f>Grants!J108</f>
        <v>325.28399999999999</v>
      </c>
      <c r="K64" s="161">
        <f>Grants!K108</f>
        <v>297.32000000000005</v>
      </c>
      <c r="L64" s="161">
        <f>Grants!L108</f>
        <v>289.54199999999997</v>
      </c>
      <c r="M64" s="161">
        <f>Grants!M108</f>
        <v>315.67900000000003</v>
      </c>
      <c r="N64" s="161">
        <f>Grants!N108</f>
        <v>361.52700000000004</v>
      </c>
      <c r="O64" s="161">
        <f>Grants!O108</f>
        <v>374.99100000000004</v>
      </c>
      <c r="P64" s="161">
        <f>Grants!P108</f>
        <v>401.58485200000007</v>
      </c>
      <c r="Q64" s="161">
        <f>Grants!Q108</f>
        <v>438.45827479999997</v>
      </c>
      <c r="R64" s="161">
        <f>Grants!R108</f>
        <v>505.04903199999995</v>
      </c>
      <c r="S64" s="161">
        <f>Grants!S108</f>
        <v>492.38786800000003</v>
      </c>
      <c r="T64" s="1223">
        <f>Grants!T108</f>
        <v>454.86592799999988</v>
      </c>
      <c r="U64" s="1130">
        <f>Grants!U108</f>
        <v>448.74654320000008</v>
      </c>
      <c r="V64" s="1129">
        <f>Grants!V108</f>
        <v>509.15888270020872</v>
      </c>
      <c r="W64" s="1129">
        <f>Grants!W108</f>
        <v>508.58759583602955</v>
      </c>
      <c r="X64" s="1129">
        <f>Grants!X108</f>
        <v>509.55611433062063</v>
      </c>
      <c r="Y64" s="1129">
        <f>Grants!Y108</f>
        <v>498.76001866666672</v>
      </c>
      <c r="Z64" s="1129">
        <f>Grants!Z108</f>
        <v>479.51787724821708</v>
      </c>
      <c r="AA64" s="1129">
        <f>Grants!AA108</f>
        <v>484.60394742947074</v>
      </c>
      <c r="AB64" s="1129">
        <f>Grants!AB108</f>
        <v>489.9870852438454</v>
      </c>
      <c r="AC64" s="1130">
        <f>Grants!AC108</f>
        <v>473.79449993333344</v>
      </c>
    </row>
    <row r="65" spans="2:58" x14ac:dyDescent="0.3">
      <c r="B65" s="410" t="s">
        <v>405</v>
      </c>
      <c r="C65" s="394"/>
      <c r="D65" s="393"/>
      <c r="E65" s="394"/>
      <c r="F65" s="394"/>
      <c r="G65" s="394"/>
      <c r="H65" s="352">
        <f>H63+H64</f>
        <v>278.17200000000003</v>
      </c>
      <c r="I65" s="352">
        <f t="shared" ref="I65:AC65" si="9">I63+I64</f>
        <v>285.87100000000004</v>
      </c>
      <c r="J65" s="352">
        <f t="shared" si="9"/>
        <v>401.29899999999998</v>
      </c>
      <c r="K65" s="352">
        <f t="shared" si="9"/>
        <v>376.19200000000006</v>
      </c>
      <c r="L65" s="352">
        <f t="shared" si="9"/>
        <v>365.36099999999999</v>
      </c>
      <c r="M65" s="352">
        <f t="shared" si="9"/>
        <v>389.34100000000001</v>
      </c>
      <c r="N65" s="352">
        <f t="shared" si="9"/>
        <v>436.59300000000007</v>
      </c>
      <c r="O65" s="352">
        <f t="shared" si="9"/>
        <v>444.33600000000001</v>
      </c>
      <c r="P65" s="352">
        <f t="shared" si="9"/>
        <v>474.06185200000004</v>
      </c>
      <c r="Q65" s="352">
        <f t="shared" si="9"/>
        <v>510.98727479999997</v>
      </c>
      <c r="R65" s="352">
        <f t="shared" si="9"/>
        <v>580.38903199999993</v>
      </c>
      <c r="S65" s="352">
        <f t="shared" si="9"/>
        <v>567.72786800000006</v>
      </c>
      <c r="T65" s="352">
        <f t="shared" si="9"/>
        <v>531.02492799999993</v>
      </c>
      <c r="U65" s="399">
        <f t="shared" si="9"/>
        <v>524.90554320000012</v>
      </c>
      <c r="V65" s="379">
        <f t="shared" si="9"/>
        <v>585.31788270020877</v>
      </c>
      <c r="W65" s="379">
        <f t="shared" si="9"/>
        <v>584.74659583602954</v>
      </c>
      <c r="X65" s="379">
        <f t="shared" si="9"/>
        <v>587.37411433062061</v>
      </c>
      <c r="Y65" s="379">
        <f t="shared" si="9"/>
        <v>576.57801866666671</v>
      </c>
      <c r="Z65" s="379">
        <f t="shared" si="9"/>
        <v>557.33587724821712</v>
      </c>
      <c r="AA65" s="379">
        <f t="shared" si="9"/>
        <v>562.42194742947072</v>
      </c>
      <c r="AB65" s="379">
        <f t="shared" si="9"/>
        <v>569.39908524384543</v>
      </c>
      <c r="AC65" s="380">
        <f t="shared" si="9"/>
        <v>553.20649993333348</v>
      </c>
    </row>
    <row r="67" spans="2:58" x14ac:dyDescent="0.3">
      <c r="T67" s="1147">
        <v>76.15900000000002</v>
      </c>
      <c r="U67" s="201">
        <v>76.15900000000002</v>
      </c>
      <c r="V67" s="201">
        <v>76.15900000000002</v>
      </c>
      <c r="W67" s="201">
        <v>76.15900000000002</v>
      </c>
      <c r="X67" s="201">
        <v>77.818000000000012</v>
      </c>
      <c r="Y67" s="201">
        <v>77.818000000000012</v>
      </c>
      <c r="Z67" s="201">
        <v>77.818000000000012</v>
      </c>
      <c r="AA67" s="201">
        <v>77.818000000000012</v>
      </c>
      <c r="AB67" s="201">
        <v>79.41200000000002</v>
      </c>
      <c r="AC67" s="1125">
        <v>79.41200000000002</v>
      </c>
    </row>
    <row r="68" spans="2:58" x14ac:dyDescent="0.3">
      <c r="T68" s="398">
        <v>454.86592799999988</v>
      </c>
      <c r="U68" s="1129">
        <v>432.05586867252998</v>
      </c>
      <c r="V68" s="1129">
        <v>436.24025249520497</v>
      </c>
      <c r="W68" s="1129">
        <v>434.95046872262196</v>
      </c>
      <c r="X68" s="1129">
        <v>435.19341066666652</v>
      </c>
      <c r="Y68" s="1129">
        <v>423.66458905143122</v>
      </c>
      <c r="Z68" s="1129">
        <v>403.68250183501317</v>
      </c>
      <c r="AA68" s="1129">
        <v>408.02133523152685</v>
      </c>
      <c r="AB68" s="1129">
        <v>412.64987343333314</v>
      </c>
      <c r="AC68" s="1130">
        <v>395.69525313348845</v>
      </c>
    </row>
    <row r="69" spans="2:58" ht="27.6" customHeight="1" x14ac:dyDescent="0.3">
      <c r="T69" s="399">
        <v>531.02492799999993</v>
      </c>
      <c r="U69" s="379">
        <v>508.21486867252997</v>
      </c>
      <c r="V69" s="379">
        <v>512.39925249520502</v>
      </c>
      <c r="W69" s="379">
        <v>511.10946872262195</v>
      </c>
      <c r="X69" s="379">
        <v>513.01141066666651</v>
      </c>
      <c r="Y69" s="379">
        <v>501.48258905143121</v>
      </c>
      <c r="Z69" s="379">
        <v>481.50050183501321</v>
      </c>
      <c r="AA69" s="379">
        <v>485.83933523152689</v>
      </c>
      <c r="AB69" s="379">
        <v>492.06187343333318</v>
      </c>
      <c r="AC69" s="380">
        <v>475.10725313348848</v>
      </c>
    </row>
    <row r="70" spans="2:58" ht="27.6" customHeight="1" x14ac:dyDescent="0.3"/>
    <row r="71" spans="2:58" x14ac:dyDescent="0.3">
      <c r="S71" s="80"/>
      <c r="T71" s="80"/>
      <c r="U71" s="80"/>
      <c r="V71" s="80"/>
      <c r="W71" s="80"/>
      <c r="X71" s="80"/>
      <c r="Y71" s="80"/>
      <c r="Z71" s="80"/>
      <c r="AA71" s="80"/>
      <c r="AB71" s="80"/>
      <c r="AC71" s="80"/>
    </row>
    <row r="72" spans="2:58" x14ac:dyDescent="0.3">
      <c r="S72" s="80"/>
      <c r="T72" s="80"/>
      <c r="U72" s="80"/>
      <c r="V72" s="80"/>
      <c r="W72" s="80"/>
      <c r="X72" s="80"/>
      <c r="Y72" s="80"/>
      <c r="Z72" s="80"/>
      <c r="AA72" s="80"/>
      <c r="AB72" s="80"/>
      <c r="AC72" s="80"/>
    </row>
    <row r="73" spans="2:58" ht="27.6" customHeight="1" x14ac:dyDescent="0.3">
      <c r="S73" s="80"/>
      <c r="T73" s="80"/>
      <c r="U73" s="80"/>
      <c r="V73" s="80"/>
      <c r="W73" s="80"/>
      <c r="X73" s="80"/>
      <c r="Y73" s="80"/>
      <c r="Z73" s="80"/>
      <c r="AA73" s="80"/>
      <c r="AB73" s="80"/>
      <c r="AC73" s="80"/>
    </row>
    <row r="74" spans="2:58" ht="27.6" customHeight="1" x14ac:dyDescent="0.3"/>
    <row r="75" spans="2:58" ht="27.6" customHeight="1" x14ac:dyDescent="0.3">
      <c r="BD75" s="376"/>
      <c r="BE75" s="376"/>
      <c r="BF75" s="376"/>
    </row>
    <row r="77" spans="2:58" ht="27.6" customHeight="1" x14ac:dyDescent="0.3"/>
    <row r="78" spans="2:58" ht="27.6" customHeight="1" x14ac:dyDescent="0.3"/>
    <row r="79" spans="2:58" ht="27.6" customHeight="1" x14ac:dyDescent="0.3"/>
  </sheetData>
  <mergeCells count="31">
    <mergeCell ref="M61:P61"/>
    <mergeCell ref="Q29:T29"/>
    <mergeCell ref="D60:T60"/>
    <mergeCell ref="Q61:T61"/>
    <mergeCell ref="Y29:AB29"/>
    <mergeCell ref="Y61:AB61"/>
    <mergeCell ref="B56:AC58"/>
    <mergeCell ref="B54:AC55"/>
    <mergeCell ref="B60:C62"/>
    <mergeCell ref="I61:L61"/>
    <mergeCell ref="E29:H29"/>
    <mergeCell ref="E61:H61"/>
    <mergeCell ref="B28:C30"/>
    <mergeCell ref="V60:AC60"/>
    <mergeCell ref="B1:AC1"/>
    <mergeCell ref="B6:C8"/>
    <mergeCell ref="E7:H7"/>
    <mergeCell ref="I7:L7"/>
    <mergeCell ref="Y7:AB7"/>
    <mergeCell ref="B2:AC4"/>
    <mergeCell ref="D6:T6"/>
    <mergeCell ref="Q7:T7"/>
    <mergeCell ref="V6:AC6"/>
    <mergeCell ref="I29:L29"/>
    <mergeCell ref="B23:AC23"/>
    <mergeCell ref="B24:AC26"/>
    <mergeCell ref="M7:P7"/>
    <mergeCell ref="D28:T28"/>
    <mergeCell ref="M29:P29"/>
    <mergeCell ref="U19:Z20"/>
    <mergeCell ref="V28:AC2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62" activePane="bottomRight" state="frozen"/>
      <selection pane="topRight" activeCell="D1" sqref="D1"/>
      <selection pane="bottomLeft" activeCell="A11" sqref="A11"/>
      <selection pane="bottomRight" activeCell="U46" sqref="U46"/>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610" t="s">
        <v>52</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2" ht="14.85" customHeight="1" x14ac:dyDescent="0.3">
      <c r="B2" s="1611" t="s">
        <v>865</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2:32" ht="14.85" customHeight="1"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2:32" ht="5.85" customHeight="1"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2:32" ht="1.5" customHeight="1" x14ac:dyDescent="0.3">
      <c r="B5" s="1611"/>
      <c r="C5" s="1611"/>
      <c r="D5" s="1611"/>
      <c r="E5" s="1611"/>
      <c r="F5" s="1611"/>
      <c r="G5" s="1611"/>
      <c r="H5" s="1611"/>
      <c r="I5" s="1611"/>
      <c r="J5" s="1611"/>
      <c r="K5" s="1611"/>
      <c r="L5" s="1611"/>
      <c r="M5" s="1611"/>
      <c r="N5" s="1611"/>
      <c r="O5" s="1611"/>
      <c r="P5" s="1611"/>
      <c r="Q5" s="1611"/>
      <c r="R5" s="1611"/>
      <c r="S5" s="1611"/>
      <c r="T5" s="1611"/>
      <c r="U5" s="1611"/>
      <c r="V5" s="1611"/>
      <c r="W5" s="1611"/>
      <c r="X5" s="1611"/>
      <c r="Y5" s="1611"/>
      <c r="Z5" s="1611"/>
      <c r="AA5" s="1611"/>
      <c r="AB5" s="1611"/>
      <c r="AC5" s="1611"/>
    </row>
    <row r="6" spans="2:32" ht="14.85" customHeight="1" x14ac:dyDescent="0.3">
      <c r="B6" s="1611"/>
      <c r="C6" s="1611"/>
      <c r="D6" s="1611"/>
      <c r="E6" s="1611"/>
      <c r="F6" s="1611"/>
      <c r="G6" s="1611"/>
      <c r="H6" s="1611"/>
      <c r="I6" s="1611"/>
      <c r="J6" s="1611"/>
      <c r="K6" s="1611"/>
      <c r="L6" s="1611"/>
      <c r="M6" s="1611"/>
      <c r="N6" s="1611"/>
      <c r="O6" s="1611"/>
      <c r="P6" s="1611"/>
      <c r="Q6" s="1611"/>
      <c r="R6" s="1611"/>
      <c r="S6" s="1611"/>
      <c r="T6" s="1611"/>
      <c r="U6" s="1611"/>
      <c r="V6" s="1611"/>
      <c r="W6" s="1611"/>
      <c r="X6" s="1611"/>
      <c r="Y6" s="1611"/>
      <c r="Z6" s="1611"/>
      <c r="AA6" s="1611"/>
      <c r="AB6" s="1611"/>
      <c r="AC6" s="1611"/>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629" t="s">
        <v>406</v>
      </c>
      <c r="C8" s="1630"/>
      <c r="D8" s="1631" t="s">
        <v>280</v>
      </c>
      <c r="E8" s="1632"/>
      <c r="F8" s="1632"/>
      <c r="G8" s="1632"/>
      <c r="H8" s="1632"/>
      <c r="I8" s="1632"/>
      <c r="J8" s="1632"/>
      <c r="K8" s="1632"/>
      <c r="L8" s="1632"/>
      <c r="M8" s="1632"/>
      <c r="N8" s="1632"/>
      <c r="O8" s="1632"/>
      <c r="P8" s="1632"/>
      <c r="Q8" s="1632"/>
      <c r="R8" s="1632"/>
      <c r="S8" s="1632"/>
      <c r="T8" s="1626"/>
      <c r="U8" s="1246"/>
      <c r="V8" s="1627" t="s">
        <v>281</v>
      </c>
      <c r="W8" s="1605"/>
      <c r="X8" s="1605"/>
      <c r="Y8" s="1605"/>
      <c r="Z8" s="1605"/>
      <c r="AA8" s="1605"/>
      <c r="AB8" s="1605"/>
      <c r="AC8" s="1606"/>
    </row>
    <row r="9" spans="2:32" x14ac:dyDescent="0.3">
      <c r="B9" s="1617"/>
      <c r="C9" s="1618"/>
      <c r="D9" s="118">
        <v>2018</v>
      </c>
      <c r="E9" s="1612">
        <v>2019</v>
      </c>
      <c r="F9" s="1642"/>
      <c r="G9" s="1642"/>
      <c r="H9" s="1614"/>
      <c r="I9" s="1612">
        <v>2020</v>
      </c>
      <c r="J9" s="1642"/>
      <c r="K9" s="1642"/>
      <c r="L9" s="1642"/>
      <c r="M9" s="1612">
        <v>2021</v>
      </c>
      <c r="N9" s="1642"/>
      <c r="O9" s="1642"/>
      <c r="P9" s="1642"/>
      <c r="Q9" s="1600">
        <v>2022</v>
      </c>
      <c r="R9" s="1601"/>
      <c r="S9" s="1601"/>
      <c r="T9" s="1637"/>
      <c r="U9" s="1242"/>
      <c r="V9" s="1243">
        <v>2023</v>
      </c>
      <c r="W9" s="1243"/>
      <c r="X9" s="1244"/>
      <c r="Y9" s="1609">
        <v>2024</v>
      </c>
      <c r="Z9" s="1607"/>
      <c r="AA9" s="1607"/>
      <c r="AB9" s="1608"/>
      <c r="AC9" s="178">
        <v>2025</v>
      </c>
    </row>
    <row r="10" spans="2:32" x14ac:dyDescent="0.3">
      <c r="B10" s="1619"/>
      <c r="C10" s="1620"/>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40" t="s">
        <v>283</v>
      </c>
      <c r="V10" s="190" t="s">
        <v>284</v>
      </c>
      <c r="W10" s="190" t="s">
        <v>238</v>
      </c>
      <c r="X10" s="191" t="s">
        <v>282</v>
      </c>
      <c r="Y10" s="189" t="s">
        <v>283</v>
      </c>
      <c r="Z10" s="186" t="s">
        <v>284</v>
      </c>
      <c r="AA10" s="190" t="s">
        <v>238</v>
      </c>
      <c r="AB10" s="190" t="s">
        <v>282</v>
      </c>
      <c r="AC10" s="192" t="s">
        <v>283</v>
      </c>
    </row>
    <row r="11" spans="2:32" x14ac:dyDescent="0.3">
      <c r="B11" s="433" t="s">
        <v>871</v>
      </c>
      <c r="C11" s="69" t="s">
        <v>525</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318">
        <f>'Haver Pivoted'!HE42</f>
        <v>110.8</v>
      </c>
      <c r="U11" s="1169">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
      <c r="B12" s="338" t="s">
        <v>407</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293">
        <f t="shared" si="2"/>
        <v>78.977999999999994</v>
      </c>
      <c r="U12" s="262">
        <f t="shared" ref="U12" si="3">U11-U13</f>
        <v>92.777999999999992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
      <c r="B13" s="337" t="s">
        <v>408</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294">
        <f t="shared" ref="T13:AC13" si="6">SUM(T16:T27)+T14</f>
        <v>31.822000000000003</v>
      </c>
      <c r="U13" s="246">
        <f t="shared" si="6"/>
        <v>12.022000000000002</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293">
        <f>'Haver Pivoted'!HE49</f>
        <v>0</v>
      </c>
      <c r="U14" s="262">
        <f>'Haver Pivoted'!HF49</f>
        <v>0</v>
      </c>
      <c r="V14" s="267"/>
      <c r="W14" s="267"/>
      <c r="X14" s="267"/>
      <c r="Y14" s="267"/>
      <c r="Z14" s="452"/>
      <c r="AA14" s="452"/>
      <c r="AB14" s="452"/>
      <c r="AC14" s="460"/>
      <c r="AE14" s="135"/>
      <c r="AF14" s="135"/>
    </row>
    <row r="15" spans="2:32" x14ac:dyDescent="0.3">
      <c r="B15" s="337" t="s">
        <v>409</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319">
        <f t="shared" si="7"/>
        <v>28.200000000000003</v>
      </c>
      <c r="U15" s="448">
        <f t="shared" si="7"/>
        <v>8.4</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
      <c r="B16" s="421" t="s">
        <v>145</v>
      </c>
      <c r="C16" s="52" t="s">
        <v>410</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293">
        <f>'Haver Pivoted'!HE53</f>
        <v>0</v>
      </c>
      <c r="U16" s="262">
        <f>'Haver Pivoted'!HF53</f>
        <v>0</v>
      </c>
      <c r="V16" s="454"/>
      <c r="W16" s="454"/>
      <c r="X16" s="454"/>
      <c r="Y16" s="454"/>
      <c r="Z16" s="452"/>
      <c r="AA16" s="452"/>
      <c r="AB16" s="452"/>
      <c r="AC16" s="460"/>
      <c r="AE16" s="135"/>
      <c r="AF16" s="135"/>
    </row>
    <row r="17" spans="2:34" x14ac:dyDescent="0.3">
      <c r="B17" s="421" t="s">
        <v>143</v>
      </c>
      <c r="C17" s="52" t="s">
        <v>411</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293">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
      <c r="B18" s="421" t="s">
        <v>142</v>
      </c>
      <c r="C18" s="49" t="s">
        <v>412</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293">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
      <c r="B19" s="421" t="s">
        <v>413</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293">
        <f>'Haver Pivoted'!HE54</f>
        <v>3.6</v>
      </c>
      <c r="U19" s="262">
        <f>'Haver Pivoted'!HF54</f>
        <v>0</v>
      </c>
      <c r="V19" s="267"/>
      <c r="W19" s="267"/>
      <c r="X19" s="267"/>
      <c r="Y19" s="267"/>
      <c r="Z19" s="452"/>
      <c r="AA19" s="452"/>
      <c r="AB19" s="452"/>
      <c r="AC19" s="460"/>
      <c r="AE19" s="135"/>
      <c r="AF19" s="135"/>
    </row>
    <row r="20" spans="2:34" x14ac:dyDescent="0.3">
      <c r="B20" s="421" t="s">
        <v>144</v>
      </c>
      <c r="C20" s="49" t="s">
        <v>414</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293">
        <f>'Haver Pivoted'!HE52</f>
        <v>15.8</v>
      </c>
      <c r="U20" s="1105">
        <f>'Haver Pivoted'!HF52</f>
        <v>0</v>
      </c>
      <c r="V20" s="267">
        <f t="shared" ref="V20:AC20" si="10">V37</f>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
      <c r="B21" s="421" t="s">
        <v>148</v>
      </c>
      <c r="C21" s="49" t="s">
        <v>415</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293">
        <f>'Haver Pivoted'!HE55</f>
        <v>0</v>
      </c>
      <c r="U21" s="262">
        <f>'Haver Pivoted'!HF55</f>
        <v>0</v>
      </c>
      <c r="V21" s="267">
        <f t="shared" ref="V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
      <c r="B22" s="421" t="s">
        <v>416</v>
      </c>
      <c r="C22" s="49" t="s">
        <v>793</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293">
        <f>'Haver Pivoted'!HE87</f>
        <v>0</v>
      </c>
      <c r="U22" s="262">
        <f>'Haver Pivoted'!HF87</f>
        <v>0</v>
      </c>
      <c r="V22" s="267">
        <v>0</v>
      </c>
      <c r="W22" s="267">
        <v>0</v>
      </c>
      <c r="X22" s="267">
        <v>0</v>
      </c>
      <c r="Y22" s="267">
        <v>0</v>
      </c>
      <c r="Z22" s="267">
        <v>0</v>
      </c>
      <c r="AA22" s="267">
        <v>0</v>
      </c>
      <c r="AB22" s="267">
        <v>0</v>
      </c>
      <c r="AC22" s="327">
        <v>0</v>
      </c>
      <c r="AE22" s="135"/>
      <c r="AF22" s="135"/>
    </row>
    <row r="23" spans="2:34" x14ac:dyDescent="0.3">
      <c r="B23" s="421" t="s">
        <v>417</v>
      </c>
      <c r="C23" s="49" t="s">
        <v>792</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293">
        <f>'Haver Pivoted'!HE86</f>
        <v>0</v>
      </c>
      <c r="U23" s="262">
        <f>'Haver Pivoted'!HF86</f>
        <v>0</v>
      </c>
      <c r="V23" s="267">
        <f t="shared" ref="V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
      <c r="B24" s="421" t="s">
        <v>418</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294">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
      <c r="B25" s="421" t="s">
        <v>419</v>
      </c>
      <c r="C25" s="49"/>
      <c r="D25" s="231"/>
      <c r="E25" s="49"/>
      <c r="F25" s="50"/>
      <c r="G25" s="50"/>
      <c r="H25" s="162"/>
      <c r="I25" s="162"/>
      <c r="J25" s="162"/>
      <c r="K25" s="162"/>
      <c r="L25" s="162"/>
      <c r="M25" s="162"/>
      <c r="N25" s="50"/>
      <c r="O25" s="50">
        <f>O34</f>
        <v>12</v>
      </c>
      <c r="P25" s="50">
        <v>25</v>
      </c>
      <c r="Q25" s="50">
        <v>5</v>
      </c>
      <c r="R25" s="50">
        <v>5</v>
      </c>
      <c r="S25" s="50">
        <v>5</v>
      </c>
      <c r="T25" s="1294">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
      <c r="B26" s="421" t="s">
        <v>1386</v>
      </c>
      <c r="C26" s="49"/>
      <c r="D26" s="231"/>
      <c r="E26" s="49"/>
      <c r="F26" s="50"/>
      <c r="G26" s="50"/>
      <c r="H26" s="162"/>
      <c r="I26" s="162"/>
      <c r="J26" s="162"/>
      <c r="K26" s="162"/>
      <c r="L26" s="162"/>
      <c r="M26" s="162"/>
      <c r="N26" s="50"/>
      <c r="O26" s="50"/>
      <c r="P26" s="50"/>
      <c r="Q26" s="50"/>
      <c r="R26" s="50"/>
      <c r="S26" s="422">
        <f>'IRA and CHIPS'!E198</f>
        <v>0</v>
      </c>
      <c r="T26" s="1320">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
      <c r="B27" s="421" t="s">
        <v>1194</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
      <c r="B28" s="1677" t="s">
        <v>420</v>
      </c>
      <c r="C28" s="1678"/>
      <c r="D28" s="432"/>
      <c r="E28" s="420"/>
      <c r="F28" s="420"/>
      <c r="G28" s="420"/>
      <c r="H28" s="50"/>
      <c r="I28" s="50"/>
      <c r="J28" s="50"/>
      <c r="K28" s="50"/>
      <c r="L28" s="50"/>
      <c r="M28" s="50"/>
      <c r="N28" s="50"/>
      <c r="O28" s="50"/>
      <c r="P28" s="443"/>
      <c r="Q28" s="50"/>
      <c r="R28" s="50"/>
      <c r="S28" s="50"/>
      <c r="T28" s="1294"/>
      <c r="U28" s="1324"/>
      <c r="V28" s="452"/>
      <c r="W28" s="452"/>
      <c r="X28" s="452"/>
      <c r="Y28" s="452"/>
      <c r="Z28" s="452"/>
      <c r="AA28" s="452"/>
      <c r="AB28" s="452"/>
      <c r="AC28" s="460"/>
      <c r="AE28" s="135"/>
      <c r="AF28" s="135"/>
    </row>
    <row r="29" spans="2:34" x14ac:dyDescent="0.3">
      <c r="B29" s="337" t="s">
        <v>421</v>
      </c>
      <c r="C29" s="225"/>
      <c r="D29" s="392"/>
      <c r="E29" s="225"/>
      <c r="F29" s="162"/>
      <c r="G29" s="162"/>
      <c r="H29" s="50"/>
      <c r="I29" s="50"/>
      <c r="J29" s="50"/>
      <c r="K29" s="50"/>
      <c r="L29" s="50"/>
      <c r="M29" s="50"/>
      <c r="N29" s="50">
        <f>SUM(N30:N34)</f>
        <v>23</v>
      </c>
      <c r="O29" s="50">
        <f>SUM(O30:O34)</f>
        <v>162</v>
      </c>
      <c r="P29" s="50"/>
      <c r="Q29" s="50"/>
      <c r="R29" s="50"/>
      <c r="S29" s="50"/>
      <c r="T29" s="1294"/>
      <c r="U29" s="1305"/>
      <c r="V29" s="452"/>
      <c r="W29" s="452"/>
      <c r="X29" s="452"/>
      <c r="Y29" s="452"/>
      <c r="Z29" s="452"/>
      <c r="AA29" s="452"/>
      <c r="AB29" s="452"/>
      <c r="AC29" s="460"/>
      <c r="AE29" s="135"/>
      <c r="AF29" s="135"/>
    </row>
    <row r="30" spans="2:34" x14ac:dyDescent="0.3">
      <c r="B30" s="240" t="s">
        <v>422</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294"/>
      <c r="U30" s="1305"/>
      <c r="V30" s="452"/>
      <c r="W30" s="452"/>
      <c r="X30" s="452"/>
      <c r="Y30" s="452"/>
      <c r="Z30" s="452"/>
      <c r="AA30" s="452"/>
      <c r="AB30" s="452"/>
      <c r="AC30" s="460"/>
      <c r="AE30" s="135"/>
      <c r="AF30" s="135"/>
    </row>
    <row r="31" spans="2:34" x14ac:dyDescent="0.3">
      <c r="B31" s="240" t="s">
        <v>419</v>
      </c>
      <c r="C31" s="225"/>
      <c r="D31" s="392"/>
      <c r="E31" s="225"/>
      <c r="F31" s="162"/>
      <c r="G31" s="162"/>
      <c r="H31" s="50"/>
      <c r="I31" s="50"/>
      <c r="J31" s="50"/>
      <c r="K31" s="50"/>
      <c r="L31" s="436"/>
      <c r="M31" s="50"/>
      <c r="N31" s="50"/>
      <c r="O31" s="50"/>
      <c r="P31" s="50"/>
      <c r="Q31" s="50"/>
      <c r="R31" s="50"/>
      <c r="S31" s="50"/>
      <c r="T31" s="1294"/>
      <c r="U31" s="1305"/>
      <c r="V31" s="452"/>
      <c r="W31" s="452"/>
      <c r="X31" s="452"/>
      <c r="Y31" s="452"/>
      <c r="Z31" s="452"/>
      <c r="AA31" s="452"/>
      <c r="AB31" s="452"/>
      <c r="AC31" s="460"/>
      <c r="AE31" s="135"/>
      <c r="AF31" s="135"/>
    </row>
    <row r="32" spans="2:34" x14ac:dyDescent="0.3">
      <c r="B32" s="461" t="s">
        <v>416</v>
      </c>
      <c r="C32" s="225"/>
      <c r="D32" s="392"/>
      <c r="E32" s="225"/>
      <c r="F32" s="162"/>
      <c r="G32" s="162"/>
      <c r="H32" s="50"/>
      <c r="I32" s="50"/>
      <c r="J32" s="50"/>
      <c r="K32" s="50"/>
      <c r="L32" s="50"/>
      <c r="M32" s="50"/>
      <c r="N32" s="50"/>
      <c r="O32" s="50">
        <v>79</v>
      </c>
      <c r="P32" s="50"/>
      <c r="Q32" s="303"/>
      <c r="R32" s="303"/>
      <c r="S32" s="303"/>
      <c r="T32" s="1321"/>
      <c r="U32" s="1325"/>
      <c r="V32" s="452"/>
      <c r="W32" s="452"/>
      <c r="X32" s="452"/>
      <c r="Y32" s="452"/>
      <c r="Z32" s="452"/>
      <c r="AA32" s="452"/>
      <c r="AB32" s="452"/>
      <c r="AC32" s="460"/>
      <c r="AE32" s="135"/>
      <c r="AF32" s="135"/>
    </row>
    <row r="33" spans="1:78" x14ac:dyDescent="0.3">
      <c r="B33" s="462" t="s">
        <v>423</v>
      </c>
      <c r="C33" s="225"/>
      <c r="D33" s="392"/>
      <c r="E33" s="225"/>
      <c r="F33" s="162"/>
      <c r="G33" s="162"/>
      <c r="H33" s="50"/>
      <c r="I33" s="50"/>
      <c r="J33" s="50"/>
      <c r="K33" s="50"/>
      <c r="L33" s="50"/>
      <c r="M33" s="50"/>
      <c r="N33" s="50"/>
      <c r="O33" s="50">
        <f>'Response and Relief Act Score'!F13*4</f>
        <v>60</v>
      </c>
      <c r="P33" s="50"/>
      <c r="Q33" s="303"/>
      <c r="R33" s="303"/>
      <c r="S33" s="303"/>
      <c r="T33" s="1321"/>
      <c r="U33" s="1325"/>
      <c r="V33" s="452"/>
      <c r="W33" s="452"/>
      <c r="X33" s="452"/>
      <c r="Y33" s="452"/>
      <c r="Z33" s="452"/>
      <c r="AA33" s="452"/>
      <c r="AB33" s="452"/>
      <c r="AC33" s="460"/>
      <c r="AE33" s="135"/>
      <c r="AF33" s="135"/>
    </row>
    <row r="34" spans="1:78" ht="27.6" customHeight="1" x14ac:dyDescent="0.3">
      <c r="B34" s="462" t="s">
        <v>424</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305"/>
      <c r="V34" s="452"/>
      <c r="W34" s="452"/>
      <c r="X34" s="452"/>
      <c r="Y34" s="452"/>
      <c r="Z34" s="452"/>
      <c r="AA34" s="452"/>
      <c r="AB34" s="452"/>
      <c r="AC34" s="460"/>
      <c r="AE34" s="135"/>
      <c r="AF34" s="135"/>
    </row>
    <row r="35" spans="1:78" ht="15" customHeight="1" x14ac:dyDescent="0.3">
      <c r="B35" s="1675" t="s">
        <v>425</v>
      </c>
      <c r="C35" s="1676"/>
      <c r="D35" s="392"/>
      <c r="E35" s="225"/>
      <c r="F35" s="162"/>
      <c r="G35" s="162"/>
      <c r="H35" s="50"/>
      <c r="I35" s="50"/>
      <c r="J35" s="50"/>
      <c r="K35" s="50"/>
      <c r="L35" s="436"/>
      <c r="M35" s="50"/>
      <c r="N35" s="50"/>
      <c r="O35" s="50"/>
      <c r="P35" s="50"/>
      <c r="Q35" s="50"/>
      <c r="R35" s="50"/>
      <c r="S35" s="50"/>
      <c r="T35" s="321"/>
      <c r="U35" s="1324"/>
      <c r="V35" s="465"/>
      <c r="W35" s="465"/>
      <c r="X35" s="465"/>
      <c r="Y35" s="465"/>
      <c r="Z35" s="465"/>
      <c r="AA35" s="465"/>
      <c r="AB35" s="465"/>
      <c r="AC35" s="449"/>
      <c r="AE35" s="135"/>
      <c r="AF35" s="135"/>
    </row>
    <row r="36" spans="1:78" ht="13.5" customHeight="1" x14ac:dyDescent="0.3">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294">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
      <c r="B37" s="462" t="s">
        <v>426</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294">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294">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
      <c r="B39" s="462" t="s">
        <v>416</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294">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
      <c r="B40" s="462" t="s">
        <v>427</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294">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
      <c r="B41" s="462" t="s">
        <v>428</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294">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
      <c r="B42" s="462" t="s">
        <v>429</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294">
        <v>0</v>
      </c>
      <c r="U42" s="246">
        <v>0</v>
      </c>
      <c r="V42" s="267">
        <v>0</v>
      </c>
      <c r="W42" s="267">
        <v>0</v>
      </c>
      <c r="X42" s="267">
        <v>0</v>
      </c>
      <c r="Y42" s="267">
        <v>0</v>
      </c>
      <c r="Z42" s="267">
        <v>0</v>
      </c>
      <c r="AA42" s="267">
        <v>0</v>
      </c>
      <c r="AB42" s="267">
        <v>0</v>
      </c>
      <c r="AC42" s="327">
        <v>0</v>
      </c>
      <c r="AE42" s="135"/>
      <c r="AF42" s="135"/>
    </row>
    <row r="43" spans="1:78" x14ac:dyDescent="0.3">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
      <c r="B44" s="1675" t="s">
        <v>430</v>
      </c>
      <c r="C44" s="1676"/>
      <c r="D44" s="433"/>
      <c r="E44" s="69"/>
      <c r="F44" s="162"/>
      <c r="G44" s="162"/>
      <c r="H44" s="50"/>
      <c r="I44" s="50"/>
      <c r="J44" s="50"/>
      <c r="K44" s="50"/>
      <c r="L44" s="436"/>
      <c r="M44" s="50"/>
      <c r="N44" s="50"/>
      <c r="O44" s="50"/>
      <c r="P44" s="50"/>
      <c r="Q44" s="50"/>
      <c r="R44" s="50"/>
      <c r="S44" s="50"/>
      <c r="T44" s="1294"/>
      <c r="U44" s="1323"/>
      <c r="V44" s="465"/>
      <c r="W44" s="465"/>
      <c r="X44" s="465"/>
      <c r="Y44" s="465"/>
      <c r="Z44" s="465"/>
      <c r="AA44" s="465"/>
      <c r="AB44" s="465"/>
      <c r="AC44" s="449"/>
      <c r="AE44" s="135"/>
      <c r="AF44" s="135"/>
    </row>
    <row r="45" spans="1:78" ht="21" customHeight="1" x14ac:dyDescent="0.3">
      <c r="B45" s="345" t="s">
        <v>431</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322">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
      <c r="A48" s="463"/>
      <c r="B48" s="177" t="s">
        <v>871</v>
      </c>
      <c r="C48" s="177"/>
      <c r="D48" s="177"/>
      <c r="E48" s="177"/>
      <c r="F48" s="455"/>
      <c r="G48" s="455"/>
      <c r="H48" s="455"/>
      <c r="I48" s="455"/>
      <c r="J48" s="455"/>
      <c r="K48" s="455"/>
      <c r="L48" s="455"/>
      <c r="M48" s="455"/>
      <c r="N48" s="455"/>
      <c r="O48" s="455"/>
      <c r="P48" s="455"/>
      <c r="Q48" s="455"/>
      <c r="R48" s="455"/>
      <c r="S48" s="455"/>
      <c r="T48" s="455">
        <v>110.8</v>
      </c>
      <c r="U48" s="1170">
        <v>96.021999999999991</v>
      </c>
      <c r="V48" s="167">
        <v>88.50800000000001</v>
      </c>
      <c r="W48" s="167">
        <v>88.50800000000001</v>
      </c>
      <c r="X48" s="167">
        <v>85.631</v>
      </c>
      <c r="Y48" s="167">
        <v>85.631</v>
      </c>
      <c r="Z48" s="167">
        <v>85.631</v>
      </c>
      <c r="AA48" s="167">
        <v>85.631</v>
      </c>
      <c r="AB48" s="167">
        <v>90.463999999999999</v>
      </c>
      <c r="AC48" s="167">
        <v>90.463999999999999</v>
      </c>
      <c r="AD48" s="1167">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
      <c r="B49" s="431" t="s">
        <v>407</v>
      </c>
      <c r="C49" s="163"/>
      <c r="D49" s="163"/>
      <c r="E49" s="163"/>
      <c r="F49" s="163"/>
      <c r="G49" s="163"/>
      <c r="H49" s="163"/>
      <c r="I49" s="163"/>
      <c r="J49" s="163"/>
      <c r="K49" s="163"/>
      <c r="L49" s="163"/>
      <c r="M49" s="163"/>
      <c r="N49" s="163"/>
      <c r="O49" s="163"/>
      <c r="P49" s="401"/>
      <c r="Q49" s="401"/>
      <c r="R49" s="401"/>
      <c r="S49" s="401"/>
      <c r="T49" s="1162">
        <v>78.977999999999994</v>
      </c>
      <c r="U49" s="1163">
        <v>76</v>
      </c>
      <c r="V49" s="1163">
        <v>76</v>
      </c>
      <c r="W49" s="1163">
        <v>76</v>
      </c>
      <c r="X49" s="1163">
        <v>76</v>
      </c>
      <c r="Y49" s="1163">
        <v>76</v>
      </c>
      <c r="Z49" s="1163">
        <v>76</v>
      </c>
      <c r="AA49" s="1163">
        <v>76</v>
      </c>
      <c r="AB49" s="1163">
        <v>76</v>
      </c>
      <c r="AC49" s="1163">
        <v>76</v>
      </c>
      <c r="AD49" s="1167">
        <f t="shared" ref="AD49:AD83" si="16">U12-U49</f>
        <v>16.777999999999992</v>
      </c>
    </row>
    <row r="50" spans="2:30" x14ac:dyDescent="0.3">
      <c r="B50" t="s">
        <v>408</v>
      </c>
      <c r="T50" s="1164">
        <v>31.822000000000003</v>
      </c>
      <c r="U50" s="1164">
        <v>20.021999999999998</v>
      </c>
      <c r="V50" s="1164">
        <v>12.508000000000003</v>
      </c>
      <c r="W50" s="1164">
        <v>12.508000000000003</v>
      </c>
      <c r="X50" s="1164">
        <v>9.6310000000000002</v>
      </c>
      <c r="Y50" s="1164">
        <v>9.6310000000000002</v>
      </c>
      <c r="Z50" s="1164">
        <v>9.6310000000000002</v>
      </c>
      <c r="AA50" s="1164">
        <v>9.6310000000000002</v>
      </c>
      <c r="AB50" s="1164">
        <v>14.464</v>
      </c>
      <c r="AC50" s="1164">
        <v>14.464</v>
      </c>
      <c r="AD50" s="1167">
        <f t="shared" si="16"/>
        <v>-7.9999999999999964</v>
      </c>
    </row>
    <row r="51" spans="2:30" x14ac:dyDescent="0.3">
      <c r="B51" t="s">
        <v>50</v>
      </c>
      <c r="S51" s="35"/>
      <c r="T51" s="1165">
        <v>0</v>
      </c>
      <c r="U51" s="1164"/>
      <c r="V51" s="1164"/>
      <c r="W51" s="1164"/>
      <c r="X51" s="1164"/>
      <c r="Y51" s="1164"/>
      <c r="AD51" s="1167">
        <f t="shared" si="16"/>
        <v>0</v>
      </c>
    </row>
    <row r="52" spans="2:30" x14ac:dyDescent="0.3">
      <c r="B52" t="s">
        <v>409</v>
      </c>
      <c r="T52" s="1165">
        <v>28.200000000000003</v>
      </c>
      <c r="U52" s="1165">
        <v>16.399999999999999</v>
      </c>
      <c r="V52" s="1165">
        <v>8.886000000000001</v>
      </c>
      <c r="W52" s="1165">
        <v>8.886000000000001</v>
      </c>
      <c r="X52" s="1165">
        <v>0.2</v>
      </c>
      <c r="Y52" s="1165">
        <v>0.2</v>
      </c>
      <c r="Z52" s="1165">
        <v>0.2</v>
      </c>
      <c r="AA52" s="1165">
        <v>0.2</v>
      </c>
      <c r="AB52" s="1165">
        <v>0</v>
      </c>
      <c r="AC52" s="1165">
        <v>0</v>
      </c>
      <c r="AD52" s="1167">
        <f t="shared" si="16"/>
        <v>-7.9999999999999982</v>
      </c>
    </row>
    <row r="53" spans="2:30" x14ac:dyDescent="0.3">
      <c r="B53" t="s">
        <v>145</v>
      </c>
      <c r="T53" s="1165">
        <v>0</v>
      </c>
      <c r="U53" s="1164"/>
      <c r="V53" s="1164"/>
      <c r="W53" s="1164"/>
      <c r="X53" s="1164"/>
      <c r="Y53" s="1164"/>
      <c r="AD53" s="1167">
        <f t="shared" si="16"/>
        <v>0</v>
      </c>
    </row>
    <row r="54" spans="2:30" x14ac:dyDescent="0.3">
      <c r="B54" t="s">
        <v>143</v>
      </c>
      <c r="T54" s="1165">
        <v>0</v>
      </c>
      <c r="U54" s="1164">
        <v>0</v>
      </c>
      <c r="V54" s="1164">
        <v>0</v>
      </c>
      <c r="W54" s="1164">
        <v>0</v>
      </c>
      <c r="X54" s="1164">
        <v>0</v>
      </c>
      <c r="Y54" s="1164">
        <v>0</v>
      </c>
      <c r="Z54" s="1164">
        <v>0</v>
      </c>
      <c r="AA54" s="1164">
        <v>0</v>
      </c>
      <c r="AB54" s="1164">
        <v>0</v>
      </c>
      <c r="AC54" s="1164">
        <v>0</v>
      </c>
      <c r="AD54" s="1167">
        <f t="shared" si="16"/>
        <v>0</v>
      </c>
    </row>
    <row r="55" spans="2:30" x14ac:dyDescent="0.3">
      <c r="B55" t="s">
        <v>142</v>
      </c>
      <c r="T55" s="1165">
        <v>0.4</v>
      </c>
      <c r="U55" s="1164">
        <v>0</v>
      </c>
      <c r="V55" s="1164">
        <v>0</v>
      </c>
      <c r="W55" s="1164">
        <v>0</v>
      </c>
      <c r="X55" s="1164">
        <v>0</v>
      </c>
      <c r="Y55" s="1164">
        <v>0</v>
      </c>
      <c r="Z55" s="1164">
        <v>0</v>
      </c>
      <c r="AA55" s="1164">
        <v>0</v>
      </c>
      <c r="AB55" s="1164">
        <v>0</v>
      </c>
      <c r="AC55" s="1164">
        <v>0</v>
      </c>
      <c r="AD55" s="1167">
        <f t="shared" si="16"/>
        <v>0</v>
      </c>
    </row>
    <row r="56" spans="2:30" x14ac:dyDescent="0.3">
      <c r="B56" t="s">
        <v>413</v>
      </c>
      <c r="T56" s="1165">
        <v>3.6</v>
      </c>
      <c r="U56" s="1164"/>
      <c r="V56" s="1164"/>
      <c r="W56" s="1164"/>
      <c r="X56" s="1164"/>
      <c r="Y56" s="1164"/>
      <c r="AD56" s="1167">
        <f t="shared" si="16"/>
        <v>0</v>
      </c>
    </row>
    <row r="57" spans="2:30" x14ac:dyDescent="0.3">
      <c r="B57" t="s">
        <v>144</v>
      </c>
      <c r="T57" s="1165">
        <v>15.8</v>
      </c>
      <c r="U57" s="1168">
        <v>8</v>
      </c>
      <c r="V57" s="1164">
        <v>0.48599999999999993</v>
      </c>
      <c r="W57" s="1164">
        <v>0.48599999999999993</v>
      </c>
      <c r="X57" s="1164">
        <v>0</v>
      </c>
      <c r="Y57" s="1164">
        <v>0</v>
      </c>
      <c r="Z57" s="1164">
        <v>0</v>
      </c>
      <c r="AA57" s="1164">
        <v>0</v>
      </c>
      <c r="AB57" s="1164">
        <v>0</v>
      </c>
      <c r="AC57" s="1164">
        <v>0</v>
      </c>
      <c r="AD57" s="1167">
        <f t="shared" si="16"/>
        <v>-8</v>
      </c>
    </row>
    <row r="58" spans="2:30" x14ac:dyDescent="0.3">
      <c r="B58" t="s">
        <v>148</v>
      </c>
      <c r="T58" s="1165">
        <v>0</v>
      </c>
      <c r="U58" s="1164">
        <v>0</v>
      </c>
      <c r="V58" s="1164">
        <v>0</v>
      </c>
      <c r="W58" s="1164">
        <v>0</v>
      </c>
      <c r="X58" s="1164">
        <v>0</v>
      </c>
      <c r="Y58" s="1164">
        <v>0</v>
      </c>
      <c r="Z58" s="1164">
        <v>0</v>
      </c>
      <c r="AA58" s="1164">
        <v>0</v>
      </c>
      <c r="AB58" s="1164">
        <v>0</v>
      </c>
      <c r="AC58" s="1164">
        <v>0</v>
      </c>
      <c r="AD58" s="1167">
        <f t="shared" si="16"/>
        <v>0</v>
      </c>
    </row>
    <row r="59" spans="2:30" x14ac:dyDescent="0.3">
      <c r="B59" t="s">
        <v>416</v>
      </c>
      <c r="T59" s="1165">
        <v>0</v>
      </c>
      <c r="U59" s="1164">
        <v>0</v>
      </c>
      <c r="V59" s="1164">
        <v>0</v>
      </c>
      <c r="W59" s="1164">
        <v>0</v>
      </c>
      <c r="X59" s="1164">
        <v>0</v>
      </c>
      <c r="Y59" s="1164">
        <v>0</v>
      </c>
      <c r="Z59" s="1164">
        <v>0</v>
      </c>
      <c r="AA59" s="1164">
        <v>0</v>
      </c>
      <c r="AB59" s="1164">
        <v>0</v>
      </c>
      <c r="AC59" s="1164">
        <v>0</v>
      </c>
      <c r="AD59" s="1167">
        <f t="shared" si="16"/>
        <v>0</v>
      </c>
    </row>
    <row r="60" spans="2:30" x14ac:dyDescent="0.3">
      <c r="B60" t="s">
        <v>417</v>
      </c>
      <c r="T60" s="1165">
        <v>0</v>
      </c>
      <c r="U60" s="1164">
        <v>0</v>
      </c>
      <c r="V60" s="1164">
        <v>0</v>
      </c>
      <c r="W60" s="1164">
        <v>0</v>
      </c>
      <c r="X60" s="1164">
        <v>0</v>
      </c>
      <c r="Y60" s="1164">
        <v>0</v>
      </c>
      <c r="Z60" s="1164">
        <v>0</v>
      </c>
      <c r="AA60" s="1164">
        <v>0</v>
      </c>
      <c r="AB60" s="1164">
        <v>0</v>
      </c>
      <c r="AC60" s="1164">
        <v>0</v>
      </c>
      <c r="AD60" s="1167">
        <f t="shared" si="16"/>
        <v>0</v>
      </c>
    </row>
    <row r="61" spans="2:30" x14ac:dyDescent="0.3">
      <c r="B61" t="s">
        <v>418</v>
      </c>
      <c r="T61" s="1164">
        <v>8.4</v>
      </c>
      <c r="U61" s="1164">
        <v>8.4</v>
      </c>
      <c r="V61" s="1164">
        <v>8.4</v>
      </c>
      <c r="W61" s="1164">
        <v>8.4</v>
      </c>
      <c r="X61" s="1164">
        <v>0.2</v>
      </c>
      <c r="Y61" s="1164">
        <v>0.2</v>
      </c>
      <c r="Z61" s="1164">
        <v>0.2</v>
      </c>
      <c r="AA61" s="1164">
        <v>0.2</v>
      </c>
      <c r="AB61" s="1164">
        <v>0</v>
      </c>
      <c r="AC61" s="1164">
        <v>0</v>
      </c>
      <c r="AD61" s="1167">
        <f t="shared" si="16"/>
        <v>0</v>
      </c>
    </row>
    <row r="62" spans="2:30" x14ac:dyDescent="0.3">
      <c r="B62" t="s">
        <v>419</v>
      </c>
      <c r="T62" s="1164">
        <v>0</v>
      </c>
      <c r="U62" s="1164">
        <v>0</v>
      </c>
      <c r="V62" s="1164">
        <v>0</v>
      </c>
      <c r="W62" s="1164">
        <v>0</v>
      </c>
      <c r="X62" s="1164">
        <v>0</v>
      </c>
      <c r="Y62" s="1164">
        <v>0</v>
      </c>
      <c r="Z62" s="1164">
        <v>0</v>
      </c>
      <c r="AA62" s="1164">
        <v>0</v>
      </c>
      <c r="AB62" s="1164">
        <v>0</v>
      </c>
      <c r="AC62" s="1164">
        <v>0</v>
      </c>
      <c r="AD62" s="1167">
        <f t="shared" si="16"/>
        <v>0</v>
      </c>
    </row>
    <row r="63" spans="2:30" x14ac:dyDescent="0.3">
      <c r="B63" t="s">
        <v>1386</v>
      </c>
      <c r="T63" s="1164">
        <v>2.3250000000000002</v>
      </c>
      <c r="U63" s="1164">
        <v>2.3250000000000002</v>
      </c>
      <c r="V63" s="1164">
        <v>2.3250000000000002</v>
      </c>
      <c r="W63" s="1164">
        <v>2.3250000000000002</v>
      </c>
      <c r="X63" s="1164">
        <v>5.5830000000000002</v>
      </c>
      <c r="Y63" s="1164">
        <v>5.5830000000000002</v>
      </c>
      <c r="Z63" s="1164">
        <v>5.5830000000000002</v>
      </c>
      <c r="AA63" s="1164">
        <v>5.5830000000000002</v>
      </c>
      <c r="AB63" s="1164">
        <v>8.0220000000000002</v>
      </c>
      <c r="AC63" s="1164">
        <v>8.0220000000000002</v>
      </c>
      <c r="AD63" s="1167">
        <f t="shared" si="16"/>
        <v>0</v>
      </c>
    </row>
    <row r="64" spans="2:30" x14ac:dyDescent="0.3">
      <c r="B64" t="s">
        <v>1194</v>
      </c>
      <c r="T64" s="1164">
        <v>1.2969999999999999</v>
      </c>
      <c r="U64" s="1164">
        <v>1.2969999999999999</v>
      </c>
      <c r="V64" s="1164">
        <v>1.2969999999999999</v>
      </c>
      <c r="W64" s="1164">
        <v>1.2969999999999999</v>
      </c>
      <c r="X64" s="1164">
        <v>3.8479999999999999</v>
      </c>
      <c r="Y64" s="1164">
        <v>3.8479999999999999</v>
      </c>
      <c r="Z64" s="1164">
        <v>3.8479999999999999</v>
      </c>
      <c r="AA64" s="1164">
        <v>3.8479999999999999</v>
      </c>
      <c r="AB64" s="1164">
        <v>6.4420000000000002</v>
      </c>
      <c r="AC64" s="1164">
        <v>6.4420000000000002</v>
      </c>
      <c r="AD64" s="1167">
        <f t="shared" si="16"/>
        <v>0</v>
      </c>
    </row>
    <row r="65" spans="2:30" x14ac:dyDescent="0.3">
      <c r="B65" t="s">
        <v>420</v>
      </c>
      <c r="T65" s="1164"/>
      <c r="U65" s="1164"/>
      <c r="AD65" s="1167">
        <f t="shared" si="16"/>
        <v>0</v>
      </c>
    </row>
    <row r="66" spans="2:30" x14ac:dyDescent="0.3">
      <c r="B66" t="s">
        <v>421</v>
      </c>
      <c r="T66" s="1164"/>
      <c r="U66" s="1164"/>
      <c r="AD66" s="1167">
        <f t="shared" si="16"/>
        <v>0</v>
      </c>
    </row>
    <row r="67" spans="2:30" x14ac:dyDescent="0.3">
      <c r="B67" t="s">
        <v>422</v>
      </c>
      <c r="T67" s="1164"/>
      <c r="U67" s="1164"/>
      <c r="AD67" s="1167">
        <f t="shared" si="16"/>
        <v>0</v>
      </c>
    </row>
    <row r="68" spans="2:30" x14ac:dyDescent="0.3">
      <c r="B68" t="s">
        <v>419</v>
      </c>
      <c r="T68" s="1164"/>
      <c r="U68" s="1164"/>
      <c r="AD68" s="1167">
        <f t="shared" si="16"/>
        <v>0</v>
      </c>
    </row>
    <row r="69" spans="2:30" x14ac:dyDescent="0.3">
      <c r="B69" t="s">
        <v>416</v>
      </c>
      <c r="T69" s="1166"/>
      <c r="U69" s="1166"/>
      <c r="AD69" s="1167">
        <f t="shared" si="16"/>
        <v>0</v>
      </c>
    </row>
    <row r="70" spans="2:30" x14ac:dyDescent="0.3">
      <c r="B70" t="s">
        <v>423</v>
      </c>
      <c r="T70" s="1166"/>
      <c r="U70" s="1166"/>
      <c r="AD70" s="1167">
        <f t="shared" si="16"/>
        <v>0</v>
      </c>
    </row>
    <row r="71" spans="2:30" x14ac:dyDescent="0.3">
      <c r="B71" t="s">
        <v>424</v>
      </c>
      <c r="T71" s="1164"/>
      <c r="U71" s="1164"/>
      <c r="AD71" s="1167">
        <f t="shared" si="16"/>
        <v>0</v>
      </c>
    </row>
    <row r="72" spans="2:30" x14ac:dyDescent="0.3">
      <c r="B72" t="s">
        <v>425</v>
      </c>
      <c r="T72" s="1164"/>
      <c r="U72" s="1164"/>
      <c r="AD72" s="1167">
        <f t="shared" si="16"/>
        <v>0</v>
      </c>
    </row>
    <row r="73" spans="2:30" x14ac:dyDescent="0.3">
      <c r="B73" t="s">
        <v>143</v>
      </c>
      <c r="T73" s="1164">
        <v>0</v>
      </c>
      <c r="U73" s="1164">
        <v>0</v>
      </c>
      <c r="V73" s="1164">
        <v>0</v>
      </c>
      <c r="W73" s="1164">
        <v>0</v>
      </c>
      <c r="X73" s="1164">
        <v>0</v>
      </c>
      <c r="Y73" s="1164">
        <v>0</v>
      </c>
      <c r="Z73" s="1164">
        <v>0</v>
      </c>
      <c r="AA73" s="1164">
        <v>0</v>
      </c>
      <c r="AB73" s="1164">
        <v>0</v>
      </c>
      <c r="AC73" s="1164">
        <v>0</v>
      </c>
      <c r="AD73" s="1167">
        <f t="shared" si="16"/>
        <v>0</v>
      </c>
    </row>
    <row r="74" spans="2:30" x14ac:dyDescent="0.3">
      <c r="B74" t="s">
        <v>426</v>
      </c>
      <c r="T74" s="1164">
        <v>0.48599999999999993</v>
      </c>
      <c r="U74" s="1164">
        <v>0.48599999999999993</v>
      </c>
      <c r="V74" s="1164">
        <v>0.48599999999999993</v>
      </c>
      <c r="W74" s="1164">
        <v>0.48599999999999993</v>
      </c>
      <c r="X74" s="1164">
        <v>0</v>
      </c>
      <c r="Y74" s="1164">
        <v>0</v>
      </c>
      <c r="Z74" s="1164">
        <v>0</v>
      </c>
      <c r="AA74" s="1164">
        <v>0</v>
      </c>
      <c r="AB74" s="1164">
        <v>0</v>
      </c>
      <c r="AC74" s="1164">
        <v>0</v>
      </c>
      <c r="AD74" s="1167">
        <f t="shared" si="16"/>
        <v>0</v>
      </c>
    </row>
    <row r="75" spans="2:30" x14ac:dyDescent="0.3">
      <c r="B75" t="s">
        <v>148</v>
      </c>
      <c r="T75" s="1164">
        <v>0</v>
      </c>
      <c r="U75" s="1164">
        <v>0</v>
      </c>
      <c r="V75" s="1164">
        <v>0</v>
      </c>
      <c r="W75" s="1164">
        <v>0</v>
      </c>
      <c r="X75" s="1164">
        <v>0</v>
      </c>
      <c r="Y75" s="1164">
        <v>0</v>
      </c>
      <c r="Z75" s="1164">
        <v>0</v>
      </c>
      <c r="AA75" s="1164">
        <v>0</v>
      </c>
      <c r="AB75" s="1164">
        <v>0</v>
      </c>
      <c r="AC75" s="1164">
        <v>0</v>
      </c>
      <c r="AD75" s="1167">
        <f t="shared" si="16"/>
        <v>0</v>
      </c>
    </row>
    <row r="76" spans="2:30" x14ac:dyDescent="0.3">
      <c r="B76" t="s">
        <v>416</v>
      </c>
      <c r="T76" s="1164">
        <v>0.78750000000000009</v>
      </c>
      <c r="U76" s="1164">
        <v>0.78750000000000009</v>
      </c>
      <c r="V76" s="1164">
        <v>0.78750000000000009</v>
      </c>
      <c r="W76" s="1164">
        <v>0.78750000000000009</v>
      </c>
      <c r="X76" s="1164">
        <v>0</v>
      </c>
      <c r="Y76" s="1164">
        <v>0</v>
      </c>
      <c r="Z76" s="1164">
        <v>0</v>
      </c>
      <c r="AA76" s="1164">
        <v>0</v>
      </c>
      <c r="AB76" s="1164">
        <v>0</v>
      </c>
      <c r="AC76" s="1164">
        <v>0</v>
      </c>
      <c r="AD76" s="1167">
        <f t="shared" si="16"/>
        <v>0</v>
      </c>
    </row>
    <row r="77" spans="2:30" x14ac:dyDescent="0.3">
      <c r="B77" t="s">
        <v>427</v>
      </c>
      <c r="T77" s="1164">
        <v>1.3125000000000002</v>
      </c>
      <c r="U77" s="1164">
        <v>1.3125000000000002</v>
      </c>
      <c r="V77" s="1164">
        <v>1.3125000000000002</v>
      </c>
      <c r="W77" s="1164">
        <v>1.3125000000000002</v>
      </c>
      <c r="X77" s="1164">
        <v>0</v>
      </c>
      <c r="Y77" s="1164">
        <v>0</v>
      </c>
      <c r="Z77" s="1164">
        <v>0</v>
      </c>
      <c r="AA77" s="1164">
        <v>0</v>
      </c>
      <c r="AB77" s="1164">
        <v>0</v>
      </c>
      <c r="AC77" s="1164">
        <v>0</v>
      </c>
      <c r="AD77" s="1167">
        <f t="shared" si="16"/>
        <v>0</v>
      </c>
    </row>
    <row r="78" spans="2:30" x14ac:dyDescent="0.3">
      <c r="B78" t="s">
        <v>428</v>
      </c>
      <c r="T78" s="1164">
        <v>8.4</v>
      </c>
      <c r="U78" s="1164">
        <v>8.4</v>
      </c>
      <c r="V78" s="1164">
        <v>8.4</v>
      </c>
      <c r="W78" s="1164">
        <v>8.4</v>
      </c>
      <c r="X78" s="1164">
        <v>0.2</v>
      </c>
      <c r="Y78" s="1164">
        <v>0.2</v>
      </c>
      <c r="Z78" s="1164">
        <v>0.2</v>
      </c>
      <c r="AA78" s="1164">
        <v>0.2</v>
      </c>
      <c r="AB78" s="1164">
        <v>0</v>
      </c>
      <c r="AC78" s="1164">
        <v>0</v>
      </c>
      <c r="AD78" s="1167">
        <f t="shared" si="16"/>
        <v>0</v>
      </c>
    </row>
    <row r="79" spans="2:30" x14ac:dyDescent="0.3">
      <c r="B79" t="s">
        <v>429</v>
      </c>
      <c r="T79" s="1164">
        <v>0</v>
      </c>
      <c r="U79" s="1164">
        <v>0</v>
      </c>
      <c r="V79" s="1164">
        <v>0</v>
      </c>
      <c r="W79" s="1164">
        <v>0</v>
      </c>
      <c r="X79" s="1164">
        <v>0</v>
      </c>
      <c r="Y79" s="1164">
        <v>0</v>
      </c>
      <c r="Z79" s="1164">
        <v>0</v>
      </c>
      <c r="AA79" s="1164">
        <v>0</v>
      </c>
      <c r="AB79" s="1164">
        <v>0</v>
      </c>
      <c r="AC79" s="1164">
        <v>0</v>
      </c>
      <c r="AD79" s="1167">
        <f t="shared" si="16"/>
        <v>0</v>
      </c>
    </row>
    <row r="80" spans="2:30" x14ac:dyDescent="0.3">
      <c r="B80" t="s">
        <v>312</v>
      </c>
      <c r="T80" s="1164">
        <v>12.362</v>
      </c>
      <c r="U80" s="1164">
        <v>12.362</v>
      </c>
      <c r="V80" s="1164">
        <v>12.362</v>
      </c>
      <c r="W80" s="1164">
        <v>12.362</v>
      </c>
      <c r="X80" s="1164">
        <v>-0.67500000000000004</v>
      </c>
      <c r="Y80" s="1164">
        <v>-0.67500000000000004</v>
      </c>
      <c r="Z80" s="1164">
        <v>-0.67500000000000004</v>
      </c>
      <c r="AA80" s="1164">
        <v>-0.67500000000000004</v>
      </c>
      <c r="AB80" s="1164">
        <v>0</v>
      </c>
      <c r="AC80" s="1164">
        <v>0</v>
      </c>
      <c r="AD80" s="1167">
        <f t="shared" si="16"/>
        <v>0</v>
      </c>
    </row>
    <row r="81" spans="2:30" x14ac:dyDescent="0.3">
      <c r="B81" t="s">
        <v>430</v>
      </c>
      <c r="T81" s="1164"/>
      <c r="U81" s="1164"/>
      <c r="AD81" s="1167">
        <f t="shared" si="16"/>
        <v>0</v>
      </c>
    </row>
    <row r="82" spans="2:30" x14ac:dyDescent="0.3">
      <c r="B82" t="s">
        <v>431</v>
      </c>
      <c r="T82" s="1164">
        <v>12.726000000000001</v>
      </c>
      <c r="U82" s="1164">
        <v>12.726000000000001</v>
      </c>
      <c r="V82" s="1164">
        <v>12.726000000000001</v>
      </c>
      <c r="W82" s="1164">
        <v>12.726000000000001</v>
      </c>
      <c r="X82" s="1164">
        <v>1.365</v>
      </c>
      <c r="Y82" s="1164">
        <v>1.365</v>
      </c>
      <c r="Z82" s="1164">
        <v>1.365</v>
      </c>
      <c r="AA82" s="1164">
        <v>1.365</v>
      </c>
      <c r="AB82" s="1164">
        <v>-0.90100000000000025</v>
      </c>
      <c r="AC82" s="1164">
        <v>-0.90100000000000025</v>
      </c>
      <c r="AD82" s="1167">
        <f t="shared" si="16"/>
        <v>0</v>
      </c>
    </row>
    <row r="83" spans="2:30" x14ac:dyDescent="0.3">
      <c r="B83" t="s">
        <v>199</v>
      </c>
      <c r="T83" s="1165">
        <v>98.073999999999998</v>
      </c>
      <c r="U83" s="1165">
        <v>83.295999999999992</v>
      </c>
      <c r="V83" s="1165">
        <v>75.782000000000011</v>
      </c>
      <c r="W83" s="1165">
        <v>75.782000000000011</v>
      </c>
      <c r="X83" s="1165">
        <v>84.266000000000005</v>
      </c>
      <c r="Y83" s="1165">
        <v>84.266000000000005</v>
      </c>
      <c r="Z83" s="1165">
        <v>84.266000000000005</v>
      </c>
      <c r="AA83" s="1165">
        <v>84.266000000000005</v>
      </c>
      <c r="AB83" s="1165">
        <v>91.364999999999995</v>
      </c>
      <c r="AC83" s="1165">
        <v>91.364999999999995</v>
      </c>
      <c r="AD83" s="1167">
        <f t="shared" si="16"/>
        <v>8.7780000000000058</v>
      </c>
    </row>
    <row r="84" spans="2:30" x14ac:dyDescent="0.3">
      <c r="AD84" s="1167"/>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2"/>
  <sheetViews>
    <sheetView zoomScale="90" zoomScaleNormal="90" workbookViewId="0">
      <selection activeCell="T31" sqref="T31"/>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30" x14ac:dyDescent="0.3">
      <c r="B1" s="1610" t="s">
        <v>54</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0" ht="14.25" customHeight="1" x14ac:dyDescent="0.3">
      <c r="B2" s="1680" t="s">
        <v>866</v>
      </c>
      <c r="C2" s="1680"/>
      <c r="D2" s="1680"/>
      <c r="E2" s="1680"/>
      <c r="F2" s="1680"/>
      <c r="G2" s="1680"/>
      <c r="H2" s="1680"/>
      <c r="I2" s="1680"/>
      <c r="J2" s="1680"/>
      <c r="K2" s="1680"/>
      <c r="L2" s="1680"/>
      <c r="M2" s="1680"/>
      <c r="N2" s="1680"/>
      <c r="O2" s="1680"/>
      <c r="P2" s="1680"/>
      <c r="Q2" s="1680"/>
      <c r="R2" s="1680"/>
      <c r="S2" s="1680"/>
      <c r="T2" s="1680"/>
      <c r="U2" s="1680"/>
      <c r="V2" s="1679" t="s">
        <v>919</v>
      </c>
      <c r="W2" s="1679"/>
      <c r="X2" s="1679"/>
      <c r="Y2" s="1679"/>
      <c r="Z2" s="1679"/>
      <c r="AA2" s="1679"/>
      <c r="AB2" s="1679"/>
      <c r="AC2" s="532"/>
    </row>
    <row r="3" spans="2:30" ht="59.85" customHeight="1" x14ac:dyDescent="0.3">
      <c r="B3" s="1680"/>
      <c r="C3" s="1680"/>
      <c r="D3" s="1680"/>
      <c r="E3" s="1680"/>
      <c r="F3" s="1680"/>
      <c r="G3" s="1680"/>
      <c r="H3" s="1680"/>
      <c r="I3" s="1680"/>
      <c r="J3" s="1680"/>
      <c r="K3" s="1680"/>
      <c r="L3" s="1680"/>
      <c r="M3" s="1680"/>
      <c r="N3" s="1680"/>
      <c r="O3" s="1680"/>
      <c r="P3" s="1680"/>
      <c r="Q3" s="1680"/>
      <c r="R3" s="1680"/>
      <c r="S3" s="1680"/>
      <c r="T3" s="1680"/>
      <c r="U3" s="1680"/>
      <c r="V3" s="1679"/>
      <c r="W3" s="1679"/>
      <c r="X3" s="1679"/>
      <c r="Y3" s="1679"/>
      <c r="Z3" s="1679"/>
      <c r="AA3" s="1679"/>
      <c r="AB3" s="1679"/>
      <c r="AC3" s="532"/>
    </row>
    <row r="4" spans="2:30" ht="88.5" customHeight="1" x14ac:dyDescent="0.3">
      <c r="B4" s="1680"/>
      <c r="C4" s="1680"/>
      <c r="D4" s="1680"/>
      <c r="E4" s="1680"/>
      <c r="F4" s="1680"/>
      <c r="G4" s="1680"/>
      <c r="H4" s="1680"/>
      <c r="I4" s="1680"/>
      <c r="J4" s="1680"/>
      <c r="K4" s="1680"/>
      <c r="L4" s="1680"/>
      <c r="M4" s="1680"/>
      <c r="N4" s="1680"/>
      <c r="O4" s="1680"/>
      <c r="P4" s="1680"/>
      <c r="Q4" s="1680"/>
      <c r="R4" s="1680"/>
      <c r="S4" s="1680"/>
      <c r="T4" s="1680"/>
      <c r="U4" s="1680"/>
      <c r="V4" s="1679"/>
      <c r="W4" s="1679"/>
      <c r="X4" s="1679"/>
      <c r="Y4" s="1679"/>
      <c r="Z4" s="1679"/>
      <c r="AA4" s="1679"/>
      <c r="AB4" s="1679"/>
      <c r="AC4" s="532"/>
    </row>
    <row r="5" spans="2:30" ht="33" customHeight="1" x14ac:dyDescent="0.3">
      <c r="B5" s="532"/>
      <c r="C5" s="532"/>
      <c r="D5" s="532"/>
      <c r="E5" s="532"/>
      <c r="F5" s="532"/>
      <c r="G5" s="532"/>
      <c r="H5" s="532"/>
      <c r="I5" s="532"/>
      <c r="J5" s="532"/>
      <c r="K5" s="532"/>
      <c r="L5" s="532"/>
      <c r="M5" s="532"/>
      <c r="N5" s="532"/>
      <c r="O5" s="532"/>
      <c r="P5" s="532"/>
      <c r="Q5" s="532"/>
      <c r="R5" s="532"/>
      <c r="S5" s="532"/>
      <c r="T5" s="532"/>
      <c r="U5" s="532"/>
      <c r="V5" s="532"/>
      <c r="W5" s="532"/>
      <c r="X5" s="532"/>
      <c r="Y5" s="532"/>
      <c r="Z5" s="532"/>
      <c r="AA5" s="532"/>
      <c r="AB5" s="532"/>
      <c r="AC5" s="532"/>
    </row>
    <row r="6" spans="2:30" x14ac:dyDescent="0.3">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row>
    <row r="7" spans="2:30" ht="14.85" customHeight="1" x14ac:dyDescent="0.3">
      <c r="B7" s="1629" t="s">
        <v>406</v>
      </c>
      <c r="C7" s="1630"/>
      <c r="D7" s="1631" t="s">
        <v>280</v>
      </c>
      <c r="E7" s="1632"/>
      <c r="F7" s="1632"/>
      <c r="G7" s="1632"/>
      <c r="H7" s="1632"/>
      <c r="I7" s="1632"/>
      <c r="J7" s="1632"/>
      <c r="K7" s="1632"/>
      <c r="L7" s="1632"/>
      <c r="M7" s="1632"/>
      <c r="N7" s="1632"/>
      <c r="O7" s="1632"/>
      <c r="P7" s="1632"/>
      <c r="Q7" s="1659"/>
      <c r="R7" s="1659"/>
      <c r="S7" s="1659"/>
      <c r="T7" s="1660"/>
      <c r="U7" s="1246"/>
      <c r="V7" s="1627" t="s">
        <v>281</v>
      </c>
      <c r="W7" s="1605"/>
      <c r="X7" s="1605"/>
      <c r="Y7" s="1605"/>
      <c r="Z7" s="1605"/>
      <c r="AA7" s="1605"/>
      <c r="AB7" s="1605"/>
      <c r="AC7" s="1606"/>
    </row>
    <row r="8" spans="2:30" x14ac:dyDescent="0.3">
      <c r="B8" s="1617"/>
      <c r="C8" s="1673"/>
      <c r="D8" s="127">
        <v>2018</v>
      </c>
      <c r="E8" s="1600">
        <v>2019</v>
      </c>
      <c r="F8" s="1622"/>
      <c r="G8" s="1622"/>
      <c r="H8" s="1637"/>
      <c r="I8" s="1600">
        <v>2020</v>
      </c>
      <c r="J8" s="1622"/>
      <c r="K8" s="1622"/>
      <c r="L8" s="1622"/>
      <c r="M8" s="1600">
        <v>2021</v>
      </c>
      <c r="N8" s="1622"/>
      <c r="O8" s="1622"/>
      <c r="P8" s="1622"/>
      <c r="Q8" s="1600">
        <v>2022</v>
      </c>
      <c r="R8" s="1601"/>
      <c r="S8" s="1601"/>
      <c r="T8" s="1637"/>
      <c r="U8" s="1242"/>
      <c r="V8" s="1243">
        <v>2023</v>
      </c>
      <c r="W8" s="1243"/>
      <c r="X8" s="1244"/>
      <c r="Y8" s="1609">
        <v>2024</v>
      </c>
      <c r="Z8" s="1607"/>
      <c r="AA8" s="1607"/>
      <c r="AB8" s="1608"/>
      <c r="AC8" s="178">
        <v>2025</v>
      </c>
    </row>
    <row r="9" spans="2:30" x14ac:dyDescent="0.3">
      <c r="B9" s="1617"/>
      <c r="C9" s="1673"/>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40" t="s">
        <v>283</v>
      </c>
      <c r="V9" s="190" t="s">
        <v>284</v>
      </c>
      <c r="W9" s="190" t="s">
        <v>238</v>
      </c>
      <c r="X9" s="191" t="s">
        <v>282</v>
      </c>
      <c r="Y9" s="189" t="s">
        <v>283</v>
      </c>
      <c r="Z9" s="186" t="s">
        <v>284</v>
      </c>
      <c r="AA9" s="190" t="s">
        <v>238</v>
      </c>
      <c r="AB9" s="190" t="s">
        <v>282</v>
      </c>
      <c r="AC9" s="192" t="s">
        <v>283</v>
      </c>
    </row>
    <row r="10" spans="2:30" x14ac:dyDescent="0.3">
      <c r="B10" s="512" t="s">
        <v>101</v>
      </c>
      <c r="C10" s="400" t="s">
        <v>432</v>
      </c>
      <c r="D10" s="497">
        <f>'Haver Pivoted'!GO13</f>
        <v>589.5</v>
      </c>
      <c r="E10" s="498">
        <f>'Haver Pivoted'!GP13</f>
        <v>598.70000000000005</v>
      </c>
      <c r="F10" s="498">
        <f>'Haver Pivoted'!GQ13</f>
        <v>614.4</v>
      </c>
      <c r="G10" s="498">
        <f>'Haver Pivoted'!GR13</f>
        <v>622.4</v>
      </c>
      <c r="H10" s="498">
        <f>'Haver Pivoted'!GS13</f>
        <v>620.70000000000005</v>
      </c>
      <c r="I10" s="498">
        <f>'Haver Pivoted'!GT13</f>
        <v>606.6</v>
      </c>
      <c r="J10" s="498">
        <f>'Haver Pivoted'!GU13</f>
        <v>654.70000000000005</v>
      </c>
      <c r="K10" s="498">
        <f>'Haver Pivoted'!GV13</f>
        <v>690.7</v>
      </c>
      <c r="L10" s="498">
        <f>'Haver Pivoted'!GW13</f>
        <v>678.3</v>
      </c>
      <c r="M10" s="498">
        <f>'Haver Pivoted'!GX13</f>
        <v>704.4</v>
      </c>
      <c r="N10" s="498">
        <f>'Haver Pivoted'!GY13</f>
        <v>744.8</v>
      </c>
      <c r="O10" s="498">
        <f>'Haver Pivoted'!GZ13</f>
        <v>748.2</v>
      </c>
      <c r="P10" s="498">
        <f>'Haver Pivoted'!HA13</f>
        <v>745</v>
      </c>
      <c r="Q10" s="498">
        <f>'Haver Pivoted'!HB13</f>
        <v>763.1</v>
      </c>
      <c r="R10" s="498">
        <f>'Haver Pivoted'!HC13</f>
        <v>789.5</v>
      </c>
      <c r="S10" s="499">
        <f>'Haver Pivoted'!HD13</f>
        <v>786.1</v>
      </c>
      <c r="T10" s="1206">
        <f>'Haver Pivoted'!HE13</f>
        <v>796.2</v>
      </c>
      <c r="U10" s="1193">
        <f>'Haver Pivoted'!HF13</f>
        <v>813.1</v>
      </c>
      <c r="V10" s="151"/>
      <c r="W10" s="151"/>
      <c r="X10" s="151"/>
      <c r="Y10" s="151"/>
      <c r="Z10" s="151"/>
      <c r="AA10" s="151"/>
      <c r="AB10" s="151"/>
      <c r="AC10" s="152"/>
      <c r="AD10" t="s">
        <v>2216</v>
      </c>
    </row>
    <row r="11" spans="2:30" x14ac:dyDescent="0.3">
      <c r="B11" s="494" t="s">
        <v>433</v>
      </c>
      <c r="C11" s="163" t="s">
        <v>339</v>
      </c>
      <c r="D11" s="528">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95">
        <f>'Haver Pivoted'!HD40</f>
        <v>605.63699999999994</v>
      </c>
      <c r="T11" s="1326">
        <f>'Haver Pivoted'!HE40</f>
        <v>604.82500000000005</v>
      </c>
      <c r="U11" s="496">
        <f>'Haver Pivoted'!HF40</f>
        <v>627.72799999999995</v>
      </c>
      <c r="V11" s="243"/>
      <c r="W11" s="243"/>
      <c r="X11" s="243"/>
      <c r="Y11" s="243"/>
      <c r="Z11" s="243"/>
      <c r="AA11" s="243"/>
      <c r="AB11" s="243"/>
      <c r="AC11" s="241"/>
    </row>
    <row r="12" spans="2:30" ht="27.6" customHeight="1" x14ac:dyDescent="0.3">
      <c r="B12" s="434" t="s">
        <v>900</v>
      </c>
      <c r="C12" s="36"/>
      <c r="D12" s="531">
        <f t="shared" ref="D12:N12" si="0">D11/D10</f>
        <v>0.66248515691263787</v>
      </c>
      <c r="E12" s="511">
        <f t="shared" si="0"/>
        <v>0.68084349423751456</v>
      </c>
      <c r="F12" s="511">
        <f t="shared" si="0"/>
        <v>0.67783040364583336</v>
      </c>
      <c r="G12" s="511">
        <f t="shared" si="0"/>
        <v>0.6726558483290489</v>
      </c>
      <c r="H12" s="511">
        <f t="shared" si="0"/>
        <v>0.66327533429998387</v>
      </c>
      <c r="I12" s="511">
        <f t="shared" si="0"/>
        <v>0.70607978898780077</v>
      </c>
      <c r="J12" s="511">
        <f t="shared" si="0"/>
        <v>0.77411944402016186</v>
      </c>
      <c r="K12" s="511">
        <f t="shared" si="0"/>
        <v>0.70186767047922394</v>
      </c>
      <c r="L12" s="511">
        <f t="shared" si="0"/>
        <v>0.73751732271856119</v>
      </c>
      <c r="M12" s="511">
        <f t="shared" si="0"/>
        <v>0.72319846678023847</v>
      </c>
      <c r="N12" s="511">
        <f t="shared" si="0"/>
        <v>0.70759532760472621</v>
      </c>
      <c r="O12" s="511">
        <f t="shared" ref="O12:T12" si="1">O11/O10</f>
        <v>0.72554530874097822</v>
      </c>
      <c r="P12" s="511">
        <f t="shared" si="1"/>
        <v>0.74344295302013419</v>
      </c>
      <c r="Q12" s="511">
        <f t="shared" si="1"/>
        <v>0.77613287904599659</v>
      </c>
      <c r="R12" s="511">
        <f t="shared" si="1"/>
        <v>0.74747308423052561</v>
      </c>
      <c r="S12" s="500">
        <f t="shared" si="1"/>
        <v>0.77043251494720766</v>
      </c>
      <c r="T12" s="500">
        <f t="shared" si="1"/>
        <v>0.75963953780457172</v>
      </c>
      <c r="U12" s="508">
        <f t="shared" ref="U12" si="2">U11/U10</f>
        <v>0.77201820194318038</v>
      </c>
      <c r="V12" s="534">
        <v>0.73699999999999999</v>
      </c>
      <c r="W12" s="534">
        <f>U12-0.05</f>
        <v>0.72201820194318034</v>
      </c>
      <c r="X12" s="534">
        <f>W12++(I50-H50)</f>
        <v>0.72147447678701904</v>
      </c>
      <c r="Y12" s="534">
        <f t="shared" ref="Y12" si="3">X12</f>
        <v>0.72147447678701904</v>
      </c>
      <c r="Z12" s="534">
        <f t="shared" ref="Z12" si="4">Y12</f>
        <v>0.72147447678701904</v>
      </c>
      <c r="AA12" s="534">
        <f t="shared" ref="AA12" si="5">Z12</f>
        <v>0.72147447678701904</v>
      </c>
      <c r="AB12" s="534">
        <f>AA12+(J50-I50)</f>
        <v>0.71660792369218651</v>
      </c>
      <c r="AC12" s="535">
        <f t="shared" ref="AC12" si="6">AB12</f>
        <v>0.71660792369218651</v>
      </c>
    </row>
    <row r="13" spans="2:30" ht="27.6" customHeight="1" x14ac:dyDescent="0.3"/>
    <row r="15" spans="2:30" x14ac:dyDescent="0.3">
      <c r="B15" s="431" t="s">
        <v>352</v>
      </c>
    </row>
    <row r="16" spans="2:30" ht="25.35" customHeight="1" x14ac:dyDescent="0.3">
      <c r="B16" s="489" t="s">
        <v>434</v>
      </c>
      <c r="C16" s="490">
        <v>2020</v>
      </c>
      <c r="D16" s="490">
        <v>2021</v>
      </c>
      <c r="E16" s="490">
        <v>2022</v>
      </c>
      <c r="F16" s="490">
        <v>2023</v>
      </c>
      <c r="G16" s="491">
        <v>2024</v>
      </c>
      <c r="H16" s="159"/>
      <c r="I16" s="159"/>
      <c r="J16" s="159"/>
    </row>
    <row r="17" spans="2:29" ht="31.5" customHeight="1" x14ac:dyDescent="0.3">
      <c r="B17" s="530" t="s">
        <v>1832</v>
      </c>
      <c r="C17" s="223">
        <v>458.46800000000002</v>
      </c>
      <c r="D17" s="185">
        <v>520.58799999999997</v>
      </c>
      <c r="E17" s="185">
        <v>591.95000000000005</v>
      </c>
      <c r="F17" s="185">
        <v>589.41600000000005</v>
      </c>
      <c r="G17" s="486">
        <v>538.94399999999996</v>
      </c>
    </row>
    <row r="18" spans="2:29" x14ac:dyDescent="0.3">
      <c r="B18" s="494" t="s">
        <v>435</v>
      </c>
      <c r="C18" s="485">
        <f>AVERAGE(H12:K12)</f>
        <v>0.7113355594467925</v>
      </c>
      <c r="D18" s="485">
        <f>AVERAGE(L12:O12)</f>
        <v>0.72346410646112602</v>
      </c>
      <c r="E18" s="485">
        <f>AVERAGE(P12:S12)</f>
        <v>0.75937035781096596</v>
      </c>
      <c r="F18" s="485">
        <f>AVERAGE(T12:W12)</f>
        <v>0.74766898542273308</v>
      </c>
      <c r="G18" s="509">
        <f>AVERAGE(X12:AA12)</f>
        <v>0.72147447678701904</v>
      </c>
    </row>
    <row r="19" spans="2:29" x14ac:dyDescent="0.3">
      <c r="B19" s="494" t="s">
        <v>436</v>
      </c>
      <c r="C19" s="159">
        <f>C17/C18</f>
        <v>644.51719573326511</v>
      </c>
      <c r="D19" s="159">
        <f>D17/D18</f>
        <v>719.5768184637268</v>
      </c>
      <c r="E19" s="159">
        <f>E17/E18</f>
        <v>779.52739912894685</v>
      </c>
      <c r="F19" s="159">
        <f>F17/F18</f>
        <v>788.33817035588743</v>
      </c>
      <c r="G19" s="492">
        <f>G17/G18</f>
        <v>747.0035563837381</v>
      </c>
    </row>
    <row r="20" spans="2:29" ht="32.25" customHeight="1" x14ac:dyDescent="0.3">
      <c r="B20" s="434" t="s">
        <v>437</v>
      </c>
      <c r="C20" s="487"/>
      <c r="D20" s="511">
        <f>D19/C19-1</f>
        <v>0.11645868136235937</v>
      </c>
      <c r="E20" s="511">
        <f t="shared" ref="E20:G20" si="7">E19/D19-1</f>
        <v>8.3313663151646011E-2</v>
      </c>
      <c r="F20" s="511">
        <f>F19/E19-1</f>
        <v>1.1302708842288123E-2</v>
      </c>
      <c r="G20" s="533">
        <f t="shared" si="7"/>
        <v>-5.2432592415878054E-2</v>
      </c>
      <c r="I20" s="515"/>
      <c r="J20" s="515"/>
      <c r="K20" s="515"/>
      <c r="L20" s="515"/>
      <c r="R20" s="35"/>
      <c r="S20" s="510"/>
      <c r="T20" s="510"/>
      <c r="U20" s="510"/>
    </row>
    <row r="22" spans="2:29" x14ac:dyDescent="0.3">
      <c r="B22" s="431" t="s">
        <v>365</v>
      </c>
    </row>
    <row r="23" spans="2:29" x14ac:dyDescent="0.3">
      <c r="B23" s="1629" t="s">
        <v>438</v>
      </c>
      <c r="C23" s="1660"/>
      <c r="D23" s="1625" t="s">
        <v>280</v>
      </c>
      <c r="E23" s="1626"/>
      <c r="F23" s="1626"/>
      <c r="G23" s="1626"/>
      <c r="H23" s="1626"/>
      <c r="I23" s="1626"/>
      <c r="J23" s="1626"/>
      <c r="K23" s="1626"/>
      <c r="L23" s="1626"/>
      <c r="M23" s="1626"/>
      <c r="N23" s="1626"/>
      <c r="O23" s="1626"/>
      <c r="P23" s="1626"/>
      <c r="Q23" s="1626"/>
      <c r="R23" s="1626"/>
      <c r="S23" s="1626"/>
      <c r="T23" s="1626"/>
      <c r="U23" s="1246"/>
      <c r="V23" s="1627" t="s">
        <v>281</v>
      </c>
      <c r="W23" s="1605"/>
      <c r="X23" s="1605"/>
      <c r="Y23" s="1605"/>
      <c r="Z23" s="1605"/>
      <c r="AA23" s="1605"/>
      <c r="AB23" s="1605"/>
      <c r="AC23" s="1606"/>
    </row>
    <row r="24" spans="2:29" x14ac:dyDescent="0.3">
      <c r="B24" s="1617"/>
      <c r="C24" s="1673"/>
      <c r="D24" s="127">
        <v>2018</v>
      </c>
      <c r="E24" s="1600">
        <v>2019</v>
      </c>
      <c r="F24" s="1622"/>
      <c r="G24" s="1622"/>
      <c r="H24" s="1637"/>
      <c r="I24" s="1600">
        <v>2020</v>
      </c>
      <c r="J24" s="1622"/>
      <c r="K24" s="1622"/>
      <c r="L24" s="1622"/>
      <c r="M24" s="1600">
        <v>2021</v>
      </c>
      <c r="N24" s="1622"/>
      <c r="O24" s="1622"/>
      <c r="P24" s="1622"/>
      <c r="Q24" s="1600">
        <v>2022</v>
      </c>
      <c r="R24" s="1601"/>
      <c r="S24" s="1601"/>
      <c r="T24" s="1637"/>
      <c r="U24" s="1242"/>
      <c r="V24" s="1243">
        <v>2023</v>
      </c>
      <c r="W24" s="1243"/>
      <c r="X24" s="1244"/>
      <c r="Y24" s="1609">
        <v>2024</v>
      </c>
      <c r="Z24" s="1607"/>
      <c r="AA24" s="1607"/>
      <c r="AB24" s="1608"/>
      <c r="AC24" s="178">
        <v>2025</v>
      </c>
    </row>
    <row r="25" spans="2:29" x14ac:dyDescent="0.3">
      <c r="B25" s="1619"/>
      <c r="C25" s="1674"/>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40" t="s">
        <v>283</v>
      </c>
      <c r="V25" s="190" t="s">
        <v>284</v>
      </c>
      <c r="W25" s="190" t="s">
        <v>238</v>
      </c>
      <c r="X25" s="191" t="s">
        <v>282</v>
      </c>
      <c r="Y25" s="189" t="s">
        <v>283</v>
      </c>
      <c r="Z25" s="186" t="s">
        <v>284</v>
      </c>
      <c r="AA25" s="190" t="s">
        <v>238</v>
      </c>
      <c r="AB25" s="190" t="s">
        <v>282</v>
      </c>
      <c r="AC25" s="192" t="s">
        <v>283</v>
      </c>
    </row>
    <row r="26" spans="2:29" ht="19.5" customHeight="1" x14ac:dyDescent="0.3">
      <c r="B26" s="525" t="s">
        <v>439</v>
      </c>
      <c r="C26" s="526"/>
      <c r="D26" s="503">
        <f t="shared" ref="D26:U26" si="8">D10</f>
        <v>589.5</v>
      </c>
      <c r="E26" s="504">
        <f t="shared" si="8"/>
        <v>598.70000000000005</v>
      </c>
      <c r="F26" s="504">
        <f t="shared" si="8"/>
        <v>614.4</v>
      </c>
      <c r="G26" s="504">
        <f t="shared" si="8"/>
        <v>622.4</v>
      </c>
      <c r="H26" s="504">
        <f t="shared" si="8"/>
        <v>620.70000000000005</v>
      </c>
      <c r="I26" s="504">
        <f t="shared" si="8"/>
        <v>606.6</v>
      </c>
      <c r="J26" s="504">
        <f t="shared" si="8"/>
        <v>654.70000000000005</v>
      </c>
      <c r="K26" s="504">
        <f t="shared" si="8"/>
        <v>690.7</v>
      </c>
      <c r="L26" s="504">
        <f t="shared" si="8"/>
        <v>678.3</v>
      </c>
      <c r="M26" s="504">
        <f t="shared" si="8"/>
        <v>704.4</v>
      </c>
      <c r="N26" s="504">
        <f t="shared" si="8"/>
        <v>744.8</v>
      </c>
      <c r="O26" s="504">
        <f t="shared" si="8"/>
        <v>748.2</v>
      </c>
      <c r="P26" s="504">
        <f t="shared" si="8"/>
        <v>745</v>
      </c>
      <c r="Q26" s="504">
        <f t="shared" si="8"/>
        <v>763.1</v>
      </c>
      <c r="R26" s="504">
        <f t="shared" si="8"/>
        <v>789.5</v>
      </c>
      <c r="S26" s="505">
        <f t="shared" si="8"/>
        <v>786.1</v>
      </c>
      <c r="T26" s="1327">
        <f t="shared" si="8"/>
        <v>796.2</v>
      </c>
      <c r="U26" s="506">
        <f t="shared" si="8"/>
        <v>813.1</v>
      </c>
      <c r="V26" s="524">
        <f>U26*(1+$F$20)^0.25</f>
        <v>815.38788361526656</v>
      </c>
      <c r="W26" s="524">
        <f>V26*(1+$F$20)^0.25</f>
        <v>817.68220482915194</v>
      </c>
      <c r="X26" s="524">
        <f t="shared" ref="X26:AC26" si="9">W26*(1+$G$20)^0.25</f>
        <v>806.74647211686954</v>
      </c>
      <c r="Y26" s="524">
        <f t="shared" si="9"/>
        <v>795.95699457468652</v>
      </c>
      <c r="Z26" s="524">
        <f t="shared" si="9"/>
        <v>785.31181617685274</v>
      </c>
      <c r="AA26" s="524">
        <f t="shared" si="9"/>
        <v>774.80900705762838</v>
      </c>
      <c r="AB26" s="524">
        <f t="shared" si="9"/>
        <v>764.44666316141809</v>
      </c>
      <c r="AC26" s="1330">
        <f t="shared" si="9"/>
        <v>754.22290589758461</v>
      </c>
    </row>
    <row r="27" spans="2:29" ht="19.5" customHeight="1" x14ac:dyDescent="0.3">
      <c r="B27" s="513" t="s">
        <v>1717</v>
      </c>
      <c r="C27" s="177"/>
      <c r="D27" s="527"/>
      <c r="E27" s="501"/>
      <c r="F27" s="501"/>
      <c r="G27" s="501"/>
      <c r="H27" s="501"/>
      <c r="I27" s="501"/>
      <c r="J27" s="501"/>
      <c r="K27" s="501"/>
      <c r="L27" s="501"/>
      <c r="M27" s="501"/>
      <c r="N27" s="501"/>
      <c r="O27" s="501"/>
      <c r="P27" s="501"/>
      <c r="Q27" s="501"/>
      <c r="R27" s="501"/>
      <c r="S27" s="502"/>
      <c r="T27" s="1328"/>
      <c r="U27" s="536"/>
      <c r="V27" s="507"/>
      <c r="W27" s="507"/>
      <c r="X27" s="507"/>
      <c r="Y27" s="507"/>
      <c r="Z27" s="507"/>
      <c r="AA27" s="507"/>
      <c r="AB27" s="507"/>
      <c r="AC27" s="618"/>
    </row>
    <row r="28" spans="2:29" ht="19.350000000000001" customHeight="1" x14ac:dyDescent="0.3">
      <c r="B28" s="513" t="s">
        <v>207</v>
      </c>
      <c r="C28" s="177"/>
      <c r="D28" s="527">
        <f t="shared" ref="D28:Q28" si="10">D10*D12</f>
        <v>390.53500000000003</v>
      </c>
      <c r="E28" s="501">
        <f t="shared" si="10"/>
        <v>407.62099999999998</v>
      </c>
      <c r="F28" s="501">
        <f t="shared" si="10"/>
        <v>416.459</v>
      </c>
      <c r="G28" s="501">
        <f t="shared" si="10"/>
        <v>418.661</v>
      </c>
      <c r="H28" s="501">
        <f t="shared" si="10"/>
        <v>411.69499999999999</v>
      </c>
      <c r="I28" s="501">
        <f t="shared" si="10"/>
        <v>428.30799999999994</v>
      </c>
      <c r="J28" s="501">
        <f t="shared" si="10"/>
        <v>506.81600000000003</v>
      </c>
      <c r="K28" s="501">
        <f t="shared" si="10"/>
        <v>484.78000000000003</v>
      </c>
      <c r="L28" s="501">
        <f t="shared" si="10"/>
        <v>500.25800000000004</v>
      </c>
      <c r="M28" s="501">
        <f t="shared" si="10"/>
        <v>509.42099999999994</v>
      </c>
      <c r="N28" s="501">
        <f t="shared" si="10"/>
        <v>527.01700000000005</v>
      </c>
      <c r="O28" s="501">
        <f t="shared" si="10"/>
        <v>542.85299999999995</v>
      </c>
      <c r="P28" s="501">
        <f t="shared" si="10"/>
        <v>553.86500000000001</v>
      </c>
      <c r="Q28" s="501">
        <f t="shared" si="10"/>
        <v>592.26700000000005</v>
      </c>
      <c r="R28" s="501">
        <f t="shared" ref="R28:AC28" si="11">R26*R12</f>
        <v>590.13</v>
      </c>
      <c r="S28" s="501">
        <f t="shared" si="11"/>
        <v>605.63699999999994</v>
      </c>
      <c r="T28" s="1329">
        <f t="shared" si="11"/>
        <v>604.82500000000005</v>
      </c>
      <c r="U28" s="618">
        <f t="shared" si="11"/>
        <v>627.72799999999995</v>
      </c>
      <c r="V28" s="507">
        <f t="shared" si="11"/>
        <v>600.94087022445149</v>
      </c>
      <c r="W28" s="507">
        <f t="shared" si="11"/>
        <v>590.38143529167962</v>
      </c>
      <c r="X28" s="507">
        <f t="shared" si="11"/>
        <v>582.0469888702919</v>
      </c>
      <c r="Y28" s="507">
        <f t="shared" si="11"/>
        <v>574.26265620574009</v>
      </c>
      <c r="Z28" s="507">
        <f t="shared" si="11"/>
        <v>566.58243169085847</v>
      </c>
      <c r="AA28" s="507">
        <f t="shared" si="11"/>
        <v>559.00492297677215</v>
      </c>
      <c r="AB28" s="507">
        <f t="shared" si="11"/>
        <v>547.80853606152414</v>
      </c>
      <c r="AC28" s="618">
        <f t="shared" si="11"/>
        <v>540.48211059635548</v>
      </c>
    </row>
    <row r="29" spans="2:29" ht="19.350000000000001" customHeight="1" x14ac:dyDescent="0.3">
      <c r="B29" s="229" t="s">
        <v>440</v>
      </c>
      <c r="C29" s="230"/>
      <c r="D29" s="529">
        <f t="shared" ref="D29:G29" si="12">D26-D28</f>
        <v>198.96499999999997</v>
      </c>
      <c r="E29" s="488">
        <f t="shared" si="12"/>
        <v>191.07900000000006</v>
      </c>
      <c r="F29" s="488">
        <f t="shared" si="12"/>
        <v>197.94099999999997</v>
      </c>
      <c r="G29" s="488">
        <f t="shared" si="12"/>
        <v>203.73899999999998</v>
      </c>
      <c r="H29" s="488">
        <f t="shared" ref="H29:AC29" si="13">H26-H28</f>
        <v>209.00500000000005</v>
      </c>
      <c r="I29" s="488">
        <f t="shared" si="13"/>
        <v>178.29200000000009</v>
      </c>
      <c r="J29" s="488">
        <f t="shared" si="13"/>
        <v>147.88400000000001</v>
      </c>
      <c r="K29" s="488">
        <f t="shared" si="13"/>
        <v>205.92000000000002</v>
      </c>
      <c r="L29" s="488">
        <f t="shared" si="13"/>
        <v>178.04199999999992</v>
      </c>
      <c r="M29" s="488">
        <f t="shared" si="13"/>
        <v>194.97900000000004</v>
      </c>
      <c r="N29" s="488">
        <f t="shared" si="13"/>
        <v>217.7829999999999</v>
      </c>
      <c r="O29" s="488">
        <f>O26-O28</f>
        <v>205.34700000000009</v>
      </c>
      <c r="P29" s="488">
        <f>P26-P28</f>
        <v>191.13499999999999</v>
      </c>
      <c r="Q29" s="488">
        <f t="shared" si="13"/>
        <v>170.83299999999997</v>
      </c>
      <c r="R29" s="488">
        <f t="shared" si="13"/>
        <v>199.37</v>
      </c>
      <c r="S29" s="488">
        <f t="shared" si="13"/>
        <v>180.46300000000008</v>
      </c>
      <c r="T29" s="488">
        <f t="shared" si="13"/>
        <v>191.375</v>
      </c>
      <c r="U29" s="523">
        <f t="shared" si="13"/>
        <v>185.37200000000007</v>
      </c>
      <c r="V29" s="522">
        <f t="shared" si="13"/>
        <v>214.44701339081507</v>
      </c>
      <c r="W29" s="522">
        <f t="shared" si="13"/>
        <v>227.30076953747232</v>
      </c>
      <c r="X29" s="522">
        <f t="shared" si="13"/>
        <v>224.69948324657764</v>
      </c>
      <c r="Y29" s="522">
        <f t="shared" si="13"/>
        <v>221.69433836894643</v>
      </c>
      <c r="Z29" s="522">
        <f t="shared" si="13"/>
        <v>218.72938448599427</v>
      </c>
      <c r="AA29" s="522">
        <f t="shared" si="13"/>
        <v>215.80408408085623</v>
      </c>
      <c r="AB29" s="522">
        <f t="shared" si="13"/>
        <v>216.63812709989395</v>
      </c>
      <c r="AC29" s="523">
        <f t="shared" si="13"/>
        <v>213.74079530122913</v>
      </c>
    </row>
    <row r="30" spans="2:29" ht="19.350000000000001" customHeight="1" x14ac:dyDescent="0.3">
      <c r="B30" s="163"/>
      <c r="C30" s="163"/>
      <c r="D30" s="471"/>
      <c r="E30" s="471"/>
      <c r="F30" s="471"/>
      <c r="G30" s="471"/>
      <c r="H30" s="471"/>
      <c r="I30" s="471"/>
      <c r="J30" s="471"/>
      <c r="K30" s="471"/>
      <c r="L30" s="471"/>
      <c r="M30" s="471"/>
      <c r="N30" s="471"/>
      <c r="O30" s="471"/>
      <c r="P30" s="483" t="s">
        <v>439</v>
      </c>
      <c r="Q30" s="471"/>
      <c r="R30" s="471"/>
      <c r="S30" s="471"/>
      <c r="T30" s="474">
        <v>784.6</v>
      </c>
      <c r="U30" s="475">
        <v>786.22859405082568</v>
      </c>
      <c r="V30" s="475">
        <v>787.86056857397148</v>
      </c>
      <c r="W30" s="475">
        <v>789.49593058628307</v>
      </c>
      <c r="X30" s="475">
        <v>779.83155088112517</v>
      </c>
      <c r="Y30" s="475">
        <v>770.28547480676127</v>
      </c>
      <c r="Z30" s="475">
        <v>760.85625418446853</v>
      </c>
      <c r="AA30" s="475">
        <v>751.54245856297325</v>
      </c>
      <c r="AB30" s="475">
        <v>742.34267500144574</v>
      </c>
      <c r="AC30" s="476">
        <v>733.25550785515156</v>
      </c>
    </row>
    <row r="31" spans="2:29" ht="19.350000000000001" customHeight="1" x14ac:dyDescent="0.3">
      <c r="B31" s="163"/>
      <c r="C31" s="163"/>
      <c r="D31" s="471"/>
      <c r="E31" s="471"/>
      <c r="F31" s="471"/>
      <c r="G31" s="471"/>
      <c r="H31" s="471"/>
      <c r="I31" s="471"/>
      <c r="J31" s="471"/>
      <c r="K31" s="471"/>
      <c r="L31" s="471"/>
      <c r="M31" s="471"/>
      <c r="N31" s="471"/>
      <c r="O31" s="471"/>
      <c r="P31" s="473" t="s">
        <v>1717</v>
      </c>
      <c r="Q31" s="471"/>
      <c r="R31" s="471"/>
      <c r="S31" s="471"/>
      <c r="T31" s="477"/>
      <c r="U31" s="477"/>
      <c r="V31" s="478"/>
      <c r="W31" s="478"/>
      <c r="X31" s="478"/>
      <c r="Y31" s="478"/>
      <c r="Z31" s="478"/>
      <c r="AA31" s="478"/>
      <c r="AB31" s="478"/>
      <c r="AC31" s="478"/>
    </row>
    <row r="32" spans="2:29" ht="19.350000000000001" customHeight="1" x14ac:dyDescent="0.3">
      <c r="B32" s="163"/>
      <c r="C32" s="163"/>
      <c r="D32" s="471"/>
      <c r="E32" s="471"/>
      <c r="F32" s="471"/>
      <c r="G32" s="471"/>
      <c r="H32" s="471"/>
      <c r="I32" s="471"/>
      <c r="J32" s="471"/>
      <c r="K32" s="471"/>
      <c r="L32" s="471"/>
      <c r="M32" s="471"/>
      <c r="N32" s="471"/>
      <c r="O32" s="471"/>
      <c r="P32" s="473" t="s">
        <v>207</v>
      </c>
      <c r="Q32" s="471"/>
      <c r="R32" s="471"/>
      <c r="S32" s="471"/>
      <c r="T32" s="479">
        <v>604.79499999999996</v>
      </c>
      <c r="U32" s="478">
        <v>606.05037285109495</v>
      </c>
      <c r="V32" s="478">
        <v>580.65323903901697</v>
      </c>
      <c r="W32" s="478">
        <v>569.0941447642507</v>
      </c>
      <c r="X32" s="478">
        <v>561.70373395965726</v>
      </c>
      <c r="Y32" s="478">
        <v>554.82780470342925</v>
      </c>
      <c r="Z32" s="478">
        <v>548.03604509087336</v>
      </c>
      <c r="AA32" s="478">
        <v>541.32742478432147</v>
      </c>
      <c r="AB32" s="478">
        <v>531.08827601622306</v>
      </c>
      <c r="AC32" s="478">
        <v>524.58711678596967</v>
      </c>
    </row>
    <row r="33" spans="2:29" ht="19.350000000000001" customHeight="1" x14ac:dyDescent="0.3">
      <c r="B33" s="163"/>
      <c r="C33" s="163"/>
      <c r="D33" s="471"/>
      <c r="E33" s="471"/>
      <c r="F33" s="471"/>
      <c r="G33" s="471"/>
      <c r="H33" s="471"/>
      <c r="I33" s="471"/>
      <c r="J33" s="471"/>
      <c r="K33" s="471"/>
      <c r="L33" s="471"/>
      <c r="M33" s="471"/>
      <c r="N33" s="471"/>
      <c r="O33" s="471"/>
      <c r="P33" s="484" t="s">
        <v>440</v>
      </c>
      <c r="Q33" s="471"/>
      <c r="R33" s="471"/>
      <c r="S33" s="471"/>
      <c r="T33" s="480">
        <v>179.80500000000006</v>
      </c>
      <c r="U33" s="481">
        <v>180.17822119973073</v>
      </c>
      <c r="V33" s="481">
        <v>207.20732953495451</v>
      </c>
      <c r="W33" s="481">
        <v>220.40178582203237</v>
      </c>
      <c r="X33" s="481">
        <v>218.12781692146791</v>
      </c>
      <c r="Y33" s="481">
        <v>215.45767010333202</v>
      </c>
      <c r="Z33" s="481">
        <v>212.82020909359517</v>
      </c>
      <c r="AA33" s="481">
        <v>210.21503377865179</v>
      </c>
      <c r="AB33" s="481">
        <v>211.25439898522268</v>
      </c>
      <c r="AC33" s="482">
        <v>208.66839106918189</v>
      </c>
    </row>
    <row r="34" spans="2:29" ht="19.350000000000001" customHeight="1" x14ac:dyDescent="0.3">
      <c r="B34" s="163"/>
      <c r="C34" s="163"/>
      <c r="D34" s="471"/>
      <c r="E34" s="471"/>
      <c r="F34" s="471"/>
      <c r="G34" s="471"/>
      <c r="H34" s="471"/>
      <c r="I34" s="471"/>
      <c r="J34" s="471"/>
      <c r="K34" s="471"/>
      <c r="L34" s="471"/>
      <c r="M34" s="471"/>
      <c r="N34" s="471"/>
      <c r="O34" s="471"/>
      <c r="P34" s="471"/>
      <c r="Q34" s="471"/>
      <c r="R34" s="471"/>
      <c r="S34" s="471"/>
      <c r="T34" s="1201"/>
      <c r="U34" s="1201"/>
      <c r="V34" s="1201"/>
      <c r="W34" s="1201"/>
      <c r="X34" s="1201"/>
      <c r="Y34" s="1201"/>
      <c r="Z34" s="1201"/>
      <c r="AA34" s="1201"/>
      <c r="AB34" s="1201"/>
      <c r="AC34" s="1201"/>
    </row>
    <row r="35" spans="2:29" ht="19.350000000000001" customHeight="1" x14ac:dyDescent="0.3">
      <c r="B35" s="163"/>
      <c r="C35" s="163"/>
      <c r="D35" s="471"/>
      <c r="E35" s="471"/>
      <c r="F35" s="471"/>
      <c r="G35" s="471"/>
      <c r="H35" s="471"/>
      <c r="I35" s="471"/>
      <c r="J35" s="471"/>
      <c r="K35" s="471"/>
      <c r="L35" s="471"/>
      <c r="M35" s="471"/>
      <c r="N35" s="471"/>
      <c r="O35" s="471"/>
      <c r="P35" s="471"/>
      <c r="Q35" s="471"/>
      <c r="R35" s="471"/>
      <c r="S35" s="471"/>
      <c r="T35" s="1201"/>
      <c r="U35" s="1201"/>
      <c r="V35" s="1201"/>
      <c r="W35" s="1201"/>
      <c r="X35" s="1201"/>
      <c r="Y35" s="1201"/>
      <c r="Z35" s="1201"/>
      <c r="AA35" s="1201"/>
      <c r="AB35" s="1201"/>
      <c r="AC35" s="1201"/>
    </row>
    <row r="36" spans="2:29" ht="19.350000000000001" customHeight="1" x14ac:dyDescent="0.3">
      <c r="B36" s="163"/>
      <c r="C36" s="163"/>
      <c r="D36" s="471"/>
      <c r="E36" s="471"/>
      <c r="F36" s="471"/>
      <c r="G36" s="471"/>
      <c r="H36" s="471"/>
      <c r="I36" s="471"/>
      <c r="J36" s="471"/>
      <c r="K36" s="471"/>
      <c r="L36" s="471"/>
      <c r="M36" s="471"/>
      <c r="N36" s="471"/>
      <c r="O36" s="471"/>
      <c r="P36" s="471"/>
      <c r="Q36" s="471"/>
      <c r="R36" s="471"/>
      <c r="S36" s="471"/>
      <c r="T36" s="471"/>
      <c r="U36" s="471"/>
      <c r="V36" s="471"/>
      <c r="W36" s="471"/>
      <c r="X36" s="471"/>
      <c r="Y36" s="471"/>
      <c r="Z36" s="471"/>
      <c r="AA36" s="471"/>
      <c r="AB36" s="471"/>
      <c r="AC36" s="471"/>
    </row>
    <row r="37" spans="2:29" ht="14.85" customHeight="1" x14ac:dyDescent="0.3">
      <c r="H37" s="188"/>
      <c r="I37" s="188"/>
      <c r="J37" s="188"/>
      <c r="K37" s="188"/>
      <c r="L37" s="188"/>
      <c r="M37" s="516"/>
      <c r="N37" s="188"/>
      <c r="O37" s="188"/>
    </row>
    <row r="38" spans="2:29" ht="14.85" customHeight="1" x14ac:dyDescent="0.3">
      <c r="B38" s="517" t="s">
        <v>441</v>
      </c>
      <c r="C38" s="518"/>
      <c r="D38" s="518"/>
      <c r="E38" s="519"/>
      <c r="F38" s="520">
        <v>2021</v>
      </c>
      <c r="G38" s="520">
        <v>2022</v>
      </c>
      <c r="H38" s="520">
        <v>2023</v>
      </c>
      <c r="I38" s="520">
        <v>2024</v>
      </c>
      <c r="J38" s="520">
        <v>2025</v>
      </c>
      <c r="K38" s="520">
        <v>2025</v>
      </c>
      <c r="L38" s="520">
        <v>2027</v>
      </c>
      <c r="M38" s="520">
        <v>2028</v>
      </c>
      <c r="N38" s="520">
        <v>2029</v>
      </c>
      <c r="O38" s="520">
        <v>2030</v>
      </c>
      <c r="P38" s="521">
        <v>2031</v>
      </c>
    </row>
    <row r="39" spans="2:29" ht="15" customHeight="1" x14ac:dyDescent="0.3">
      <c r="B39" s="1696" t="s">
        <v>442</v>
      </c>
      <c r="C39" s="1697"/>
      <c r="D39" s="1697"/>
      <c r="E39" s="1698"/>
      <c r="F39" s="159">
        <v>287</v>
      </c>
      <c r="G39" s="159">
        <v>534</v>
      </c>
      <c r="H39" s="159">
        <v>247</v>
      </c>
      <c r="I39" s="159">
        <v>63</v>
      </c>
      <c r="J39" s="159"/>
      <c r="K39" s="159"/>
      <c r="L39" s="159"/>
      <c r="M39" s="159"/>
      <c r="N39" s="159"/>
      <c r="O39" s="159"/>
      <c r="P39" s="492"/>
    </row>
    <row r="40" spans="2:29" ht="15" customHeight="1" x14ac:dyDescent="0.3">
      <c r="B40" s="1687" t="s">
        <v>443</v>
      </c>
      <c r="C40" s="1688"/>
      <c r="D40" s="1688"/>
      <c r="E40" s="1689"/>
      <c r="F40" s="159">
        <v>0</v>
      </c>
      <c r="G40" s="159">
        <v>0</v>
      </c>
      <c r="H40" s="159">
        <v>756</v>
      </c>
      <c r="I40" s="159">
        <v>1249</v>
      </c>
      <c r="J40" s="159">
        <v>1417</v>
      </c>
      <c r="K40" s="159">
        <v>1522</v>
      </c>
      <c r="L40" s="159">
        <v>1107</v>
      </c>
      <c r="M40" s="159"/>
      <c r="N40" s="159"/>
      <c r="O40" s="159"/>
      <c r="P40" s="492"/>
    </row>
    <row r="41" spans="2:29" x14ac:dyDescent="0.3">
      <c r="B41" s="1687" t="s">
        <v>444</v>
      </c>
      <c r="C41" s="1688"/>
      <c r="D41" s="1688"/>
      <c r="E41" s="1689"/>
      <c r="F41" s="159">
        <v>0</v>
      </c>
      <c r="G41" s="159">
        <v>5</v>
      </c>
      <c r="H41" s="159">
        <v>77</v>
      </c>
      <c r="I41" s="159">
        <v>307</v>
      </c>
      <c r="J41" s="159">
        <v>332</v>
      </c>
      <c r="K41" s="159">
        <v>270</v>
      </c>
      <c r="L41" s="159">
        <v>25</v>
      </c>
      <c r="M41" s="159">
        <v>32</v>
      </c>
      <c r="N41" s="159">
        <v>40</v>
      </c>
      <c r="O41" s="159">
        <v>49</v>
      </c>
      <c r="P41" s="492">
        <v>58</v>
      </c>
    </row>
    <row r="42" spans="2:29" ht="32.85" customHeight="1" x14ac:dyDescent="0.3">
      <c r="B42" s="1693" t="s">
        <v>445</v>
      </c>
      <c r="C42" s="1694"/>
      <c r="D42" s="1694"/>
      <c r="E42" s="1695"/>
      <c r="F42" s="159">
        <v>0</v>
      </c>
      <c r="G42" s="159">
        <v>0</v>
      </c>
      <c r="H42" s="159">
        <v>3768</v>
      </c>
      <c r="I42" s="159">
        <v>3428</v>
      </c>
      <c r="J42" s="159">
        <v>2176</v>
      </c>
      <c r="K42" s="159">
        <v>2304</v>
      </c>
      <c r="L42" s="159">
        <v>2129</v>
      </c>
      <c r="M42" s="159">
        <v>1335</v>
      </c>
      <c r="N42" s="159">
        <v>478</v>
      </c>
      <c r="O42" s="159">
        <v>531</v>
      </c>
      <c r="P42" s="492">
        <v>212</v>
      </c>
    </row>
    <row r="43" spans="2:29" ht="32.85" customHeight="1" x14ac:dyDescent="0.3">
      <c r="B43" s="1693" t="s">
        <v>446</v>
      </c>
      <c r="C43" s="1694"/>
      <c r="D43" s="1694"/>
      <c r="E43" s="1695"/>
      <c r="F43" s="159">
        <v>38</v>
      </c>
      <c r="G43" s="159">
        <v>81</v>
      </c>
      <c r="H43" s="159">
        <v>43</v>
      </c>
      <c r="I43" s="159"/>
      <c r="J43" s="159"/>
      <c r="K43" s="159"/>
      <c r="L43" s="159"/>
      <c r="M43" s="159"/>
      <c r="N43" s="159"/>
      <c r="O43" s="159"/>
      <c r="P43" s="492"/>
    </row>
    <row r="44" spans="2:29" x14ac:dyDescent="0.3">
      <c r="B44" s="1687" t="s">
        <v>447</v>
      </c>
      <c r="C44" s="1688"/>
      <c r="D44" s="1688"/>
      <c r="E44" s="1689"/>
      <c r="F44" s="159"/>
      <c r="G44" s="159"/>
      <c r="H44" s="159"/>
      <c r="I44" s="159">
        <v>-184</v>
      </c>
      <c r="J44" s="159">
        <v>-1830</v>
      </c>
      <c r="K44" s="159">
        <v>-2406</v>
      </c>
      <c r="L44" s="159">
        <v>-2419</v>
      </c>
      <c r="M44" s="159">
        <v>-2467</v>
      </c>
      <c r="N44" s="159">
        <v>-2531</v>
      </c>
      <c r="O44" s="159">
        <v>-2667</v>
      </c>
      <c r="P44" s="492">
        <v>-2809</v>
      </c>
    </row>
    <row r="45" spans="2:29" ht="15.75" customHeight="1" x14ac:dyDescent="0.3">
      <c r="B45" s="1684" t="s">
        <v>448</v>
      </c>
      <c r="C45" s="1685"/>
      <c r="D45" s="1685"/>
      <c r="E45" s="1686"/>
      <c r="F45" s="159">
        <v>6524</v>
      </c>
      <c r="G45" s="159">
        <v>6143</v>
      </c>
      <c r="H45" s="159"/>
      <c r="I45" s="159"/>
      <c r="J45" s="159"/>
      <c r="K45" s="159"/>
      <c r="L45" s="159"/>
      <c r="M45" s="159"/>
      <c r="N45" s="159"/>
      <c r="O45" s="159"/>
      <c r="P45" s="492"/>
    </row>
    <row r="46" spans="2:29" x14ac:dyDescent="0.3">
      <c r="B46" s="1687" t="s">
        <v>449</v>
      </c>
      <c r="C46" s="1688"/>
      <c r="D46" s="1688"/>
      <c r="E46" s="1689"/>
      <c r="F46" s="159">
        <v>50</v>
      </c>
      <c r="G46" s="159">
        <v>175</v>
      </c>
      <c r="H46" s="159">
        <v>25</v>
      </c>
      <c r="I46" s="159"/>
      <c r="J46" s="159"/>
      <c r="K46" s="159"/>
      <c r="L46" s="159"/>
      <c r="M46" s="159"/>
      <c r="N46" s="159"/>
      <c r="O46" s="159"/>
      <c r="P46" s="492"/>
    </row>
    <row r="47" spans="2:29" x14ac:dyDescent="0.3">
      <c r="B47" s="1687" t="s">
        <v>450</v>
      </c>
      <c r="C47" s="1688"/>
      <c r="D47" s="1688"/>
      <c r="E47" s="1689"/>
      <c r="F47" s="159">
        <v>829</v>
      </c>
      <c r="G47" s="159">
        <v>844</v>
      </c>
      <c r="H47" s="159"/>
      <c r="I47" s="159"/>
      <c r="J47" s="159"/>
      <c r="K47" s="159"/>
      <c r="L47" s="159"/>
      <c r="M47" s="159"/>
      <c r="N47" s="159"/>
      <c r="O47" s="159"/>
      <c r="P47" s="492"/>
    </row>
    <row r="48" spans="2:29" x14ac:dyDescent="0.3">
      <c r="B48" s="1690" t="s">
        <v>451</v>
      </c>
      <c r="C48" s="1691"/>
      <c r="D48" s="1691"/>
      <c r="E48" s="1692"/>
      <c r="F48" s="159">
        <f t="shared" ref="F48:P48" si="14">SUM(F39:F47)</f>
        <v>7728</v>
      </c>
      <c r="G48" s="159">
        <f t="shared" si="14"/>
        <v>7782</v>
      </c>
      <c r="H48" s="159">
        <f t="shared" si="14"/>
        <v>4916</v>
      </c>
      <c r="I48" s="159">
        <f t="shared" si="14"/>
        <v>4863</v>
      </c>
      <c r="J48" s="159">
        <f t="shared" si="14"/>
        <v>2095</v>
      </c>
      <c r="K48" s="159">
        <f t="shared" si="14"/>
        <v>1690</v>
      </c>
      <c r="L48" s="159">
        <f t="shared" si="14"/>
        <v>842</v>
      </c>
      <c r="M48" s="159">
        <f t="shared" si="14"/>
        <v>-1100</v>
      </c>
      <c r="N48" s="159">
        <f t="shared" si="14"/>
        <v>-2013</v>
      </c>
      <c r="O48" s="159">
        <f t="shared" si="14"/>
        <v>-2087</v>
      </c>
      <c r="P48" s="492">
        <f t="shared" si="14"/>
        <v>-2539</v>
      </c>
    </row>
    <row r="49" spans="2:17" x14ac:dyDescent="0.3">
      <c r="B49" s="1684" t="s">
        <v>452</v>
      </c>
      <c r="C49" s="1685"/>
      <c r="D49" s="1685"/>
      <c r="E49" s="1686"/>
      <c r="F49" s="159">
        <f t="shared" ref="F49:P49" si="15">F45+F43+F42</f>
        <v>6562</v>
      </c>
      <c r="G49" s="159">
        <f t="shared" si="15"/>
        <v>6224</v>
      </c>
      <c r="H49" s="159">
        <f t="shared" si="15"/>
        <v>3811</v>
      </c>
      <c r="I49" s="159">
        <f t="shared" si="15"/>
        <v>3428</v>
      </c>
      <c r="J49" s="159">
        <f t="shared" si="15"/>
        <v>2176</v>
      </c>
      <c r="K49" s="159">
        <f t="shared" si="15"/>
        <v>2304</v>
      </c>
      <c r="L49" s="159">
        <f t="shared" si="15"/>
        <v>2129</v>
      </c>
      <c r="M49" s="159">
        <f t="shared" si="15"/>
        <v>1335</v>
      </c>
      <c r="N49" s="159">
        <f t="shared" si="15"/>
        <v>478</v>
      </c>
      <c r="O49" s="159">
        <f t="shared" si="15"/>
        <v>531</v>
      </c>
      <c r="P49" s="492">
        <f t="shared" si="15"/>
        <v>212</v>
      </c>
      <c r="Q49" s="163" t="s">
        <v>453</v>
      </c>
    </row>
    <row r="50" spans="2:17" x14ac:dyDescent="0.3">
      <c r="B50" s="1687" t="s">
        <v>454</v>
      </c>
      <c r="C50" s="1688"/>
      <c r="D50" s="1688"/>
      <c r="E50" s="1689"/>
      <c r="F50" s="159">
        <f>(F49/1000)/M26</f>
        <v>9.315729699034641E-3</v>
      </c>
      <c r="G50" s="159">
        <f>(G49/F49)*F50</f>
        <v>8.8358886996024993E-3</v>
      </c>
      <c r="H50" s="159">
        <f>(H49/G49)*G50+H51</f>
        <v>5.4102782509937537E-3</v>
      </c>
      <c r="I50" s="159">
        <f>(I49/H49)*H50+I51</f>
        <v>4.8665530948324813E-3</v>
      </c>
      <c r="J50" s="159">
        <f>J51</f>
        <v>0</v>
      </c>
      <c r="K50" s="159">
        <f t="shared" ref="K50:L50" si="16">K51</f>
        <v>0</v>
      </c>
      <c r="L50" s="159">
        <f t="shared" si="16"/>
        <v>0</v>
      </c>
      <c r="M50" s="159"/>
      <c r="N50" s="159"/>
      <c r="O50" s="159"/>
      <c r="P50" s="492"/>
      <c r="Q50" s="163" t="s">
        <v>455</v>
      </c>
    </row>
    <row r="51" spans="2:17" ht="29.25" customHeight="1" x14ac:dyDescent="0.3">
      <c r="B51" s="468" t="s">
        <v>901</v>
      </c>
      <c r="C51" s="469"/>
      <c r="D51" s="469"/>
      <c r="E51" s="470"/>
      <c r="F51" s="159"/>
      <c r="G51" s="159"/>
      <c r="H51" s="159"/>
      <c r="I51" s="159"/>
      <c r="J51" s="159"/>
      <c r="K51" s="159"/>
      <c r="L51" s="159"/>
      <c r="M51" s="159"/>
      <c r="N51" s="159"/>
      <c r="O51" s="159"/>
      <c r="P51" s="492"/>
      <c r="Q51" s="163"/>
    </row>
    <row r="52" spans="2:17" x14ac:dyDescent="0.3">
      <c r="B52" s="1681"/>
      <c r="C52" s="1682"/>
      <c r="D52" s="1682"/>
      <c r="E52" s="1683"/>
      <c r="F52" s="487"/>
      <c r="G52" s="487"/>
      <c r="H52" s="487"/>
      <c r="I52" s="487"/>
      <c r="J52" s="487"/>
      <c r="K52" s="487"/>
      <c r="L52" s="487"/>
      <c r="M52" s="487"/>
      <c r="N52" s="487"/>
      <c r="O52" s="487"/>
      <c r="P52" s="493"/>
    </row>
  </sheetData>
  <mergeCells count="32">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548" t="s">
        <v>37</v>
      </c>
      <c r="B2" s="1549"/>
      <c r="C2" s="1549"/>
      <c r="D2" s="1550"/>
      <c r="E2" s="16"/>
      <c r="F2" s="16"/>
    </row>
    <row r="3" spans="1:7" ht="148.35" customHeight="1" x14ac:dyDescent="0.3">
      <c r="A3" s="19" t="s">
        <v>859</v>
      </c>
      <c r="B3" s="14" t="s">
        <v>1809</v>
      </c>
      <c r="C3" s="14" t="s">
        <v>857</v>
      </c>
      <c r="D3" s="23" t="s">
        <v>931</v>
      </c>
    </row>
    <row r="4" spans="1:7" ht="85.5" customHeight="1" x14ac:dyDescent="0.3">
      <c r="A4" s="19" t="s">
        <v>2221</v>
      </c>
      <c r="B4" s="14" t="s">
        <v>2222</v>
      </c>
      <c r="C4" s="14" t="s">
        <v>930</v>
      </c>
      <c r="D4" s="23" t="s">
        <v>931</v>
      </c>
      <c r="E4" s="14"/>
      <c r="F4" s="14"/>
    </row>
    <row r="5" spans="1:7" ht="158.85" customHeight="1" x14ac:dyDescent="0.3">
      <c r="A5" s="19" t="s">
        <v>847</v>
      </c>
      <c r="B5" s="14" t="s">
        <v>848</v>
      </c>
      <c r="C5" s="14" t="s">
        <v>870</v>
      </c>
      <c r="D5" s="23" t="s">
        <v>1899</v>
      </c>
      <c r="E5" s="14"/>
      <c r="F5" s="14"/>
    </row>
    <row r="6" spans="1:7" ht="99.6" customHeight="1" x14ac:dyDescent="0.3">
      <c r="A6" s="19" t="s">
        <v>849</v>
      </c>
      <c r="B6" s="14" t="s">
        <v>38</v>
      </c>
      <c r="C6" s="14" t="s">
        <v>39</v>
      </c>
      <c r="D6" s="23" t="s">
        <v>931</v>
      </c>
      <c r="E6" s="14"/>
      <c r="F6" s="14"/>
    </row>
    <row r="7" spans="1:7" ht="61.5" customHeight="1" x14ac:dyDescent="0.3">
      <c r="A7" s="19" t="s">
        <v>2224</v>
      </c>
      <c r="B7" s="14" t="s">
        <v>2225</v>
      </c>
      <c r="C7" s="14" t="s">
        <v>2239</v>
      </c>
      <c r="D7" s="23" t="s">
        <v>931</v>
      </c>
      <c r="E7" s="14"/>
      <c r="F7" s="14"/>
    </row>
    <row r="8" spans="1:7" ht="100.35" customHeight="1" x14ac:dyDescent="0.3">
      <c r="A8" s="19" t="s">
        <v>42</v>
      </c>
      <c r="B8" s="14" t="s">
        <v>43</v>
      </c>
      <c r="C8" s="28" t="s">
        <v>44</v>
      </c>
      <c r="D8" s="23" t="s">
        <v>931</v>
      </c>
      <c r="E8" s="17"/>
      <c r="F8" s="14"/>
      <c r="G8" s="29"/>
    </row>
    <row r="9" spans="1:7" ht="78" customHeight="1" x14ac:dyDescent="0.3">
      <c r="A9" s="19" t="s">
        <v>45</v>
      </c>
      <c r="B9" s="14" t="s">
        <v>46</v>
      </c>
      <c r="C9" s="14" t="s">
        <v>876</v>
      </c>
      <c r="D9" s="23" t="s">
        <v>931</v>
      </c>
      <c r="E9" s="14"/>
      <c r="F9" s="14"/>
    </row>
    <row r="10" spans="1:7" ht="67.5" customHeight="1" x14ac:dyDescent="0.3">
      <c r="A10" s="19" t="s">
        <v>823</v>
      </c>
      <c r="B10" s="14" t="s">
        <v>833</v>
      </c>
      <c r="C10" s="14" t="s">
        <v>890</v>
      </c>
      <c r="D10" s="23" t="s">
        <v>931</v>
      </c>
      <c r="E10" s="14"/>
      <c r="F10" s="14"/>
    </row>
    <row r="11" spans="1:7" ht="63.6" customHeight="1" x14ac:dyDescent="0.3">
      <c r="A11" s="19" t="s">
        <v>47</v>
      </c>
      <c r="B11" s="14" t="s">
        <v>48</v>
      </c>
      <c r="C11" s="14" t="s">
        <v>850</v>
      </c>
      <c r="D11" s="15"/>
      <c r="E11" s="14"/>
      <c r="F11" s="14"/>
    </row>
    <row r="12" spans="1:7" ht="15" customHeight="1" x14ac:dyDescent="0.3">
      <c r="A12" s="1548" t="s">
        <v>851</v>
      </c>
      <c r="B12" s="1549"/>
      <c r="C12" s="1549"/>
      <c r="D12" s="1550"/>
      <c r="E12" s="16"/>
      <c r="F12" s="14"/>
    </row>
    <row r="13" spans="1:7" ht="29.85" customHeight="1" x14ac:dyDescent="0.3">
      <c r="A13" s="20" t="s">
        <v>9</v>
      </c>
      <c r="B13" s="1554" t="s">
        <v>853</v>
      </c>
      <c r="C13" s="1554"/>
      <c r="D13" s="24"/>
      <c r="E13" s="16"/>
      <c r="F13" s="14"/>
    </row>
    <row r="14" spans="1:7" ht="48.6" customHeight="1" x14ac:dyDescent="0.3">
      <c r="A14" s="18" t="s">
        <v>852</v>
      </c>
      <c r="B14" s="1554" t="s">
        <v>863</v>
      </c>
      <c r="C14" s="1554"/>
      <c r="D14" s="23"/>
      <c r="E14" s="16"/>
      <c r="F14" s="14"/>
    </row>
    <row r="15" spans="1:7" ht="48.6" customHeight="1" x14ac:dyDescent="0.3">
      <c r="A15" s="18" t="s">
        <v>854</v>
      </c>
      <c r="B15" s="1554" t="s">
        <v>855</v>
      </c>
      <c r="C15" s="1554"/>
      <c r="D15" s="15"/>
      <c r="E15" s="16"/>
      <c r="F15" s="14"/>
    </row>
    <row r="16" spans="1:7" x14ac:dyDescent="0.3">
      <c r="A16" s="1551" t="s">
        <v>59</v>
      </c>
      <c r="B16" s="1552"/>
      <c r="C16" s="1552"/>
      <c r="D16" s="1553"/>
      <c r="E16" s="14"/>
      <c r="F16" s="14"/>
    </row>
    <row r="17" spans="1:6" ht="36.6" customHeight="1" x14ac:dyDescent="0.3">
      <c r="A17" s="1546" t="s">
        <v>856</v>
      </c>
      <c r="B17" s="1547"/>
      <c r="C17" s="1547"/>
      <c r="D17" s="24"/>
      <c r="E17" s="14"/>
      <c r="F17" s="14"/>
    </row>
    <row r="18" spans="1:6" ht="145.5" customHeight="1" x14ac:dyDescent="0.3">
      <c r="A18" s="19" t="s">
        <v>60</v>
      </c>
      <c r="B18" s="14" t="s">
        <v>877</v>
      </c>
      <c r="C18" s="14" t="s">
        <v>884</v>
      </c>
      <c r="D18" s="23"/>
      <c r="E18" s="14"/>
      <c r="F18" s="14"/>
    </row>
    <row r="19" spans="1:6" ht="63.6" customHeight="1" x14ac:dyDescent="0.3">
      <c r="A19" s="19" t="s">
        <v>61</v>
      </c>
      <c r="B19" s="14" t="s">
        <v>878</v>
      </c>
      <c r="C19" s="14" t="s">
        <v>879</v>
      </c>
      <c r="D19" s="23"/>
      <c r="E19" s="14"/>
      <c r="F19" s="14"/>
    </row>
    <row r="20" spans="1:6" ht="63.6" customHeight="1" x14ac:dyDescent="0.3">
      <c r="A20" s="19" t="s">
        <v>880</v>
      </c>
      <c r="B20" s="14" t="s">
        <v>881</v>
      </c>
      <c r="C20" s="14" t="s">
        <v>882</v>
      </c>
      <c r="D20" s="23"/>
      <c r="E20" s="14"/>
      <c r="F20" s="14"/>
    </row>
    <row r="21" spans="1:6" ht="34.35" customHeight="1" x14ac:dyDescent="0.3">
      <c r="A21" s="1546" t="s">
        <v>830</v>
      </c>
      <c r="B21" s="1547"/>
      <c r="C21" s="1547"/>
      <c r="D21" s="15"/>
      <c r="E21" s="14"/>
      <c r="F21" s="14"/>
    </row>
    <row r="22" spans="1:6" x14ac:dyDescent="0.3">
      <c r="A22" s="1551" t="s">
        <v>62</v>
      </c>
      <c r="B22" s="1552"/>
      <c r="C22" s="1552"/>
      <c r="D22" s="1553"/>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869</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C1" zoomScale="90" zoomScaleNormal="90" workbookViewId="0">
      <selection activeCell="S16" sqref="S16"/>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610" t="s">
        <v>55</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29" ht="14.25" customHeight="1" x14ac:dyDescent="0.3">
      <c r="B2" s="1680" t="s">
        <v>867</v>
      </c>
      <c r="C2" s="1680"/>
      <c r="D2" s="1680"/>
      <c r="E2" s="1680"/>
      <c r="F2" s="1680"/>
      <c r="G2" s="1680"/>
      <c r="H2" s="1680"/>
      <c r="I2" s="1680"/>
      <c r="J2" s="1680"/>
      <c r="K2" s="1680"/>
      <c r="L2" s="1680"/>
      <c r="M2" s="1680"/>
      <c r="N2" s="1680"/>
      <c r="O2" s="1680"/>
      <c r="P2" s="1680"/>
      <c r="Q2" s="1680"/>
      <c r="R2" s="1680"/>
      <c r="S2" s="532"/>
      <c r="T2" s="1699" t="s">
        <v>920</v>
      </c>
      <c r="U2" s="1699"/>
      <c r="V2" s="1699"/>
      <c r="W2" s="1699"/>
      <c r="X2" s="1699"/>
      <c r="Y2" s="1699"/>
      <c r="Z2" s="1699"/>
      <c r="AA2" s="1699"/>
      <c r="AB2" s="1699"/>
      <c r="AC2" s="1699"/>
    </row>
    <row r="3" spans="2:29" x14ac:dyDescent="0.3">
      <c r="B3" s="1680"/>
      <c r="C3" s="1680"/>
      <c r="D3" s="1680"/>
      <c r="E3" s="1680"/>
      <c r="F3" s="1680"/>
      <c r="G3" s="1680"/>
      <c r="H3" s="1680"/>
      <c r="I3" s="1680"/>
      <c r="J3" s="1680"/>
      <c r="K3" s="1680"/>
      <c r="L3" s="1680"/>
      <c r="M3" s="1680"/>
      <c r="N3" s="1680"/>
      <c r="O3" s="1680"/>
      <c r="P3" s="1680"/>
      <c r="Q3" s="1680"/>
      <c r="R3" s="1680"/>
      <c r="S3" s="532"/>
      <c r="T3" s="1699"/>
      <c r="U3" s="1699"/>
      <c r="V3" s="1699"/>
      <c r="W3" s="1699"/>
      <c r="X3" s="1699"/>
      <c r="Y3" s="1699"/>
      <c r="Z3" s="1699"/>
      <c r="AA3" s="1699"/>
      <c r="AB3" s="1699"/>
      <c r="AC3" s="1699"/>
    </row>
    <row r="4" spans="2:29" ht="21" customHeight="1" x14ac:dyDescent="0.3">
      <c r="B4" s="1680"/>
      <c r="C4" s="1680"/>
      <c r="D4" s="1680"/>
      <c r="E4" s="1680"/>
      <c r="F4" s="1680"/>
      <c r="G4" s="1680"/>
      <c r="H4" s="1680"/>
      <c r="I4" s="1680"/>
      <c r="J4" s="1680"/>
      <c r="K4" s="1680"/>
      <c r="L4" s="1680"/>
      <c r="M4" s="1680"/>
      <c r="N4" s="1680"/>
      <c r="O4" s="1680"/>
      <c r="P4" s="1680"/>
      <c r="Q4" s="1680"/>
      <c r="R4" s="1680"/>
      <c r="S4" s="532"/>
      <c r="T4" s="1699"/>
      <c r="U4" s="1699"/>
      <c r="V4" s="1699"/>
      <c r="W4" s="1699"/>
      <c r="X4" s="1699"/>
      <c r="Y4" s="1699"/>
      <c r="Z4" s="1699"/>
      <c r="AA4" s="1699"/>
      <c r="AB4" s="1699"/>
      <c r="AC4" s="1699"/>
    </row>
    <row r="6" spans="2:29" x14ac:dyDescent="0.3">
      <c r="B6" s="431" t="s">
        <v>333</v>
      </c>
    </row>
    <row r="7" spans="2:29" ht="14.85" customHeight="1" x14ac:dyDescent="0.3">
      <c r="B7" s="1615" t="s">
        <v>406</v>
      </c>
      <c r="C7" s="1616"/>
      <c r="D7" s="1631" t="s">
        <v>280</v>
      </c>
      <c r="E7" s="1632"/>
      <c r="F7" s="1632"/>
      <c r="G7" s="1632"/>
      <c r="H7" s="1632"/>
      <c r="I7" s="1632"/>
      <c r="J7" s="1632"/>
      <c r="K7" s="1632"/>
      <c r="L7" s="1632"/>
      <c r="M7" s="1632"/>
      <c r="N7" s="1632"/>
      <c r="O7" s="1632"/>
      <c r="P7" s="1632"/>
      <c r="Q7" s="1659"/>
      <c r="R7" s="1659"/>
      <c r="S7" s="1659"/>
      <c r="T7" s="1660"/>
      <c r="U7" s="1246"/>
      <c r="V7" s="1627" t="s">
        <v>281</v>
      </c>
      <c r="W7" s="1605"/>
      <c r="X7" s="1605"/>
      <c r="Y7" s="1605"/>
      <c r="Z7" s="1605"/>
      <c r="AA7" s="1605"/>
      <c r="AB7" s="1605"/>
      <c r="AC7" s="1606"/>
    </row>
    <row r="8" spans="2:29" x14ac:dyDescent="0.3">
      <c r="B8" s="1617"/>
      <c r="C8" s="1618"/>
      <c r="D8" s="127">
        <v>2018</v>
      </c>
      <c r="E8" s="1600">
        <v>2019</v>
      </c>
      <c r="F8" s="1622"/>
      <c r="G8" s="1622"/>
      <c r="H8" s="1637"/>
      <c r="I8" s="1600">
        <v>2020</v>
      </c>
      <c r="J8" s="1622"/>
      <c r="K8" s="1622"/>
      <c r="L8" s="1622"/>
      <c r="M8" s="1600">
        <v>2021</v>
      </c>
      <c r="N8" s="1622"/>
      <c r="O8" s="1622"/>
      <c r="P8" s="1601"/>
      <c r="Q8" s="1600">
        <v>2022</v>
      </c>
      <c r="R8" s="1601"/>
      <c r="S8" s="1601"/>
      <c r="T8" s="1637"/>
      <c r="U8" s="1242"/>
      <c r="V8" s="1243">
        <v>2023</v>
      </c>
      <c r="W8" s="1243"/>
      <c r="X8" s="1244"/>
      <c r="Y8" s="1609">
        <v>2024</v>
      </c>
      <c r="Z8" s="1607"/>
      <c r="AA8" s="1607"/>
      <c r="AB8" s="1608"/>
      <c r="AC8" s="178">
        <v>2025</v>
      </c>
    </row>
    <row r="9" spans="2:29" x14ac:dyDescent="0.3">
      <c r="B9" s="1619"/>
      <c r="C9" s="1620"/>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40" t="s">
        <v>283</v>
      </c>
      <c r="V9" s="190" t="s">
        <v>284</v>
      </c>
      <c r="W9" s="190" t="s">
        <v>238</v>
      </c>
      <c r="X9" s="191" t="s">
        <v>282</v>
      </c>
      <c r="Y9" s="189" t="s">
        <v>283</v>
      </c>
      <c r="Z9" s="186" t="s">
        <v>284</v>
      </c>
      <c r="AA9" s="190" t="s">
        <v>238</v>
      </c>
      <c r="AB9" s="190" t="s">
        <v>282</v>
      </c>
      <c r="AC9" s="192" t="s">
        <v>283</v>
      </c>
    </row>
    <row r="10" spans="2:29" ht="14.85" customHeight="1" x14ac:dyDescent="0.3">
      <c r="B10" s="1331" t="s">
        <v>456</v>
      </c>
      <c r="C10" s="35" t="s">
        <v>916</v>
      </c>
      <c r="D10" s="503">
        <f>'Haver Pivoted'!GO12</f>
        <v>755.3</v>
      </c>
      <c r="E10" s="504">
        <f>'Haver Pivoted'!GP12</f>
        <v>772.6</v>
      </c>
      <c r="F10" s="504">
        <f>'Haver Pivoted'!GQ12</f>
        <v>785.8</v>
      </c>
      <c r="G10" s="504">
        <f>'Haver Pivoted'!GR12</f>
        <v>793.7</v>
      </c>
      <c r="H10" s="504">
        <f>'Haver Pivoted'!GS12</f>
        <v>796.3</v>
      </c>
      <c r="I10" s="504">
        <f>'Haver Pivoted'!GT12</f>
        <v>795.3</v>
      </c>
      <c r="J10" s="504">
        <f>'Haver Pivoted'!GU12</f>
        <v>808</v>
      </c>
      <c r="K10" s="504">
        <f>'Haver Pivoted'!GV12</f>
        <v>822.1</v>
      </c>
      <c r="L10" s="504">
        <f>'Haver Pivoted'!GW12</f>
        <v>837.5</v>
      </c>
      <c r="M10" s="504">
        <f>'Haver Pivoted'!GX12</f>
        <v>857.6</v>
      </c>
      <c r="N10" s="504">
        <f>'Haver Pivoted'!GY12</f>
        <v>875.4</v>
      </c>
      <c r="O10" s="504">
        <f>'Haver Pivoted'!GZ12</f>
        <v>889.5</v>
      </c>
      <c r="P10" s="504">
        <f>'Haver Pivoted'!HA12</f>
        <v>900</v>
      </c>
      <c r="Q10" s="504">
        <f>'Haver Pivoted'!HB12</f>
        <v>908</v>
      </c>
      <c r="R10" s="504">
        <f>'Haver Pivoted'!HC12</f>
        <v>911.8</v>
      </c>
      <c r="S10" s="505">
        <f>'Haver Pivoted'!HD12</f>
        <v>920.3</v>
      </c>
      <c r="T10" s="1327">
        <f>'Haver Pivoted'!HE12</f>
        <v>941.6</v>
      </c>
      <c r="U10" s="1332">
        <f>'Haver Pivoted'!HF12</f>
        <v>966.5</v>
      </c>
      <c r="V10" s="524">
        <f t="shared" ref="V10:AC10" si="0">U10*(1+V12)</f>
        <v>993.07136024365218</v>
      </c>
      <c r="W10" s="524">
        <f t="shared" si="0"/>
        <v>1020.3732297322065</v>
      </c>
      <c r="X10" s="524">
        <f t="shared" si="0"/>
        <v>1044.97819254406</v>
      </c>
      <c r="Y10" s="524">
        <f t="shared" si="0"/>
        <v>1070.1764717790929</v>
      </c>
      <c r="Z10" s="524">
        <f t="shared" si="0"/>
        <v>1095.9823744850623</v>
      </c>
      <c r="AA10" s="524">
        <f t="shared" si="0"/>
        <v>1122.4105527054271</v>
      </c>
      <c r="AB10" s="524">
        <f t="shared" si="0"/>
        <v>1149.4760117984661</v>
      </c>
      <c r="AC10" s="514">
        <f t="shared" si="0"/>
        <v>1177.1941189570023</v>
      </c>
    </row>
    <row r="11" spans="2:29" ht="28.5" customHeight="1" x14ac:dyDescent="0.3">
      <c r="B11" s="563" t="s">
        <v>918</v>
      </c>
      <c r="C11" s="553" t="s">
        <v>526</v>
      </c>
      <c r="D11" s="564"/>
      <c r="E11" s="547"/>
      <c r="F11" s="547"/>
      <c r="G11" s="547"/>
      <c r="H11" s="547"/>
      <c r="I11" s="547"/>
      <c r="J11" s="548">
        <f>'Haver Pivoted'!GU46</f>
        <v>9.6</v>
      </c>
      <c r="K11" s="548">
        <f>'Haver Pivoted'!GV46</f>
        <v>14.4</v>
      </c>
      <c r="L11" s="548">
        <f>'Haver Pivoted'!GW46</f>
        <v>14.3</v>
      </c>
      <c r="M11" s="548">
        <f>'Haver Pivoted'!GX46</f>
        <v>15</v>
      </c>
      <c r="N11" s="548">
        <f>'Haver Pivoted'!GY46</f>
        <v>15.3</v>
      </c>
      <c r="O11" s="548">
        <f>'Haver Pivoted'!GZ46</f>
        <v>15.6</v>
      </c>
      <c r="P11" s="548">
        <f>'Haver Pivoted'!HA46</f>
        <v>15.7</v>
      </c>
      <c r="Q11" s="548">
        <f>'Haver Pivoted'!HB46</f>
        <v>15.8</v>
      </c>
      <c r="R11" s="548">
        <f>'Haver Pivoted'!HC46</f>
        <v>7.9</v>
      </c>
      <c r="S11" s="549">
        <f>'Haver Pivoted'!HD46</f>
        <v>0</v>
      </c>
      <c r="T11" s="1333">
        <f>'Haver Pivoted'!HE46</f>
        <v>0</v>
      </c>
      <c r="U11" s="551">
        <f>'Haver Pivoted'!HF46</f>
        <v>0</v>
      </c>
      <c r="V11" s="552">
        <f t="shared" ref="V11:Z11" si="1">U11</f>
        <v>0</v>
      </c>
      <c r="W11" s="552">
        <f t="shared" si="1"/>
        <v>0</v>
      </c>
      <c r="X11" s="552">
        <f t="shared" si="1"/>
        <v>0</v>
      </c>
      <c r="Y11" s="552">
        <f t="shared" si="1"/>
        <v>0</v>
      </c>
      <c r="Z11" s="552">
        <f t="shared" si="1"/>
        <v>0</v>
      </c>
      <c r="AA11" s="552"/>
      <c r="AB11" s="552"/>
      <c r="AC11" s="565"/>
    </row>
    <row r="12" spans="2:29" x14ac:dyDescent="0.3">
      <c r="B12" s="556" t="s">
        <v>457</v>
      </c>
      <c r="C12" s="555"/>
      <c r="D12" s="529"/>
      <c r="E12" s="488"/>
      <c r="F12" s="488"/>
      <c r="G12" s="488"/>
      <c r="H12" s="488"/>
      <c r="I12" s="488"/>
      <c r="J12" s="511"/>
      <c r="K12" s="511"/>
      <c r="L12" s="511"/>
      <c r="M12" s="511"/>
      <c r="N12" s="511">
        <f>(1 + $E$23)^0.25-1</f>
        <v>0</v>
      </c>
      <c r="O12" s="511">
        <f>(1 + $E$23)^0.25-1</f>
        <v>0</v>
      </c>
      <c r="P12" s="511">
        <f>(1 + $F$23)^0.25-1</f>
        <v>1.9950659227973899E-2</v>
      </c>
      <c r="Q12" s="511">
        <f>(1 +$F$23)^0.25-1</f>
        <v>1.9950659227973899E-2</v>
      </c>
      <c r="R12" s="511">
        <f>(1 +$F$23)^0.25-1</f>
        <v>1.9950659227973899E-2</v>
      </c>
      <c r="S12" s="550">
        <f>(1 +$F$23)^0.25-1</f>
        <v>1.9950659227973899E-2</v>
      </c>
      <c r="T12" s="550">
        <f>(1 +$G$23)^0.25-1</f>
        <v>2.7492354106210204E-2</v>
      </c>
      <c r="U12" s="535">
        <f>(1 +$G$23)^0.25-1</f>
        <v>2.7492354106210204E-2</v>
      </c>
      <c r="V12" s="534">
        <f>(1 +$G$23)^0.25-1</f>
        <v>2.7492354106210204E-2</v>
      </c>
      <c r="W12" s="534">
        <f>(1 +$G$23)^0.25-1</f>
        <v>2.7492354106210204E-2</v>
      </c>
      <c r="X12" s="534">
        <f t="shared" ref="X12:AC12" si="2">(1 +$H$23)^0.25-1</f>
        <v>2.4113689084445111E-2</v>
      </c>
      <c r="Y12" s="534">
        <f t="shared" si="2"/>
        <v>2.4113689084445111E-2</v>
      </c>
      <c r="Z12" s="534">
        <f t="shared" si="2"/>
        <v>2.4113689084445111E-2</v>
      </c>
      <c r="AA12" s="534">
        <f t="shared" si="2"/>
        <v>2.4113689084445111E-2</v>
      </c>
      <c r="AB12" s="534">
        <f t="shared" si="2"/>
        <v>2.4113689084445111E-2</v>
      </c>
      <c r="AC12" s="535">
        <f t="shared" si="2"/>
        <v>2.4113689084445111E-2</v>
      </c>
    </row>
    <row r="13" spans="2:29" ht="15.75" customHeight="1" x14ac:dyDescent="0.3">
      <c r="B13" s="554"/>
      <c r="C13" s="516"/>
      <c r="D13" s="471"/>
      <c r="E13" s="471"/>
      <c r="F13" s="471"/>
      <c r="G13" s="471"/>
      <c r="H13" s="471"/>
      <c r="I13" s="471"/>
      <c r="J13" s="485"/>
      <c r="K13" s="485"/>
      <c r="L13" s="485"/>
      <c r="M13" s="485"/>
    </row>
    <row r="14" spans="2:29" x14ac:dyDescent="0.3">
      <c r="B14" s="554"/>
      <c r="C14" s="516"/>
      <c r="D14" s="471"/>
      <c r="E14" s="471"/>
      <c r="F14" s="471"/>
      <c r="G14" s="471"/>
      <c r="H14" s="471"/>
      <c r="I14" s="471"/>
      <c r="J14" s="485"/>
      <c r="K14" s="485"/>
      <c r="L14" s="485"/>
      <c r="M14" s="485"/>
    </row>
    <row r="15" spans="2:29" x14ac:dyDescent="0.3">
      <c r="B15" s="554"/>
      <c r="C15" s="516"/>
      <c r="D15" s="471"/>
      <c r="E15" s="471"/>
      <c r="F15" s="471"/>
      <c r="G15" s="471"/>
      <c r="H15" s="471"/>
      <c r="I15" s="471"/>
      <c r="J15" s="485"/>
      <c r="K15" s="485"/>
      <c r="L15" s="485"/>
      <c r="M15" s="485"/>
    </row>
    <row r="16" spans="2:29" ht="14.85" customHeight="1" x14ac:dyDescent="0.3">
      <c r="B16" s="431" t="s">
        <v>352</v>
      </c>
    </row>
    <row r="17" spans="2:32" x14ac:dyDescent="0.3">
      <c r="B17" s="560" t="s">
        <v>434</v>
      </c>
      <c r="C17" s="560">
        <v>2019</v>
      </c>
      <c r="D17" s="561">
        <v>2020</v>
      </c>
      <c r="E17" s="561">
        <v>2021</v>
      </c>
      <c r="F17" s="561">
        <v>2022</v>
      </c>
      <c r="G17" s="561">
        <v>2023</v>
      </c>
      <c r="H17" s="562">
        <v>2024</v>
      </c>
      <c r="I17" s="562">
        <v>2025</v>
      </c>
      <c r="J17" s="562">
        <v>2026</v>
      </c>
    </row>
    <row r="18" spans="2:32" ht="21" customHeight="1" x14ac:dyDescent="0.3">
      <c r="B18" s="543" t="s">
        <v>1814</v>
      </c>
      <c r="C18" s="539"/>
      <c r="D18" s="540"/>
      <c r="E18" s="567">
        <v>867.67600000000004</v>
      </c>
      <c r="F18" s="567">
        <v>937.072</v>
      </c>
      <c r="G18" s="567">
        <v>998.23700000000008</v>
      </c>
      <c r="H18" s="567">
        <v>1080.8440000000001</v>
      </c>
      <c r="I18" s="567">
        <v>1133.1199999999999</v>
      </c>
      <c r="J18" s="541">
        <v>1221.9949999999999</v>
      </c>
      <c r="K18" s="538"/>
      <c r="L18" s="538"/>
      <c r="M18" s="538"/>
      <c r="N18" s="538"/>
      <c r="O18" s="538"/>
      <c r="P18" s="303"/>
      <c r="Q18" s="303"/>
      <c r="R18" s="303"/>
      <c r="S18" s="303"/>
      <c r="T18" s="303"/>
      <c r="U18" s="303"/>
      <c r="V18" s="303"/>
      <c r="W18" s="303"/>
      <c r="X18" s="303"/>
      <c r="Y18" s="303"/>
      <c r="Z18" s="303"/>
      <c r="AA18" s="303"/>
      <c r="AB18" s="303"/>
      <c r="AC18" s="303"/>
    </row>
    <row r="19" spans="2:32" ht="21" customHeight="1" x14ac:dyDescent="0.3">
      <c r="B19" s="544"/>
      <c r="C19" s="537"/>
      <c r="D19" s="538"/>
      <c r="E19" s="185">
        <f>AVERAGE(L10:O10)</f>
        <v>865</v>
      </c>
      <c r="F19" s="185">
        <f>AVERAGE(P10:S10)</f>
        <v>910.02500000000009</v>
      </c>
      <c r="G19" s="185">
        <f>AVERAGE(T10:W10)</f>
        <v>980.3861474939647</v>
      </c>
      <c r="H19" s="185">
        <f>AVERAGE(X10:AA10)</f>
        <v>1083.3868978784108</v>
      </c>
      <c r="I19" s="185">
        <f>AVERAGE(AB10:AE10)</f>
        <v>1163.3350653777343</v>
      </c>
      <c r="J19" s="123"/>
      <c r="K19" s="538"/>
      <c r="L19" s="538"/>
      <c r="M19" s="538"/>
      <c r="N19" s="538"/>
      <c r="O19" s="538"/>
      <c r="P19" s="303"/>
      <c r="Q19" s="303"/>
      <c r="R19" s="303"/>
      <c r="S19" s="303"/>
      <c r="T19" s="303"/>
      <c r="U19" s="303"/>
      <c r="V19" s="303"/>
      <c r="W19" s="303"/>
      <c r="X19" s="303"/>
      <c r="Y19" s="303"/>
      <c r="Z19" s="303"/>
      <c r="AA19" s="303"/>
      <c r="AB19" s="303"/>
      <c r="AC19" s="303"/>
    </row>
    <row r="20" spans="2:32" ht="21" customHeight="1" x14ac:dyDescent="0.3">
      <c r="B20" s="566" t="s">
        <v>458</v>
      </c>
      <c r="C20" s="163"/>
      <c r="D20" s="163">
        <v>47</v>
      </c>
      <c r="E20" s="163">
        <v>48</v>
      </c>
      <c r="F20" s="35">
        <v>-50</v>
      </c>
      <c r="G20" s="35">
        <v>-45</v>
      </c>
      <c r="H20" s="35"/>
      <c r="I20" s="35"/>
      <c r="J20" s="558">
        <f>SUM(D20:G20)</f>
        <v>0</v>
      </c>
      <c r="M20" s="538"/>
      <c r="N20" s="538"/>
      <c r="O20" s="538"/>
      <c r="P20" s="303"/>
      <c r="Q20" s="303"/>
      <c r="R20" s="303"/>
      <c r="S20" s="303"/>
      <c r="T20" s="303"/>
      <c r="U20" s="303"/>
      <c r="V20" s="303"/>
      <c r="W20" s="303"/>
      <c r="X20" s="303"/>
      <c r="Y20" s="303"/>
      <c r="Z20" s="303"/>
      <c r="AA20" s="303"/>
      <c r="AB20" s="303"/>
      <c r="AC20" s="303"/>
    </row>
    <row r="21" spans="2:32" x14ac:dyDescent="0.3">
      <c r="B21" s="566" t="s">
        <v>1387</v>
      </c>
      <c r="C21" s="537"/>
      <c r="D21" s="537"/>
      <c r="E21" s="537">
        <f>E18-E20</f>
        <v>819.67600000000004</v>
      </c>
      <c r="F21" s="537">
        <f>F18+F20</f>
        <v>887.072</v>
      </c>
      <c r="G21" s="537">
        <f>G18+G20</f>
        <v>953.23700000000008</v>
      </c>
      <c r="H21" s="537">
        <f>H18+H20</f>
        <v>1080.8440000000001</v>
      </c>
      <c r="I21" s="537">
        <f>I18+I20</f>
        <v>1133.1199999999999</v>
      </c>
      <c r="J21" s="558"/>
      <c r="N21" s="559"/>
      <c r="O21" s="516"/>
      <c r="P21" s="303"/>
      <c r="Q21" s="303"/>
      <c r="R21" s="303"/>
      <c r="S21" s="303"/>
      <c r="T21" s="303"/>
      <c r="U21" s="303"/>
      <c r="V21" s="303"/>
      <c r="W21" s="303"/>
      <c r="X21" s="303"/>
      <c r="Y21" s="303"/>
      <c r="Z21" s="303"/>
      <c r="AA21" s="303"/>
      <c r="AB21" s="303"/>
      <c r="AC21" s="303"/>
    </row>
    <row r="22" spans="2:32" x14ac:dyDescent="0.3">
      <c r="B22" s="566" t="s">
        <v>460</v>
      </c>
      <c r="C22" s="188">
        <f>AVERAGE(D10:G10)</f>
        <v>776.84999999999991</v>
      </c>
      <c r="D22" s="188">
        <f>AVERAGE(H10:K10)</f>
        <v>805.42499999999995</v>
      </c>
      <c r="E22" s="537">
        <f>AVERAGE(L10:O10)</f>
        <v>865</v>
      </c>
      <c r="F22" s="35"/>
      <c r="G22" s="35"/>
      <c r="H22" s="35"/>
      <c r="I22" s="35"/>
      <c r="J22" s="558"/>
      <c r="K22" s="163" t="s">
        <v>459</v>
      </c>
      <c r="P22" s="303"/>
      <c r="Q22" s="303"/>
      <c r="R22" s="303"/>
      <c r="S22" s="303"/>
      <c r="T22" s="303"/>
      <c r="U22" s="303"/>
      <c r="V22" s="303"/>
      <c r="W22" s="303"/>
      <c r="X22" s="303"/>
      <c r="Y22" s="303"/>
      <c r="Z22" s="303"/>
      <c r="AA22" s="303"/>
      <c r="AB22" s="303"/>
      <c r="AC22" s="303"/>
    </row>
    <row r="23" spans="2:32" x14ac:dyDescent="0.3">
      <c r="B23" s="545" t="s">
        <v>929</v>
      </c>
      <c r="C23" s="163"/>
      <c r="D23" s="163"/>
      <c r="E23" s="163"/>
      <c r="F23" s="163">
        <f>F21/E21-1</f>
        <v>8.2222731908705438E-2</v>
      </c>
      <c r="G23" s="163">
        <f>G21/F21-1+G24</f>
        <v>0.11458808304173737</v>
      </c>
      <c r="H23" s="163">
        <v>0.1</v>
      </c>
      <c r="I23" s="163">
        <f t="shared" ref="I23:J23" si="3">I21/H21-1</f>
        <v>4.8365906643326628E-2</v>
      </c>
      <c r="J23" s="558">
        <f t="shared" si="3"/>
        <v>-1</v>
      </c>
      <c r="P23" s="163"/>
      <c r="Q23" s="163"/>
      <c r="R23" s="163"/>
      <c r="S23" s="163"/>
      <c r="T23" s="163"/>
      <c r="U23" s="163"/>
      <c r="V23" s="163"/>
      <c r="W23" s="163"/>
      <c r="X23" s="163"/>
      <c r="Y23" s="163"/>
      <c r="Z23" s="163"/>
      <c r="AA23" s="163"/>
      <c r="AB23" s="163"/>
      <c r="AC23" s="163"/>
    </row>
    <row r="24" spans="2:32" x14ac:dyDescent="0.3">
      <c r="B24" s="546" t="s">
        <v>899</v>
      </c>
      <c r="C24" s="542"/>
      <c r="D24" s="542"/>
      <c r="E24" s="542"/>
      <c r="F24" s="542"/>
      <c r="G24" s="542">
        <v>0.04</v>
      </c>
      <c r="H24" s="542"/>
      <c r="I24" s="542"/>
      <c r="J24" s="202"/>
      <c r="P24" s="163"/>
      <c r="Q24" s="163"/>
      <c r="R24" s="163"/>
      <c r="S24" s="163"/>
      <c r="T24" s="163"/>
      <c r="U24" s="163"/>
      <c r="V24" s="163"/>
      <c r="W24" s="163"/>
      <c r="X24" s="163"/>
      <c r="Y24" s="163"/>
      <c r="Z24" s="163"/>
      <c r="AA24" s="163"/>
      <c r="AB24" s="163"/>
      <c r="AC24" s="163"/>
    </row>
    <row r="25" spans="2:32" x14ac:dyDescent="0.3">
      <c r="C25" s="557"/>
      <c r="D25" s="557"/>
      <c r="E25" s="557"/>
      <c r="F25" s="557"/>
      <c r="G25" s="557"/>
      <c r="H25" s="557"/>
      <c r="I25" s="557"/>
      <c r="J25" s="557"/>
      <c r="P25" s="163"/>
      <c r="Q25" s="163"/>
      <c r="R25" s="163"/>
      <c r="S25" s="163"/>
      <c r="T25" s="163"/>
      <c r="U25" s="163"/>
      <c r="V25" s="163"/>
      <c r="W25" s="163"/>
      <c r="X25" s="163"/>
      <c r="Y25" s="163"/>
      <c r="Z25" s="163"/>
      <c r="AA25" s="163"/>
      <c r="AB25" s="163"/>
      <c r="AC25" s="163"/>
    </row>
    <row r="26" spans="2:32" x14ac:dyDescent="0.3">
      <c r="K26" s="557"/>
      <c r="L26" s="557"/>
      <c r="M26" s="557"/>
      <c r="N26" s="557"/>
      <c r="P26" s="163"/>
      <c r="Q26" s="163"/>
      <c r="R26" s="163"/>
      <c r="S26" s="163"/>
      <c r="T26" s="163"/>
      <c r="U26" s="163"/>
      <c r="V26" s="163"/>
      <c r="W26" s="163"/>
      <c r="X26" s="163"/>
      <c r="Y26" s="163"/>
      <c r="Z26" s="163"/>
      <c r="AA26" s="163"/>
      <c r="AB26" s="163"/>
      <c r="AC26" s="163"/>
    </row>
    <row r="27" spans="2:32" x14ac:dyDescent="0.3">
      <c r="P27" s="163"/>
      <c r="Q27" s="163"/>
      <c r="R27" s="163"/>
      <c r="S27" s="163"/>
      <c r="T27" s="163"/>
      <c r="U27" s="163"/>
      <c r="V27" s="163"/>
      <c r="W27" s="163"/>
      <c r="X27" s="163"/>
      <c r="Y27" s="163"/>
      <c r="Z27" s="163"/>
      <c r="AA27" s="163"/>
      <c r="AB27" s="163"/>
      <c r="AC27" s="163"/>
    </row>
    <row r="28" spans="2:32" x14ac:dyDescent="0.3">
      <c r="S28" s="163"/>
      <c r="T28" s="163"/>
      <c r="U28" s="163"/>
      <c r="V28" s="163"/>
      <c r="W28" s="163"/>
      <c r="X28" s="163"/>
      <c r="Y28" s="163"/>
      <c r="Z28" s="163"/>
      <c r="AA28" s="163"/>
      <c r="AB28" s="163"/>
      <c r="AC28" s="163"/>
      <c r="AD28" s="163"/>
      <c r="AE28" s="163"/>
      <c r="AF28" s="163"/>
    </row>
    <row r="29" spans="2:32" x14ac:dyDescent="0.3">
      <c r="P29" s="163"/>
      <c r="Q29" s="163"/>
      <c r="R29" s="163"/>
      <c r="S29" s="163"/>
      <c r="T29" s="163"/>
      <c r="U29" s="163"/>
      <c r="V29" s="163"/>
      <c r="W29" s="163"/>
      <c r="X29" s="163"/>
      <c r="Y29" s="163"/>
      <c r="Z29" s="163"/>
      <c r="AA29" s="163"/>
      <c r="AB29" s="163"/>
      <c r="AC29" s="163"/>
    </row>
    <row r="30" spans="2:32" x14ac:dyDescent="0.3">
      <c r="F30" s="35"/>
      <c r="G30" s="35"/>
      <c r="P30" s="163"/>
      <c r="Q30" s="163"/>
      <c r="R30" s="163"/>
      <c r="S30" s="163"/>
      <c r="T30" s="163"/>
      <c r="U30" s="163"/>
      <c r="V30" s="163"/>
      <c r="W30" s="163"/>
      <c r="X30" s="163"/>
      <c r="Y30" s="163"/>
      <c r="Z30" s="163"/>
      <c r="AA30" s="163"/>
      <c r="AB30" s="163"/>
      <c r="AC30" s="163"/>
    </row>
    <row r="31" spans="2:32" x14ac:dyDescent="0.3">
      <c r="P31" s="163"/>
      <c r="Q31" s="163"/>
      <c r="R31" s="163"/>
      <c r="S31" s="163"/>
      <c r="T31" s="163"/>
      <c r="U31" s="163"/>
      <c r="V31" s="163"/>
      <c r="W31" s="163"/>
      <c r="X31" s="163"/>
      <c r="Y31" s="163"/>
      <c r="Z31" s="163"/>
      <c r="AA31" s="163"/>
      <c r="AB31" s="163"/>
      <c r="AC31" s="163"/>
    </row>
    <row r="32" spans="2:32" x14ac:dyDescent="0.3">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4140625" defaultRowHeight="14.4" x14ac:dyDescent="0.3"/>
  <sheetData>
    <row r="1" spans="2:32" x14ac:dyDescent="0.3">
      <c r="B1" s="1610" t="s">
        <v>1392</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2" x14ac:dyDescent="0.3">
      <c r="B2" s="1611" t="s">
        <v>1395</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2:32"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2:32"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2:32"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
      <c r="B6" s="1629" t="s">
        <v>1710</v>
      </c>
      <c r="C6" s="1660"/>
      <c r="D6" s="1625" t="s">
        <v>280</v>
      </c>
      <c r="E6" s="1626"/>
      <c r="F6" s="1626"/>
      <c r="G6" s="1626"/>
      <c r="H6" s="1626"/>
      <c r="I6" s="1626"/>
      <c r="J6" s="1626"/>
      <c r="K6" s="1626"/>
      <c r="L6" s="1626"/>
      <c r="M6" s="1626"/>
      <c r="N6" s="1626"/>
      <c r="O6" s="1626"/>
      <c r="P6" s="1626"/>
      <c r="Q6" s="1660"/>
      <c r="R6" s="1660"/>
      <c r="S6" s="150"/>
      <c r="T6" s="1245"/>
      <c r="U6" s="1246"/>
      <c r="V6" s="1627" t="s">
        <v>281</v>
      </c>
      <c r="W6" s="1605"/>
      <c r="X6" s="1605"/>
      <c r="Y6" s="1605"/>
      <c r="Z6" s="1605"/>
      <c r="AA6" s="1605"/>
      <c r="AB6" s="1605"/>
      <c r="AC6" s="1606"/>
      <c r="AD6" s="1247"/>
      <c r="AE6" s="1247"/>
      <c r="AF6" s="1248"/>
    </row>
    <row r="7" spans="2:32" x14ac:dyDescent="0.3">
      <c r="B7" s="1617"/>
      <c r="C7" s="1618"/>
      <c r="D7" s="118">
        <v>2018</v>
      </c>
      <c r="E7" s="1612">
        <v>2019</v>
      </c>
      <c r="F7" s="1642"/>
      <c r="G7" s="1642"/>
      <c r="H7" s="1614"/>
      <c r="I7" s="1612">
        <v>2020</v>
      </c>
      <c r="J7" s="1642"/>
      <c r="K7" s="1642"/>
      <c r="L7" s="1642"/>
      <c r="M7" s="1612">
        <v>2021</v>
      </c>
      <c r="N7" s="1642"/>
      <c r="O7" s="1642"/>
      <c r="P7" s="1642"/>
      <c r="Q7" s="1638">
        <v>2022</v>
      </c>
      <c r="R7" s="1700"/>
      <c r="S7" s="168"/>
      <c r="T7" s="168"/>
      <c r="U7" s="1242"/>
      <c r="V7" s="1243">
        <v>2023</v>
      </c>
      <c r="W7" s="1243"/>
      <c r="X7" s="1244"/>
      <c r="Y7" s="1609">
        <v>2024</v>
      </c>
      <c r="Z7" s="1607"/>
      <c r="AA7" s="1607"/>
      <c r="AB7" s="1608"/>
      <c r="AC7" s="178">
        <v>2025</v>
      </c>
      <c r="AD7" s="1243"/>
      <c r="AE7" s="1243"/>
      <c r="AF7" s="1253"/>
    </row>
    <row r="8" spans="2:32" x14ac:dyDescent="0.3">
      <c r="B8" s="1619"/>
      <c r="C8" s="1620"/>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70" t="s">
        <v>283</v>
      </c>
      <c r="R8" s="571" t="s">
        <v>284</v>
      </c>
      <c r="S8" s="569" t="s">
        <v>238</v>
      </c>
      <c r="T8" s="569" t="s">
        <v>282</v>
      </c>
      <c r="U8" s="1140"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
      <c r="B9" s="120" t="s">
        <v>1394</v>
      </c>
      <c r="C9" s="578"/>
      <c r="D9" s="579"/>
      <c r="E9" s="578"/>
      <c r="F9" s="578"/>
      <c r="G9" s="578"/>
      <c r="H9" s="578"/>
      <c r="I9" s="578"/>
      <c r="J9" s="580"/>
      <c r="K9" s="580"/>
      <c r="L9" s="580"/>
      <c r="M9" s="580"/>
      <c r="N9" s="580"/>
      <c r="O9" s="580"/>
      <c r="P9" s="580"/>
      <c r="Q9" s="580"/>
      <c r="R9" s="576">
        <v>0</v>
      </c>
      <c r="S9" s="577">
        <v>0</v>
      </c>
      <c r="T9" s="581">
        <v>0</v>
      </c>
      <c r="U9" s="581">
        <v>0</v>
      </c>
      <c r="V9" s="581">
        <v>0</v>
      </c>
      <c r="W9" s="581">
        <v>-7.7999999999999999E-4</v>
      </c>
      <c r="X9" s="581">
        <v>-7.7999999999999999E-4</v>
      </c>
      <c r="Y9" s="581">
        <v>-9.5E-4</v>
      </c>
      <c r="Z9" s="581">
        <v>-9.5E-4</v>
      </c>
      <c r="AA9" s="581">
        <v>-9.5E-4</v>
      </c>
      <c r="AB9" s="581">
        <v>-9.5E-4</v>
      </c>
      <c r="AC9" s="581">
        <v>-9.3999999999999997E-4</v>
      </c>
      <c r="AD9" s="581">
        <v>-9.3999999999999997E-4</v>
      </c>
      <c r="AE9" s="581">
        <v>-9.3999999999999997E-4</v>
      </c>
      <c r="AF9" s="582">
        <v>-9.3999999999999997E-4</v>
      </c>
    </row>
    <row r="10" spans="2:32" x14ac:dyDescent="0.3">
      <c r="B10" s="35" t="s">
        <v>1393</v>
      </c>
      <c r="C10" s="177"/>
      <c r="D10" s="513"/>
      <c r="E10" s="177"/>
      <c r="F10" s="177"/>
      <c r="G10" s="177"/>
      <c r="H10" s="177"/>
      <c r="I10" s="177"/>
      <c r="J10" s="573"/>
      <c r="K10" s="573"/>
      <c r="L10" s="573"/>
      <c r="M10" s="573"/>
      <c r="N10" s="573"/>
      <c r="O10" s="573"/>
      <c r="P10" s="573"/>
      <c r="Q10" s="573"/>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
      <c r="B11" s="35" t="s">
        <v>312</v>
      </c>
      <c r="C11" s="451"/>
      <c r="D11" s="450"/>
      <c r="E11" s="451"/>
      <c r="F11" s="451"/>
      <c r="G11" s="451"/>
      <c r="H11" s="451"/>
      <c r="I11" s="451"/>
      <c r="J11" s="574"/>
      <c r="K11" s="574"/>
      <c r="L11" s="574"/>
      <c r="M11" s="574"/>
      <c r="N11" s="574"/>
      <c r="O11" s="574"/>
      <c r="P11" s="574"/>
      <c r="Q11" s="574"/>
      <c r="R11" s="572">
        <f>R9*R10</f>
        <v>0</v>
      </c>
      <c r="S11" s="575">
        <f t="shared" ref="S11:T11" si="0">S9*S10</f>
        <v>0</v>
      </c>
      <c r="T11" s="572">
        <f t="shared" si="0"/>
        <v>0</v>
      </c>
      <c r="U11" s="583">
        <f>U9*U10*-1</f>
        <v>0</v>
      </c>
      <c r="V11" s="583">
        <f t="shared" ref="V11:AF11" si="1">V9*V10*-1</f>
        <v>0</v>
      </c>
      <c r="W11" s="583">
        <f t="shared" si="1"/>
        <v>20.815079999999998</v>
      </c>
      <c r="X11" s="583">
        <f t="shared" si="1"/>
        <v>21.006180000000001</v>
      </c>
      <c r="Y11" s="583">
        <f t="shared" si="1"/>
        <v>25.815300000000001</v>
      </c>
      <c r="Z11" s="583">
        <f t="shared" si="1"/>
        <v>26.04045</v>
      </c>
      <c r="AA11" s="583">
        <f t="shared" si="1"/>
        <v>26.26465</v>
      </c>
      <c r="AB11" s="583">
        <f t="shared" si="1"/>
        <v>26.498349999999999</v>
      </c>
      <c r="AC11" s="583">
        <f t="shared" si="1"/>
        <v>26.454419999999999</v>
      </c>
      <c r="AD11" s="583">
        <f t="shared" si="1"/>
        <v>26.695999999999998</v>
      </c>
      <c r="AE11" s="583">
        <f t="shared" si="1"/>
        <v>26.930059999999997</v>
      </c>
      <c r="AF11" s="583">
        <f t="shared" si="1"/>
        <v>27.1754</v>
      </c>
    </row>
    <row r="12" spans="2:32"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
      <c r="B13" s="1542" t="s">
        <v>1834</v>
      </c>
      <c r="C13" s="1542"/>
      <c r="D13" s="1542"/>
      <c r="E13" s="1542"/>
      <c r="F13" s="1542"/>
      <c r="G13" s="1542"/>
      <c r="H13" s="1542"/>
      <c r="I13" s="1542"/>
      <c r="J13" s="1542"/>
      <c r="K13" s="1542"/>
      <c r="L13" s="1542"/>
      <c r="M13" s="1542"/>
      <c r="N13" s="1542"/>
      <c r="O13" s="1542"/>
      <c r="P13" s="1542"/>
      <c r="Q13" s="1542"/>
      <c r="R13" s="1542"/>
      <c r="S13" s="1542"/>
      <c r="T13" s="1542"/>
      <c r="U13" s="1542"/>
      <c r="V13" s="1542"/>
      <c r="W13" s="1542"/>
      <c r="X13" s="1542"/>
      <c r="Y13" s="1542"/>
      <c r="Z13" s="1542"/>
      <c r="AA13" s="1542"/>
      <c r="AB13" s="1542"/>
      <c r="AC13" s="1542"/>
      <c r="AD13" s="1542"/>
      <c r="AE13" s="1542"/>
      <c r="AF13" s="1542"/>
    </row>
    <row r="14" spans="2:32" x14ac:dyDescent="0.3">
      <c r="B14" s="1629" t="s">
        <v>1709</v>
      </c>
      <c r="C14" s="1660"/>
      <c r="D14" s="1625" t="s">
        <v>280</v>
      </c>
      <c r="E14" s="1626"/>
      <c r="F14" s="1626"/>
      <c r="G14" s="1626"/>
      <c r="H14" s="1626"/>
      <c r="I14" s="1626"/>
      <c r="J14" s="1626"/>
      <c r="K14" s="1626"/>
      <c r="L14" s="1626"/>
      <c r="M14" s="1626"/>
      <c r="N14" s="1626"/>
      <c r="O14" s="1626"/>
      <c r="P14" s="1626"/>
      <c r="Q14" s="1660"/>
      <c r="R14" s="1660"/>
      <c r="S14" s="150"/>
      <c r="T14" s="1605" t="s">
        <v>281</v>
      </c>
      <c r="U14" s="1605"/>
      <c r="V14" s="1605"/>
      <c r="W14" s="1605"/>
      <c r="X14" s="1605"/>
      <c r="Y14" s="1605"/>
      <c r="Z14" s="1605"/>
      <c r="AA14" s="1605"/>
      <c r="AB14" s="1605"/>
      <c r="AC14" s="1605"/>
      <c r="AD14" s="1605"/>
      <c r="AE14" s="1605"/>
      <c r="AF14" s="1606"/>
    </row>
    <row r="15" spans="2:32" x14ac:dyDescent="0.3">
      <c r="B15" s="1617"/>
      <c r="C15" s="1618"/>
      <c r="D15" s="118">
        <v>2018</v>
      </c>
      <c r="E15" s="1612">
        <v>2019</v>
      </c>
      <c r="F15" s="1642"/>
      <c r="G15" s="1642"/>
      <c r="H15" s="1614"/>
      <c r="I15" s="1612">
        <v>2020</v>
      </c>
      <c r="J15" s="1642"/>
      <c r="K15" s="1642"/>
      <c r="L15" s="1642"/>
      <c r="M15" s="1612">
        <v>2021</v>
      </c>
      <c r="N15" s="1642"/>
      <c r="O15" s="1642"/>
      <c r="P15" s="1642"/>
      <c r="Q15" s="1638">
        <v>2022</v>
      </c>
      <c r="R15" s="1700"/>
      <c r="S15" s="168"/>
      <c r="T15" s="568"/>
      <c r="U15" s="1628">
        <v>2023</v>
      </c>
      <c r="V15" s="1607"/>
      <c r="W15" s="1607"/>
      <c r="X15" s="1607"/>
      <c r="Y15" s="1628">
        <v>2024</v>
      </c>
      <c r="Z15" s="1607"/>
      <c r="AA15" s="1607"/>
      <c r="AB15" s="1641"/>
      <c r="AC15" s="1628">
        <v>2025</v>
      </c>
      <c r="AD15" s="1607"/>
      <c r="AE15" s="1607"/>
      <c r="AF15" s="1641"/>
    </row>
    <row r="16" spans="2:32" x14ac:dyDescent="0.3">
      <c r="B16" s="1619"/>
      <c r="C16" s="1620"/>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70" t="s">
        <v>283</v>
      </c>
      <c r="R16" s="571" t="s">
        <v>284</v>
      </c>
      <c r="S16" s="569"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
      <c r="B17" s="120" t="s">
        <v>1394</v>
      </c>
      <c r="C17" s="1254"/>
      <c r="D17" s="1255"/>
      <c r="E17" s="1254"/>
      <c r="F17" s="1254"/>
      <c r="G17" s="1254"/>
      <c r="H17" s="1254"/>
      <c r="I17" s="1254"/>
      <c r="J17" s="1256"/>
      <c r="K17" s="1256"/>
      <c r="L17" s="1256"/>
      <c r="M17" s="1256"/>
      <c r="N17" s="1256"/>
      <c r="O17" s="1256"/>
      <c r="P17" s="1256"/>
      <c r="Q17" s="1256"/>
      <c r="R17" s="1257">
        <v>0</v>
      </c>
      <c r="S17" s="1258">
        <v>0</v>
      </c>
      <c r="T17" s="1259">
        <v>0</v>
      </c>
      <c r="U17" s="1259">
        <v>-7.7999999999999999E-4</v>
      </c>
      <c r="V17" s="1259">
        <v>-7.7999999999999999E-4</v>
      </c>
      <c r="W17" s="1259">
        <v>-7.7999999999999999E-4</v>
      </c>
      <c r="X17" s="1259">
        <v>-7.7999999999999999E-4</v>
      </c>
      <c r="Y17" s="1259">
        <v>-9.5E-4</v>
      </c>
      <c r="Z17" s="1259">
        <v>-9.5E-4</v>
      </c>
      <c r="AA17" s="1259">
        <v>-9.5E-4</v>
      </c>
      <c r="AB17" s="1259">
        <v>-9.5E-4</v>
      </c>
      <c r="AC17" s="1259">
        <v>-9.3999999999999997E-4</v>
      </c>
      <c r="AD17" s="1259">
        <v>-9.3999999999999997E-4</v>
      </c>
      <c r="AE17" s="1259">
        <v>-9.3999999999999997E-4</v>
      </c>
      <c r="AF17" s="1260">
        <v>-9.3999999999999997E-4</v>
      </c>
    </row>
    <row r="18" spans="2:32" x14ac:dyDescent="0.3">
      <c r="B18" s="35" t="s">
        <v>1393</v>
      </c>
      <c r="C18" s="1261"/>
      <c r="D18" s="1262"/>
      <c r="E18" s="1261"/>
      <c r="F18" s="1261"/>
      <c r="G18" s="1261"/>
      <c r="H18" s="1261"/>
      <c r="I18" s="1261"/>
      <c r="J18" s="1263"/>
      <c r="K18" s="1263"/>
      <c r="L18" s="1263"/>
      <c r="M18" s="1263"/>
      <c r="N18" s="1263"/>
      <c r="O18" s="1263"/>
      <c r="P18" s="1263"/>
      <c r="Q18" s="1263"/>
      <c r="R18" s="1264"/>
      <c r="S18" s="1265"/>
      <c r="T18" s="1264"/>
      <c r="U18" s="1264">
        <v>26095</v>
      </c>
      <c r="V18" s="1264">
        <v>26404</v>
      </c>
      <c r="W18" s="1264">
        <v>26686</v>
      </c>
      <c r="X18" s="1264">
        <v>26931</v>
      </c>
      <c r="Y18" s="1264">
        <v>27174</v>
      </c>
      <c r="Z18" s="1264">
        <v>27411</v>
      </c>
      <c r="AA18" s="1264">
        <v>27647</v>
      </c>
      <c r="AB18" s="1264">
        <v>27893</v>
      </c>
      <c r="AC18" s="1264">
        <v>28143</v>
      </c>
      <c r="AD18" s="1264">
        <v>28400</v>
      </c>
      <c r="AE18" s="1264">
        <v>28649</v>
      </c>
      <c r="AF18" s="1265">
        <v>28910</v>
      </c>
    </row>
    <row r="19" spans="2:32" x14ac:dyDescent="0.3">
      <c r="B19" s="35" t="s">
        <v>312</v>
      </c>
      <c r="C19" s="1266"/>
      <c r="D19" s="1267"/>
      <c r="E19" s="1266"/>
      <c r="F19" s="1266"/>
      <c r="G19" s="1266"/>
      <c r="H19" s="1266"/>
      <c r="I19" s="1266"/>
      <c r="J19" s="1268"/>
      <c r="K19" s="1268"/>
      <c r="L19" s="1268"/>
      <c r="M19" s="1268"/>
      <c r="N19" s="1268"/>
      <c r="O19" s="1268"/>
      <c r="P19" s="1268"/>
      <c r="Q19" s="1268"/>
      <c r="R19" s="1269">
        <f>R17*R18</f>
        <v>0</v>
      </c>
      <c r="S19" s="1270">
        <f t="shared" ref="S19:T19" si="2">S17*S18</f>
        <v>0</v>
      </c>
      <c r="T19" s="1269">
        <f t="shared" si="2"/>
        <v>0</v>
      </c>
      <c r="U19" s="1271">
        <f>U17*U18*-1</f>
        <v>20.354099999999999</v>
      </c>
      <c r="V19" s="1271">
        <f t="shared" ref="V19:AF19" si="3">V17*V18*-1</f>
        <v>20.595119999999998</v>
      </c>
      <c r="W19" s="1271">
        <f t="shared" si="3"/>
        <v>20.815079999999998</v>
      </c>
      <c r="X19" s="1271">
        <f t="shared" si="3"/>
        <v>21.006180000000001</v>
      </c>
      <c r="Y19" s="1271">
        <f t="shared" si="3"/>
        <v>25.815300000000001</v>
      </c>
      <c r="Z19" s="1271">
        <f t="shared" si="3"/>
        <v>26.04045</v>
      </c>
      <c r="AA19" s="1271">
        <f t="shared" si="3"/>
        <v>26.26465</v>
      </c>
      <c r="AB19" s="1271">
        <f t="shared" si="3"/>
        <v>26.498349999999999</v>
      </c>
      <c r="AC19" s="1271">
        <f t="shared" si="3"/>
        <v>26.454419999999999</v>
      </c>
      <c r="AD19" s="1271">
        <f t="shared" si="3"/>
        <v>26.695999999999998</v>
      </c>
      <c r="AE19" s="1271">
        <f t="shared" si="3"/>
        <v>26.930059999999997</v>
      </c>
      <c r="AF19" s="1271">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H137" activePane="bottomRight" state="frozen"/>
      <selection pane="topRight" activeCell="D1" sqref="D1"/>
      <selection pane="bottomLeft" activeCell="A11" sqref="A11"/>
      <selection pane="bottomRight" activeCell="T88" sqref="T88"/>
    </sheetView>
  </sheetViews>
  <sheetFormatPr defaultColWidth="11.44140625" defaultRowHeight="14.4" x14ac:dyDescent="0.3"/>
  <cols>
    <col min="2" max="2" width="61" customWidth="1"/>
    <col min="6" max="6" width="12.21875" customWidth="1"/>
    <col min="7" max="7" width="10.44140625" customWidth="1"/>
    <col min="9" max="9" width="12" customWidth="1"/>
  </cols>
  <sheetData>
    <row r="1" spans="2:29" ht="18" customHeight="1" x14ac:dyDescent="0.3">
      <c r="B1" s="1702" t="s">
        <v>467</v>
      </c>
      <c r="C1" s="1702"/>
      <c r="D1" s="1702"/>
      <c r="E1" s="1702"/>
      <c r="F1" s="1702"/>
      <c r="G1" s="1702"/>
      <c r="H1" s="1702"/>
      <c r="I1" s="1702"/>
      <c r="J1" s="1702"/>
      <c r="K1" s="1702"/>
      <c r="L1" s="1702"/>
      <c r="M1" s="1702"/>
      <c r="N1" s="1702"/>
      <c r="O1" s="1702"/>
      <c r="P1" s="1702"/>
      <c r="Q1" s="1702"/>
      <c r="R1" s="1702"/>
      <c r="S1" s="1702"/>
      <c r="T1" s="1702"/>
      <c r="U1" s="1702"/>
      <c r="V1" s="1702"/>
      <c r="W1" s="1702"/>
      <c r="X1" s="1702"/>
      <c r="Y1" s="1702"/>
      <c r="Z1" s="1702"/>
      <c r="AA1" s="1702"/>
      <c r="AB1" s="1702"/>
      <c r="AC1" s="1702"/>
    </row>
    <row r="2" spans="2:29" ht="34.5" customHeight="1" x14ac:dyDescent="0.3">
      <c r="B2" s="1611" t="s">
        <v>868</v>
      </c>
      <c r="C2" s="1650"/>
      <c r="D2" s="1650"/>
      <c r="E2" s="1650"/>
      <c r="F2" s="1650"/>
      <c r="G2" s="1650"/>
      <c r="H2" s="1650"/>
      <c r="I2" s="1650"/>
      <c r="J2" s="1650"/>
      <c r="K2" s="1650"/>
      <c r="L2" s="1650"/>
      <c r="M2" s="1650"/>
      <c r="N2" s="1650"/>
      <c r="O2" s="1650"/>
      <c r="P2" s="1650"/>
      <c r="Q2" s="1650"/>
      <c r="R2" s="1650"/>
      <c r="S2" s="1650"/>
      <c r="T2" s="1650"/>
      <c r="U2" s="1650"/>
      <c r="V2" s="1650"/>
      <c r="W2" s="1650"/>
      <c r="X2" s="1650"/>
      <c r="Y2" s="1650"/>
      <c r="Z2" s="1650"/>
      <c r="AA2" s="1650"/>
      <c r="AB2" s="1650"/>
      <c r="AC2" s="1650"/>
    </row>
    <row r="3" spans="2:29" ht="3" customHeight="1" x14ac:dyDescent="0.3">
      <c r="B3" s="1650"/>
      <c r="C3" s="1650"/>
      <c r="D3" s="1650"/>
      <c r="E3" s="1650"/>
      <c r="F3" s="1650"/>
      <c r="G3" s="1650"/>
      <c r="H3" s="1650"/>
      <c r="I3" s="1650"/>
      <c r="J3" s="1650"/>
      <c r="K3" s="1650"/>
      <c r="L3" s="1650"/>
      <c r="M3" s="1650"/>
      <c r="N3" s="1650"/>
      <c r="O3" s="1650"/>
      <c r="P3" s="1650"/>
      <c r="Q3" s="1650"/>
      <c r="R3" s="1650"/>
      <c r="S3" s="1650"/>
      <c r="T3" s="1650"/>
      <c r="U3" s="1650"/>
      <c r="V3" s="1650"/>
      <c r="W3" s="1650"/>
      <c r="X3" s="1650"/>
      <c r="Y3" s="1650"/>
      <c r="Z3" s="1650"/>
      <c r="AA3" s="1650"/>
      <c r="AB3" s="1650"/>
      <c r="AC3" s="1650"/>
    </row>
    <row r="4" spans="2:29" ht="10.35" customHeight="1" x14ac:dyDescent="0.3">
      <c r="B4" s="1650"/>
      <c r="C4" s="1650"/>
      <c r="D4" s="1650"/>
      <c r="E4" s="1650"/>
      <c r="F4" s="1650"/>
      <c r="G4" s="1650"/>
      <c r="H4" s="1650"/>
      <c r="I4" s="1650"/>
      <c r="J4" s="1650"/>
      <c r="K4" s="1650"/>
      <c r="L4" s="1650"/>
      <c r="M4" s="1650"/>
      <c r="N4" s="1650"/>
      <c r="O4" s="1650"/>
      <c r="P4" s="1650"/>
      <c r="Q4" s="1650"/>
      <c r="R4" s="1650"/>
      <c r="S4" s="1650"/>
      <c r="T4" s="1650"/>
      <c r="U4" s="1650"/>
      <c r="V4" s="1650"/>
      <c r="W4" s="1650"/>
      <c r="X4" s="1650"/>
      <c r="Y4" s="1650"/>
      <c r="Z4" s="1650"/>
      <c r="AA4" s="1650"/>
      <c r="AB4" s="1650"/>
      <c r="AC4" s="1650"/>
    </row>
    <row r="5" spans="2:29" ht="14.25" customHeight="1" x14ac:dyDescent="0.3">
      <c r="B5" s="1650"/>
      <c r="C5" s="1650"/>
      <c r="D5" s="1650"/>
      <c r="E5" s="1650"/>
      <c r="F5" s="1650"/>
      <c r="G5" s="1650"/>
      <c r="H5" s="1650"/>
      <c r="I5" s="1650"/>
      <c r="J5" s="1650"/>
      <c r="K5" s="1650"/>
      <c r="L5" s="1650"/>
      <c r="M5" s="1650"/>
      <c r="N5" s="1650"/>
      <c r="O5" s="1650"/>
      <c r="P5" s="1650"/>
      <c r="Q5" s="1650"/>
      <c r="R5" s="1650"/>
      <c r="S5" s="1650"/>
      <c r="T5" s="1650"/>
      <c r="U5" s="1650"/>
      <c r="V5" s="1650"/>
      <c r="W5" s="1650"/>
      <c r="X5" s="1650"/>
      <c r="Y5" s="1650"/>
      <c r="Z5" s="1650"/>
      <c r="AA5" s="1650"/>
      <c r="AB5" s="1650"/>
      <c r="AC5" s="1650"/>
    </row>
    <row r="6" spans="2:29" ht="14.25" customHeight="1" x14ac:dyDescent="0.3">
      <c r="B6" s="1650"/>
      <c r="C6" s="1650"/>
      <c r="D6" s="1650"/>
      <c r="E6" s="1650"/>
      <c r="F6" s="1650"/>
      <c r="G6" s="1650"/>
      <c r="H6" s="1650"/>
      <c r="I6" s="1650"/>
      <c r="J6" s="1650"/>
      <c r="K6" s="1650"/>
      <c r="L6" s="1650"/>
      <c r="M6" s="1650"/>
      <c r="N6" s="1650"/>
      <c r="O6" s="1650"/>
      <c r="P6" s="1650"/>
      <c r="Q6" s="1650"/>
      <c r="R6" s="1650"/>
      <c r="S6" s="1650"/>
      <c r="T6" s="1650"/>
      <c r="U6" s="1650"/>
      <c r="V6" s="1650"/>
      <c r="W6" s="1650"/>
      <c r="X6" s="1650"/>
      <c r="Y6" s="1650"/>
      <c r="Z6" s="1650"/>
      <c r="AA6" s="1650"/>
      <c r="AB6" s="1650"/>
      <c r="AC6" s="1650"/>
    </row>
    <row r="7" spans="2:29" x14ac:dyDescent="0.3">
      <c r="B7" s="624" t="s">
        <v>333</v>
      </c>
      <c r="C7" s="184"/>
      <c r="D7" s="184"/>
      <c r="E7" s="184"/>
      <c r="F7" s="184"/>
      <c r="G7" s="184"/>
      <c r="H7" s="185"/>
      <c r="I7" s="185"/>
      <c r="J7" s="185"/>
      <c r="K7" s="185"/>
      <c r="L7" s="185"/>
      <c r="M7" s="185"/>
      <c r="N7" s="185"/>
      <c r="O7" s="185"/>
      <c r="P7" s="185"/>
      <c r="Q7" s="185"/>
      <c r="R7" s="185"/>
      <c r="S7" s="185"/>
      <c r="T7" s="185"/>
      <c r="U7" s="185"/>
    </row>
    <row r="8" spans="2:29" ht="14.85" customHeight="1" x14ac:dyDescent="0.3">
      <c r="B8" s="1194" t="s">
        <v>304</v>
      </c>
      <c r="C8" s="1195"/>
      <c r="D8" s="1198" t="s">
        <v>280</v>
      </c>
      <c r="E8" s="1199"/>
      <c r="F8" s="1199"/>
      <c r="G8" s="1199"/>
      <c r="H8" s="1199"/>
      <c r="I8" s="1199"/>
      <c r="J8" s="1199"/>
      <c r="K8" s="1199"/>
      <c r="L8" s="1199"/>
      <c r="M8" s="1199"/>
      <c r="N8" s="1199"/>
      <c r="O8" s="1199"/>
      <c r="P8" s="1199"/>
      <c r="Q8" s="1200"/>
      <c r="R8" s="1200"/>
      <c r="S8" s="1200"/>
      <c r="T8" s="1338"/>
      <c r="U8" s="1246"/>
      <c r="V8" s="1627" t="s">
        <v>281</v>
      </c>
      <c r="W8" s="1605"/>
      <c r="X8" s="1605"/>
      <c r="Y8" s="1605"/>
      <c r="Z8" s="1605"/>
      <c r="AA8" s="1605"/>
      <c r="AB8" s="1605"/>
      <c r="AC8" s="1606"/>
    </row>
    <row r="9" spans="2:29" ht="14.85" customHeight="1" x14ac:dyDescent="0.3">
      <c r="B9" s="1196"/>
      <c r="C9" s="1197"/>
      <c r="D9" s="127">
        <v>2018</v>
      </c>
      <c r="E9" s="1600">
        <v>2019</v>
      </c>
      <c r="F9" s="1622"/>
      <c r="G9" s="1622"/>
      <c r="H9" s="1637"/>
      <c r="I9" s="1600">
        <v>2020</v>
      </c>
      <c r="J9" s="1622"/>
      <c r="K9" s="1622"/>
      <c r="L9" s="1622"/>
      <c r="M9" s="1600">
        <v>2021</v>
      </c>
      <c r="N9" s="1622"/>
      <c r="O9" s="1622"/>
      <c r="P9" s="1622"/>
      <c r="Q9" s="1600">
        <v>2022</v>
      </c>
      <c r="R9" s="1601"/>
      <c r="S9" s="1601"/>
      <c r="T9" s="1637"/>
      <c r="U9" s="1242"/>
      <c r="V9" s="1243">
        <v>2023</v>
      </c>
      <c r="W9" s="1243"/>
      <c r="X9" s="1244"/>
      <c r="Y9" s="1609">
        <v>2024</v>
      </c>
      <c r="Z9" s="1607"/>
      <c r="AA9" s="1607"/>
      <c r="AB9" s="1608"/>
      <c r="AC9" s="178">
        <v>2025</v>
      </c>
    </row>
    <row r="10" spans="2:29" x14ac:dyDescent="0.3">
      <c r="B10" s="1196"/>
      <c r="C10" s="119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40" t="s">
        <v>283</v>
      </c>
      <c r="V10" s="190" t="s">
        <v>284</v>
      </c>
      <c r="W10" s="190" t="s">
        <v>238</v>
      </c>
      <c r="X10" s="191" t="s">
        <v>282</v>
      </c>
      <c r="Y10" s="189" t="s">
        <v>283</v>
      </c>
      <c r="Z10" s="186" t="s">
        <v>284</v>
      </c>
      <c r="AA10" s="190" t="s">
        <v>238</v>
      </c>
      <c r="AB10" s="190" t="s">
        <v>282</v>
      </c>
      <c r="AC10" s="192" t="s">
        <v>283</v>
      </c>
    </row>
    <row r="11" spans="2:29" x14ac:dyDescent="0.3">
      <c r="B11" s="1703" t="s">
        <v>468</v>
      </c>
      <c r="C11" s="1704"/>
      <c r="D11" s="584"/>
      <c r="E11" s="605"/>
      <c r="F11" s="605"/>
      <c r="G11" s="605"/>
      <c r="H11" s="172"/>
      <c r="I11" s="172"/>
      <c r="J11" s="172"/>
      <c r="K11" s="172"/>
      <c r="L11" s="172"/>
      <c r="M11" s="498"/>
      <c r="N11" s="498"/>
      <c r="O11" s="498"/>
      <c r="P11" s="172"/>
      <c r="Q11" s="172"/>
      <c r="R11" s="172"/>
      <c r="S11" s="172"/>
      <c r="T11" s="716"/>
      <c r="U11" s="1345"/>
      <c r="V11" s="151"/>
      <c r="W11" s="151"/>
      <c r="X11" s="151"/>
      <c r="Y11" s="151"/>
      <c r="Z11" s="151"/>
      <c r="AA11" s="151"/>
      <c r="AB11" s="151"/>
      <c r="AC11" s="152"/>
    </row>
    <row r="12" spans="2:29" ht="17.100000000000001" customHeight="1" x14ac:dyDescent="0.3">
      <c r="B12" s="405" t="s">
        <v>469</v>
      </c>
      <c r="C12" s="163" t="s">
        <v>470</v>
      </c>
      <c r="D12" s="528">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95">
        <f>'Haver Pivoted'!HD31</f>
        <v>2840.1</v>
      </c>
      <c r="T12" s="1326">
        <f>'Haver Pivoted'!HE31</f>
        <v>2882.8</v>
      </c>
      <c r="U12" s="496">
        <f>'Haver Pivoted'!HF31</f>
        <v>2969.5</v>
      </c>
      <c r="V12" s="472">
        <f t="shared" ref="V12:AC12" si="0">SUM(V14:V25)-V24</f>
        <v>3044.2305602436518</v>
      </c>
      <c r="W12" s="472">
        <f t="shared" si="0"/>
        <v>3080.4867154464919</v>
      </c>
      <c r="X12" s="472">
        <f t="shared" si="0"/>
        <v>3105.777249686917</v>
      </c>
      <c r="Y12" s="472">
        <f t="shared" si="0"/>
        <v>3180.2246266362358</v>
      </c>
      <c r="Z12" s="472">
        <f t="shared" si="0"/>
        <v>3212.014300770777</v>
      </c>
      <c r="AA12" s="472">
        <f t="shared" si="0"/>
        <v>3244.8952789911414</v>
      </c>
      <c r="AB12" s="472">
        <f t="shared" si="0"/>
        <v>3276.8708809413233</v>
      </c>
      <c r="AC12" s="600">
        <f t="shared" si="0"/>
        <v>3340.8845916884311</v>
      </c>
    </row>
    <row r="13" spans="2:29" x14ac:dyDescent="0.3">
      <c r="B13" s="405"/>
      <c r="C13" s="163"/>
      <c r="D13" s="528"/>
      <c r="E13" s="471"/>
      <c r="F13" s="471"/>
      <c r="G13" s="471"/>
      <c r="H13" s="471"/>
      <c r="I13" s="471"/>
      <c r="J13" s="471"/>
      <c r="K13" s="471"/>
      <c r="L13" s="471"/>
      <c r="M13" s="471"/>
      <c r="N13" s="471"/>
      <c r="O13" s="471"/>
      <c r="P13" s="163"/>
      <c r="Q13" s="159"/>
      <c r="R13" s="159"/>
      <c r="S13" s="159"/>
      <c r="T13" s="1222"/>
      <c r="U13" s="1280"/>
      <c r="V13" s="243"/>
      <c r="W13" s="243"/>
      <c r="X13" s="243"/>
      <c r="Y13" s="243"/>
      <c r="Z13" s="243"/>
      <c r="AA13" s="243"/>
      <c r="AB13" s="243"/>
      <c r="AC13" s="241"/>
    </row>
    <row r="14" spans="2:29" ht="35.85" customHeight="1" x14ac:dyDescent="0.3">
      <c r="B14" s="153" t="s">
        <v>471</v>
      </c>
      <c r="C14" s="163"/>
      <c r="D14" s="528">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334">
        <f>'Unemployment Insurance'!T20+'Unemployment Insurance'!T19</f>
        <v>20.399999999999999</v>
      </c>
      <c r="U14" s="1339">
        <f>'Unemployment Insurance'!U20+'Unemployment Insurance'!U19</f>
        <v>22.8</v>
      </c>
      <c r="V14" s="472">
        <f>'Unemployment Insurance'!V20+'Unemployment Insurance'!V19</f>
        <v>29.959200000000003</v>
      </c>
      <c r="W14" s="472">
        <f>'Unemployment Insurance'!W20+'Unemployment Insurance'!W19</f>
        <v>31.913485714285713</v>
      </c>
      <c r="X14" s="472">
        <f>'Unemployment Insurance'!X20+'Unemployment Insurance'!X19</f>
        <v>33.314057142857138</v>
      </c>
      <c r="Y14" s="472">
        <f>'Unemployment Insurance'!Y20+'Unemployment Insurance'!Y19</f>
        <v>33.216342857142855</v>
      </c>
      <c r="Z14" s="472">
        <f>'Unemployment Insurance'!Z20+'Unemployment Insurance'!Z19</f>
        <v>32.200114285714285</v>
      </c>
      <c r="AA14" s="472">
        <f>'Unemployment Insurance'!AA20+'Unemployment Insurance'!AA19</f>
        <v>31.652914285714289</v>
      </c>
      <c r="AB14" s="472">
        <f>'Unemployment Insurance'!AB20+'Unemployment Insurance'!AB19</f>
        <v>31.262057142857149</v>
      </c>
      <c r="AC14" s="600">
        <f>'Unemployment Insurance'!AC20+'Unemployment Insurance'!AC19</f>
        <v>31.112228571428574</v>
      </c>
    </row>
    <row r="15" spans="2:29" ht="17.850000000000001" customHeight="1" x14ac:dyDescent="0.3">
      <c r="B15" s="153" t="s">
        <v>55</v>
      </c>
      <c r="C15" s="163"/>
      <c r="D15" s="528">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334">
        <f>Medicare!T10</f>
        <v>941.6</v>
      </c>
      <c r="U15" s="1339">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1149.4760117984661</v>
      </c>
      <c r="AC15" s="600">
        <f>Medicare!AC10</f>
        <v>1177.1941189570023</v>
      </c>
    </row>
    <row r="16" spans="2:29" ht="18" customHeight="1" x14ac:dyDescent="0.3">
      <c r="B16" s="405" t="s">
        <v>472</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334">
        <f>'Rebate Checks (expired)'!T10 +'Rebate Checks (expired)'!T11</f>
        <v>0</v>
      </c>
      <c r="U16" s="1339">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600">
        <f>'Rebate Checks (expired)'!AC10 +'Rebate Checks (expired)'!AC11</f>
        <v>0</v>
      </c>
    </row>
    <row r="17" spans="2:101" ht="20.100000000000001" customHeight="1" x14ac:dyDescent="0.3">
      <c r="B17" s="187" t="s">
        <v>475</v>
      </c>
      <c r="C17" s="177"/>
      <c r="D17" s="613"/>
      <c r="E17" s="573"/>
      <c r="F17" s="573"/>
      <c r="G17" s="573"/>
      <c r="H17" s="501"/>
      <c r="I17" s="501"/>
      <c r="J17" s="501"/>
      <c r="K17" s="501"/>
      <c r="L17" s="501"/>
      <c r="M17" s="501">
        <f>'ARP Quarterly'!C5</f>
        <v>0</v>
      </c>
      <c r="N17" s="501">
        <f>'ARP Quarterly'!D5</f>
        <v>33.921840000000024</v>
      </c>
      <c r="O17" s="501">
        <f>'ARP Quarterly'!E5</f>
        <v>44.966160000000031</v>
      </c>
      <c r="P17" s="501">
        <f>'ARP Quarterly'!F5</f>
        <v>52.756999999999998</v>
      </c>
      <c r="Q17" s="501">
        <f>'ARP Quarterly'!G5</f>
        <v>52.756999999999998</v>
      </c>
      <c r="R17" s="501">
        <f>'ARP Quarterly'!H5</f>
        <v>52.756999999999998</v>
      </c>
      <c r="S17" s="501">
        <f>'ARP Quarterly'!I5</f>
        <v>52.756999999999998</v>
      </c>
      <c r="T17" s="1329">
        <v>30</v>
      </c>
      <c r="U17" s="1340">
        <f>'ARP Quarterly'!K5</f>
        <v>12</v>
      </c>
      <c r="V17" s="507">
        <f>'ARP Quarterly'!L5</f>
        <v>12</v>
      </c>
      <c r="W17" s="507">
        <f>'ARP Quarterly'!M5</f>
        <v>12</v>
      </c>
      <c r="X17" s="507">
        <f>'ARP Quarterly'!N5</f>
        <v>4.2219999999999995</v>
      </c>
      <c r="Y17" s="507">
        <f>'ARP Quarterly'!O5</f>
        <v>4.2219999999999995</v>
      </c>
      <c r="Z17" s="507">
        <f>'ARP Quarterly'!P5</f>
        <v>4.2219999999999995</v>
      </c>
      <c r="AA17" s="507">
        <f>'ARP Quarterly'!Q5</f>
        <v>4.2219999999999995</v>
      </c>
      <c r="AB17" s="507">
        <f>'ARP Quarterly'!R5</f>
        <v>2.3719999999999999</v>
      </c>
      <c r="AC17" s="618">
        <f>'ARP Quarterly'!S5</f>
        <v>2.3719999999999999</v>
      </c>
    </row>
    <row r="18" spans="2:101" ht="22.35" customHeight="1" x14ac:dyDescent="0.3">
      <c r="B18" s="153" t="s">
        <v>218</v>
      </c>
      <c r="C18" s="625"/>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334">
        <f>'ARP Quarterly'!J4</f>
        <v>1.4159999999999999</v>
      </c>
      <c r="U18" s="1339">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600">
        <f>'ARP Quarterly'!S4</f>
        <v>1.63</v>
      </c>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625"/>
      <c r="BE18" s="625"/>
      <c r="BF18" s="625"/>
      <c r="BG18" s="625"/>
      <c r="BH18" s="625"/>
      <c r="BI18" s="625"/>
      <c r="BJ18" s="625"/>
      <c r="BK18" s="625"/>
      <c r="BL18" s="625"/>
      <c r="BM18" s="625"/>
      <c r="BN18" s="625"/>
      <c r="BO18" s="625"/>
      <c r="BP18" s="625"/>
      <c r="BQ18" s="625"/>
      <c r="BR18" s="625"/>
      <c r="BS18" s="625"/>
      <c r="BT18" s="625"/>
      <c r="BU18" s="625"/>
      <c r="BV18" s="625"/>
      <c r="BW18" s="625"/>
      <c r="BX18" s="625"/>
      <c r="BY18" s="625"/>
      <c r="BZ18" s="625"/>
      <c r="CA18" s="625"/>
      <c r="CB18" s="625"/>
      <c r="CC18" s="625"/>
      <c r="CD18" s="625"/>
      <c r="CE18" s="625"/>
      <c r="CF18" s="625"/>
      <c r="CG18" s="625"/>
      <c r="CH18" s="625"/>
      <c r="CI18" s="625"/>
      <c r="CJ18" s="625"/>
      <c r="CK18" s="625"/>
      <c r="CL18" s="625"/>
      <c r="CM18" s="625"/>
      <c r="CN18" s="625"/>
      <c r="CO18" s="625"/>
      <c r="CP18" s="625"/>
      <c r="CQ18" s="625"/>
      <c r="CR18" s="625"/>
      <c r="CS18" s="625"/>
      <c r="CT18" s="625"/>
      <c r="CU18" s="625"/>
      <c r="CV18" s="625"/>
      <c r="CW18" s="625"/>
    </row>
    <row r="19" spans="2:101" ht="19.5" customHeight="1" x14ac:dyDescent="0.3">
      <c r="B19" s="153" t="s">
        <v>49</v>
      </c>
      <c r="C19" s="625"/>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227">
        <f>'Provider Relief (expired)'!T11</f>
        <v>4.9000000000000004</v>
      </c>
      <c r="U19" s="1341">
        <f>'Provider Relief (expired)'!U11</f>
        <v>0</v>
      </c>
      <c r="V19" s="614">
        <f>'Provider Relief (expired)'!V11</f>
        <v>0</v>
      </c>
      <c r="W19" s="614">
        <f>'Provider Relief (expired)'!W11</f>
        <v>0</v>
      </c>
      <c r="X19" s="614">
        <f>'Provider Relief (expired)'!X11</f>
        <v>0</v>
      </c>
      <c r="Y19" s="614">
        <f>'Provider Relief (expired)'!Y11</f>
        <v>0</v>
      </c>
      <c r="Z19" s="614">
        <f>'Provider Relief (expired)'!Z11</f>
        <v>0</v>
      </c>
      <c r="AA19" s="614">
        <f>'Provider Relief (expired)'!AA11</f>
        <v>0</v>
      </c>
      <c r="AB19" s="614">
        <f>'Provider Relief (expired)'!AB11</f>
        <v>0</v>
      </c>
      <c r="AC19" s="626">
        <f>'Provider Relief (expired)'!AC11</f>
        <v>0</v>
      </c>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c r="BA19" s="625"/>
      <c r="BB19" s="625"/>
      <c r="BC19" s="625"/>
      <c r="BD19" s="625"/>
      <c r="BE19" s="625"/>
      <c r="BF19" s="625"/>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25"/>
      <c r="CP19" s="625"/>
      <c r="CQ19" s="625"/>
      <c r="CR19" s="625"/>
      <c r="CS19" s="625"/>
      <c r="CT19" s="625"/>
      <c r="CU19" s="625"/>
      <c r="CV19" s="625"/>
      <c r="CW19" s="625"/>
    </row>
    <row r="20" spans="2:101" ht="36.6" customHeight="1" x14ac:dyDescent="0.3">
      <c r="B20" s="153" t="s">
        <v>1446</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334">
        <f t="shared" si="1"/>
        <v>71.822499999999991</v>
      </c>
      <c r="U20" s="1339">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600">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 customHeight="1" x14ac:dyDescent="0.3">
      <c r="B21" s="153" t="s">
        <v>804</v>
      </c>
      <c r="C21" s="163" t="s">
        <v>832</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604">
        <f>'Haver Pivoted'!HD89</f>
        <v>94.3</v>
      </c>
      <c r="T21" s="1251">
        <f>'Haver Pivoted'!HE89</f>
        <v>94.3</v>
      </c>
      <c r="U21" s="607">
        <f>'Haver Pivoted'!HF89</f>
        <v>0</v>
      </c>
      <c r="V21" s="472">
        <v>34</v>
      </c>
      <c r="W21" s="472">
        <v>34</v>
      </c>
      <c r="X21" s="472">
        <v>34</v>
      </c>
      <c r="Y21" s="472">
        <v>34</v>
      </c>
      <c r="Z21" s="472">
        <v>34</v>
      </c>
      <c r="AA21" s="472">
        <v>34</v>
      </c>
      <c r="AB21" s="472">
        <v>34</v>
      </c>
      <c r="AC21" s="600">
        <v>34</v>
      </c>
    </row>
    <row r="22" spans="2:101" ht="21.6" customHeight="1" x14ac:dyDescent="0.3">
      <c r="B22" s="153" t="s">
        <v>473</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334">
        <f>'PPP (expired)'!T53</f>
        <v>0</v>
      </c>
      <c r="U22" s="1339">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600">
        <f>'PPP (expired)'!AC53</f>
        <v>0</v>
      </c>
    </row>
    <row r="23" spans="2:101" ht="21.6" customHeight="1" x14ac:dyDescent="0.3">
      <c r="B23" s="405" t="s">
        <v>805</v>
      </c>
      <c r="C23" s="163"/>
      <c r="D23" s="528">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334">
        <f t="shared" si="2"/>
        <v>10.495779999999968</v>
      </c>
      <c r="U23" s="1339">
        <f t="shared" si="2"/>
        <v>78.331099999999651</v>
      </c>
      <c r="V23" s="472">
        <f t="shared" si="2"/>
        <v>78.331099999999651</v>
      </c>
      <c r="W23" s="472">
        <f t="shared" si="2"/>
        <v>78.331099999999651</v>
      </c>
      <c r="X23" s="472">
        <f t="shared" si="2"/>
        <v>78.331099999999651</v>
      </c>
      <c r="Y23" s="472">
        <f t="shared" si="2"/>
        <v>78.331099999999651</v>
      </c>
      <c r="Z23" s="472">
        <f t="shared" si="2"/>
        <v>78.331099999999651</v>
      </c>
      <c r="AA23" s="472">
        <f t="shared" si="2"/>
        <v>78.331099999999651</v>
      </c>
      <c r="AB23" s="472">
        <f t="shared" si="2"/>
        <v>78.331099999999651</v>
      </c>
      <c r="AC23" s="600">
        <f t="shared" si="2"/>
        <v>78.331099999999651</v>
      </c>
    </row>
    <row r="24" spans="2:101" ht="21" customHeight="1" x14ac:dyDescent="0.3">
      <c r="B24" s="187" t="s">
        <v>802</v>
      </c>
      <c r="C24" s="177"/>
      <c r="D24" s="613">
        <f t="shared" ref="D24:AC24" si="3">D18+D19</f>
        <v>0</v>
      </c>
      <c r="E24" s="573">
        <f t="shared" si="3"/>
        <v>0</v>
      </c>
      <c r="F24" s="573">
        <f t="shared" si="3"/>
        <v>0</v>
      </c>
      <c r="G24" s="573">
        <f t="shared" si="3"/>
        <v>0</v>
      </c>
      <c r="H24" s="573">
        <f t="shared" si="3"/>
        <v>0</v>
      </c>
      <c r="I24" s="573">
        <f t="shared" si="3"/>
        <v>0</v>
      </c>
      <c r="J24" s="573">
        <f t="shared" si="3"/>
        <v>160.9</v>
      </c>
      <c r="K24" s="573">
        <f t="shared" si="3"/>
        <v>58.4</v>
      </c>
      <c r="L24" s="573">
        <f t="shared" si="3"/>
        <v>34.5</v>
      </c>
      <c r="M24" s="573">
        <f t="shared" si="3"/>
        <v>21.4</v>
      </c>
      <c r="N24" s="573">
        <f t="shared" si="3"/>
        <v>13.3</v>
      </c>
      <c r="O24" s="573">
        <f t="shared" si="3"/>
        <v>21.804000000000041</v>
      </c>
      <c r="P24" s="501">
        <f>P18+P19</f>
        <v>51.919000000000011</v>
      </c>
      <c r="Q24" s="573">
        <f t="shared" si="3"/>
        <v>46.619</v>
      </c>
      <c r="R24" s="573">
        <f t="shared" si="3"/>
        <v>39.719000000000008</v>
      </c>
      <c r="S24" s="573">
        <f t="shared" si="3"/>
        <v>27.819000000000003</v>
      </c>
      <c r="T24" s="1335">
        <f t="shared" si="3"/>
        <v>6.3160000000000007</v>
      </c>
      <c r="U24" s="1342">
        <f t="shared" si="3"/>
        <v>1.4159999999999999</v>
      </c>
      <c r="V24" s="601">
        <f t="shared" si="3"/>
        <v>1.4159999999999999</v>
      </c>
      <c r="W24" s="601">
        <f t="shared" si="3"/>
        <v>1.4159999999999999</v>
      </c>
      <c r="X24" s="601">
        <f t="shared" si="3"/>
        <v>1.4790000000000001</v>
      </c>
      <c r="Y24" s="601">
        <f t="shared" si="3"/>
        <v>1.4790000000000001</v>
      </c>
      <c r="Z24" s="601">
        <f t="shared" si="3"/>
        <v>1.4790000000000001</v>
      </c>
      <c r="AA24" s="601">
        <f t="shared" si="3"/>
        <v>1.4790000000000001</v>
      </c>
      <c r="AB24" s="601">
        <f t="shared" si="3"/>
        <v>1.63</v>
      </c>
      <c r="AC24" s="602">
        <f t="shared" si="3"/>
        <v>1.63</v>
      </c>
    </row>
    <row r="25" spans="2:101" ht="44.85" customHeight="1" x14ac:dyDescent="0.3">
      <c r="B25" s="153" t="s">
        <v>810</v>
      </c>
      <c r="C25" s="163"/>
      <c r="D25" s="528">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334">
        <f t="shared" si="4"/>
        <v>1707.8657200000002</v>
      </c>
      <c r="U25" s="1339">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600">
        <f t="shared" si="4"/>
        <v>1949.2886441600003</v>
      </c>
    </row>
    <row r="26" spans="2:101" ht="44.85" customHeight="1" x14ac:dyDescent="0.3">
      <c r="B26" s="339" t="s">
        <v>1194</v>
      </c>
      <c r="D26" s="528"/>
      <c r="E26" s="471"/>
      <c r="F26" s="471"/>
      <c r="G26" s="471"/>
      <c r="H26" s="471"/>
      <c r="I26" s="471"/>
      <c r="J26" s="471"/>
      <c r="K26" s="471"/>
      <c r="L26" s="471"/>
      <c r="M26" s="471"/>
      <c r="N26" s="471"/>
      <c r="O26" s="471"/>
      <c r="P26" s="471"/>
      <c r="Q26" s="471"/>
      <c r="R26" s="471"/>
      <c r="S26" s="596">
        <f>'IRA and CHIPS'!E191</f>
        <v>-0.622</v>
      </c>
      <c r="T26" s="1336">
        <f>'IRA and CHIPS'!F191</f>
        <v>21.89</v>
      </c>
      <c r="U26" s="1343">
        <f>'IRA and CHIPS'!G191</f>
        <v>21.89</v>
      </c>
      <c r="V26" s="597">
        <f>'IRA and CHIPS'!H191</f>
        <v>21.89</v>
      </c>
      <c r="W26" s="597">
        <f>'IRA and CHIPS'!I191</f>
        <v>21.89</v>
      </c>
      <c r="X26" s="597">
        <f>'IRA and CHIPS'!J191</f>
        <v>15.439</v>
      </c>
      <c r="Y26" s="597">
        <f>'IRA and CHIPS'!K191</f>
        <v>15.439</v>
      </c>
      <c r="Z26" s="597">
        <f>'IRA and CHIPS'!L191</f>
        <v>15.439</v>
      </c>
      <c r="AA26" s="597">
        <f>'IRA and CHIPS'!M191</f>
        <v>15.439</v>
      </c>
      <c r="AB26" s="597">
        <f>'IRA and CHIPS'!N191</f>
        <v>16.966999999999999</v>
      </c>
      <c r="AC26" s="598">
        <f>'IRA and CHIPS'!O191</f>
        <v>16.966999999999999</v>
      </c>
    </row>
    <row r="27" spans="2:101" ht="31.35" customHeight="1" x14ac:dyDescent="0.3">
      <c r="B27" s="513" t="s">
        <v>806</v>
      </c>
      <c r="C27" s="177"/>
      <c r="D27" s="501">
        <f t="shared" ref="D27:R27" si="5">D25+SUM(D20:D23)+D26</f>
        <v>1441.2</v>
      </c>
      <c r="E27" s="501">
        <f t="shared" si="5"/>
        <v>1501.4</v>
      </c>
      <c r="F27" s="501">
        <f t="shared" si="5"/>
        <v>1506.7</v>
      </c>
      <c r="G27" s="501">
        <f t="shared" si="5"/>
        <v>1513.7</v>
      </c>
      <c r="H27" s="501">
        <f t="shared" si="5"/>
        <v>1522.4000000000003</v>
      </c>
      <c r="I27" s="501">
        <f t="shared" si="5"/>
        <v>1571.5</v>
      </c>
      <c r="J27" s="501">
        <f t="shared" si="5"/>
        <v>1644.1999999999998</v>
      </c>
      <c r="K27" s="501">
        <f t="shared" si="5"/>
        <v>1803.4</v>
      </c>
      <c r="L27" s="501">
        <f t="shared" si="5"/>
        <v>1696.0999999999997</v>
      </c>
      <c r="M27" s="501">
        <f t="shared" si="5"/>
        <v>1725.9</v>
      </c>
      <c r="N27" s="501">
        <f t="shared" si="5"/>
        <v>1734.2781600000001</v>
      </c>
      <c r="O27" s="501">
        <f t="shared" si="5"/>
        <v>1906.0298400000004</v>
      </c>
      <c r="P27" s="501">
        <f t="shared" si="5"/>
        <v>1884.7240000000002</v>
      </c>
      <c r="Q27" s="501">
        <f t="shared" si="5"/>
        <v>1832.0239999999999</v>
      </c>
      <c r="R27" s="501">
        <f t="shared" si="5"/>
        <v>1823.624</v>
      </c>
      <c r="S27" s="501">
        <f>S25+SUM(S20:S23)+S26</f>
        <v>1820.1019999999999</v>
      </c>
      <c r="T27" s="1337">
        <f>T25+SUM(T20:T23)+T26</f>
        <v>1906.3740000000003</v>
      </c>
      <c r="U27" s="1344">
        <f>U25+SUM(U20:U23)+U26</f>
        <v>1988.674</v>
      </c>
      <c r="V27" s="507">
        <f t="shared" ref="V27" si="6">V25+SUM(V20:V23)+V26</f>
        <v>2029.674</v>
      </c>
      <c r="W27" s="507">
        <f t="shared" ref="W27" si="7">W25+SUM(W20:W23)+W26</f>
        <v>2036.674</v>
      </c>
      <c r="X27" s="507">
        <f t="shared" ref="X27" si="8">X25+SUM(X20:X23)+X26</f>
        <v>2037.223</v>
      </c>
      <c r="Y27" s="507">
        <f t="shared" ref="Y27" si="9">Y25+SUM(Y20:Y23)+Y26</f>
        <v>2086.5698119999997</v>
      </c>
      <c r="Z27" s="507">
        <f t="shared" ref="Z27" si="10">Z25+SUM(Z20:Z23)+Z26</f>
        <v>2093.5698119999997</v>
      </c>
      <c r="AA27" s="507">
        <f t="shared" ref="AA27" si="11">AA25+SUM(AA20:AA23)+AA26</f>
        <v>2100.5698119999997</v>
      </c>
      <c r="AB27" s="507">
        <f t="shared" ref="AB27" si="12">AB25+SUM(AB20:AB23)+AB26</f>
        <v>2109.097812</v>
      </c>
      <c r="AC27" s="507">
        <f t="shared" ref="AC27" si="13">AC25+SUM(AC20:AC23)+AC26</f>
        <v>2145.5432441600001</v>
      </c>
    </row>
    <row r="28" spans="2:101" ht="31.35" customHeight="1" x14ac:dyDescent="0.3">
      <c r="B28" s="1703" t="s">
        <v>476</v>
      </c>
      <c r="C28" s="1704"/>
      <c r="D28" s="503"/>
      <c r="E28" s="504"/>
      <c r="F28" s="504"/>
      <c r="G28" s="504"/>
      <c r="H28" s="504"/>
      <c r="I28" s="504"/>
      <c r="J28" s="504"/>
      <c r="K28" s="504"/>
      <c r="L28" s="504"/>
      <c r="M28" s="504"/>
      <c r="N28" s="504"/>
      <c r="O28" s="504"/>
      <c r="P28" s="504"/>
      <c r="Q28" s="504"/>
      <c r="R28" s="504"/>
      <c r="S28" s="504"/>
      <c r="T28" s="1329"/>
      <c r="U28" s="1346"/>
      <c r="V28" s="507"/>
      <c r="W28" s="507"/>
      <c r="X28" s="507"/>
      <c r="Y28" s="507"/>
      <c r="Z28" s="507"/>
      <c r="AA28" s="507"/>
      <c r="AB28" s="507"/>
      <c r="AC28" s="618"/>
    </row>
    <row r="29" spans="2:101" x14ac:dyDescent="0.3">
      <c r="B29" s="405" t="s">
        <v>812</v>
      </c>
      <c r="C29" s="163" t="s">
        <v>477</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347"/>
      <c r="V29" s="615"/>
      <c r="W29" s="615"/>
      <c r="X29" s="615"/>
      <c r="Y29" s="615"/>
      <c r="Z29" s="615"/>
      <c r="AA29" s="615"/>
      <c r="AB29" s="615"/>
      <c r="AC29" s="632"/>
    </row>
    <row r="30" spans="2:101" x14ac:dyDescent="0.3">
      <c r="B30" s="494" t="s">
        <v>209</v>
      </c>
      <c r="C30" s="163"/>
      <c r="D30" s="528">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334">
        <f>Medicaid!T26</f>
        <v>796.2</v>
      </c>
      <c r="U30" s="1339">
        <f>Medicaid!U26</f>
        <v>813.1</v>
      </c>
      <c r="V30" s="472">
        <f>Medicaid!V26</f>
        <v>815.38788361526656</v>
      </c>
      <c r="W30" s="472">
        <f>Medicaid!W26</f>
        <v>817.68220482915194</v>
      </c>
      <c r="X30" s="472">
        <f>Medicaid!X26</f>
        <v>806.74647211686954</v>
      </c>
      <c r="Y30" s="472">
        <f>Medicaid!Y26</f>
        <v>795.95699457468652</v>
      </c>
      <c r="Z30" s="472">
        <f>Medicaid!Z26</f>
        <v>785.31181617685274</v>
      </c>
      <c r="AA30" s="472">
        <f>Medicaid!AA26</f>
        <v>774.80900705762838</v>
      </c>
      <c r="AB30" s="472">
        <f>Medicaid!AB26</f>
        <v>764.44666316141809</v>
      </c>
      <c r="AC30" s="600">
        <f>Medicaid!AC26</f>
        <v>754.22290589758461</v>
      </c>
    </row>
    <row r="31" spans="2:101" ht="14.85" customHeight="1" x14ac:dyDescent="0.3">
      <c r="B31" s="513" t="s">
        <v>813</v>
      </c>
      <c r="C31" s="177"/>
      <c r="D31" s="527">
        <f>D29-D30</f>
        <v>144.79999999999995</v>
      </c>
      <c r="E31" s="501">
        <f t="shared" ref="E31:O31" si="14">E29-E30</f>
        <v>146.5</v>
      </c>
      <c r="F31" s="501">
        <f t="shared" si="14"/>
        <v>148.80000000000007</v>
      </c>
      <c r="G31" s="501">
        <f t="shared" si="14"/>
        <v>151.10000000000002</v>
      </c>
      <c r="H31" s="501">
        <f t="shared" si="14"/>
        <v>153.09999999999991</v>
      </c>
      <c r="I31" s="501">
        <f t="shared" si="14"/>
        <v>155.79999999999995</v>
      </c>
      <c r="J31" s="501">
        <f t="shared" si="14"/>
        <v>158.59999999999991</v>
      </c>
      <c r="K31" s="501">
        <f t="shared" si="14"/>
        <v>161.19999999999993</v>
      </c>
      <c r="L31" s="501">
        <f t="shared" si="14"/>
        <v>162.30000000000007</v>
      </c>
      <c r="M31" s="501">
        <f t="shared" si="14"/>
        <v>163.60000000000002</v>
      </c>
      <c r="N31" s="501">
        <f t="shared" si="14"/>
        <v>165.30000000000007</v>
      </c>
      <c r="O31" s="501">
        <f t="shared" si="14"/>
        <v>169.89999999999998</v>
      </c>
      <c r="P31" s="501">
        <f>P29-P30</f>
        <v>170.20000000000005</v>
      </c>
      <c r="Q31" s="501">
        <f>Q29-Q30</f>
        <v>171.60000000000002</v>
      </c>
      <c r="R31" s="501">
        <f>R29-R30</f>
        <v>173.20000000000005</v>
      </c>
      <c r="S31" s="109">
        <f>S29-S30</f>
        <v>196.79999999999995</v>
      </c>
      <c r="T31" s="109">
        <f>T29-T30</f>
        <v>249.70000000000005</v>
      </c>
      <c r="U31" s="1340">
        <f>T31*(1+AVERAGE($F$33:$I$33))+U32</f>
        <v>183.57212584485049</v>
      </c>
      <c r="V31" s="507">
        <f t="shared" ref="V31:AC31" si="15">U31*(1+AVERAGE($F$33:$I$33))</f>
        <v>186.41879934456207</v>
      </c>
      <c r="W31" s="507">
        <f t="shared" si="15"/>
        <v>189.30961652881547</v>
      </c>
      <c r="X31" s="507">
        <f t="shared" si="15"/>
        <v>192.24526193866711</v>
      </c>
      <c r="Y31" s="507">
        <f t="shared" si="15"/>
        <v>195.22643073042826</v>
      </c>
      <c r="Z31" s="507">
        <f t="shared" si="15"/>
        <v>198.25382884027687</v>
      </c>
      <c r="AA31" s="507">
        <f t="shared" si="15"/>
        <v>201.32817315142222</v>
      </c>
      <c r="AB31" s="507">
        <f t="shared" si="15"/>
        <v>204.45019166386174</v>
      </c>
      <c r="AC31" s="618">
        <f t="shared" si="15"/>
        <v>207.62062366677031</v>
      </c>
    </row>
    <row r="32" spans="2:101" ht="14.85" customHeight="1" x14ac:dyDescent="0.3">
      <c r="B32" s="513" t="s">
        <v>1708</v>
      </c>
      <c r="C32" s="177"/>
      <c r="D32" s="527"/>
      <c r="E32" s="501"/>
      <c r="F32" s="501"/>
      <c r="G32" s="501"/>
      <c r="H32" s="501"/>
      <c r="I32" s="501"/>
      <c r="J32" s="501"/>
      <c r="K32" s="501"/>
      <c r="L32" s="501"/>
      <c r="M32" s="501"/>
      <c r="N32" s="501"/>
      <c r="O32" s="501"/>
      <c r="P32" s="501"/>
      <c r="Q32" s="501"/>
      <c r="R32" s="501"/>
      <c r="S32" s="109"/>
      <c r="T32" s="1329"/>
      <c r="U32" s="1340">
        <v>-70</v>
      </c>
      <c r="V32" s="507"/>
      <c r="W32" s="507"/>
      <c r="X32" s="507"/>
      <c r="Y32" s="507"/>
      <c r="Z32" s="507"/>
      <c r="AA32" s="507"/>
      <c r="AB32" s="507"/>
      <c r="AC32" s="618"/>
    </row>
    <row r="33" spans="2:39" x14ac:dyDescent="0.3">
      <c r="B33" s="586" t="s">
        <v>814</v>
      </c>
      <c r="C33" s="230"/>
      <c r="D33" s="529"/>
      <c r="E33" s="511">
        <f>E31/D31-1</f>
        <v>1.1740331491713052E-2</v>
      </c>
      <c r="F33" s="511">
        <f t="shared" ref="F33:N33" si="16">F31/E31-1</f>
        <v>1.5699658703072217E-2</v>
      </c>
      <c r="G33" s="511">
        <f t="shared" si="16"/>
        <v>1.5456989247311537E-2</v>
      </c>
      <c r="H33" s="511">
        <f t="shared" si="16"/>
        <v>1.3236267372600086E-2</v>
      </c>
      <c r="I33" s="511">
        <f t="shared" si="16"/>
        <v>1.7635532331809589E-2</v>
      </c>
      <c r="J33" s="511">
        <f t="shared" si="16"/>
        <v>1.7971758664954818E-2</v>
      </c>
      <c r="K33" s="511">
        <f t="shared" si="16"/>
        <v>1.639344262295106E-2</v>
      </c>
      <c r="L33" s="511">
        <f t="shared" si="16"/>
        <v>6.823821339951186E-3</v>
      </c>
      <c r="M33" s="511">
        <f t="shared" si="16"/>
        <v>8.0098582871224178E-3</v>
      </c>
      <c r="N33" s="511">
        <f t="shared" si="16"/>
        <v>1.0391198044010119E-2</v>
      </c>
      <c r="O33" s="511">
        <f>O31/N31-1</f>
        <v>2.7828191167573513E-2</v>
      </c>
      <c r="P33" s="511">
        <f t="shared" ref="P33:S33" si="17">P31/O31-1</f>
        <v>1.7657445556213958E-3</v>
      </c>
      <c r="Q33" s="511">
        <f t="shared" si="17"/>
        <v>8.2256169212688857E-3</v>
      </c>
      <c r="R33" s="511">
        <f t="shared" si="17"/>
        <v>9.3240093240094524E-3</v>
      </c>
      <c r="S33" s="572">
        <f t="shared" si="17"/>
        <v>0.13625866050808266</v>
      </c>
      <c r="T33" s="488"/>
      <c r="U33" s="1348"/>
      <c r="V33" s="522"/>
      <c r="W33" s="522"/>
      <c r="X33" s="522"/>
      <c r="Y33" s="522"/>
      <c r="Z33" s="522"/>
      <c r="AA33" s="522"/>
      <c r="AB33" s="522"/>
      <c r="AC33" s="523"/>
    </row>
    <row r="36" spans="2:39" x14ac:dyDescent="0.3">
      <c r="B36" s="1701" t="s">
        <v>468</v>
      </c>
      <c r="C36" s="1701"/>
      <c r="U36" s="1108"/>
      <c r="V36" s="1108"/>
      <c r="W36" s="1108"/>
      <c r="X36" s="1108"/>
      <c r="Y36" s="1108"/>
      <c r="Z36" s="1108"/>
      <c r="AA36" s="1108"/>
      <c r="AB36" s="1108"/>
      <c r="AC36" s="1109"/>
    </row>
    <row r="37" spans="2:39" x14ac:dyDescent="0.3">
      <c r="B37" s="1272" t="s">
        <v>469</v>
      </c>
      <c r="C37" s="1203" t="s">
        <v>470</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600">
        <v>3271.5604137185696</v>
      </c>
      <c r="AD37" s="1166">
        <f t="shared" ref="AD37:AD58" si="18">U12-U37</f>
        <v>31.542644373592339</v>
      </c>
      <c r="AE37" s="1166"/>
      <c r="AF37" s="1166"/>
      <c r="AG37" s="1166"/>
      <c r="AH37" s="1166"/>
      <c r="AI37" s="1166"/>
      <c r="AJ37" s="1166"/>
      <c r="AK37" s="1166"/>
      <c r="AL37" s="1166"/>
      <c r="AM37" s="1166"/>
    </row>
    <row r="38" spans="2:39" x14ac:dyDescent="0.3">
      <c r="B38" s="1272"/>
      <c r="C38" s="1203"/>
      <c r="U38" s="1114"/>
      <c r="V38" s="1114"/>
      <c r="W38" s="1114"/>
      <c r="X38" s="1114"/>
      <c r="Y38" s="1114"/>
      <c r="Z38" s="1114"/>
      <c r="AA38" s="1114"/>
      <c r="AB38" s="1114"/>
      <c r="AC38" s="241"/>
      <c r="AD38" s="1166">
        <f t="shared" si="18"/>
        <v>0</v>
      </c>
      <c r="AE38" s="1166"/>
      <c r="AF38" s="1166"/>
      <c r="AG38" s="1166"/>
      <c r="AH38" s="1166"/>
      <c r="AI38" s="1166"/>
      <c r="AJ38" s="1166"/>
      <c r="AK38" s="1166"/>
      <c r="AL38" s="1166"/>
      <c r="AM38" s="1166"/>
    </row>
    <row r="39" spans="2:39" ht="28.2" x14ac:dyDescent="0.3">
      <c r="B39" s="1233" t="s">
        <v>471</v>
      </c>
      <c r="C39" s="1203"/>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600">
        <v>27.063999999999986</v>
      </c>
      <c r="AD39" s="1166">
        <f t="shared" si="18"/>
        <v>-3.0999999999995254E-2</v>
      </c>
      <c r="AE39" s="1166"/>
      <c r="AF39" s="1166"/>
      <c r="AG39" s="1166"/>
      <c r="AH39" s="1166"/>
      <c r="AI39" s="1166"/>
      <c r="AJ39" s="1166"/>
      <c r="AK39" s="1166"/>
      <c r="AL39" s="1166"/>
      <c r="AM39" s="1166"/>
    </row>
    <row r="40" spans="2:39" x14ac:dyDescent="0.3">
      <c r="B40" s="1233" t="s">
        <v>55</v>
      </c>
      <c r="C40" s="1203"/>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600">
        <v>1178.396039178409</v>
      </c>
      <c r="AD40" s="1166">
        <f t="shared" si="18"/>
        <v>-0.9868006264075575</v>
      </c>
      <c r="AE40" s="1166"/>
      <c r="AF40" s="1166"/>
      <c r="AG40" s="1166"/>
      <c r="AH40" s="1166"/>
      <c r="AI40" s="1166"/>
      <c r="AJ40" s="1166"/>
      <c r="AK40" s="1166"/>
      <c r="AL40" s="1166"/>
      <c r="AM40" s="1166"/>
    </row>
    <row r="41" spans="2:39" x14ac:dyDescent="0.3">
      <c r="B41" s="1272" t="s">
        <v>472</v>
      </c>
      <c r="C41" s="1203"/>
      <c r="U41" s="472">
        <v>0</v>
      </c>
      <c r="V41" s="472">
        <v>0</v>
      </c>
      <c r="W41" s="472">
        <v>0</v>
      </c>
      <c r="X41" s="472">
        <v>0</v>
      </c>
      <c r="Y41" s="472">
        <v>0</v>
      </c>
      <c r="Z41" s="472">
        <v>0</v>
      </c>
      <c r="AA41" s="472">
        <v>0</v>
      </c>
      <c r="AB41" s="472">
        <v>0</v>
      </c>
      <c r="AC41" s="600">
        <v>0</v>
      </c>
      <c r="AD41" s="1166">
        <f t="shared" si="18"/>
        <v>0</v>
      </c>
      <c r="AE41" s="1166"/>
      <c r="AF41" s="1166"/>
      <c r="AG41" s="1166"/>
      <c r="AH41" s="1166"/>
      <c r="AI41" s="1166"/>
      <c r="AJ41" s="1166"/>
      <c r="AK41" s="1166"/>
      <c r="AL41" s="1166"/>
      <c r="AM41" s="1166"/>
    </row>
    <row r="42" spans="2:39" x14ac:dyDescent="0.3">
      <c r="B42" s="1229" t="s">
        <v>475</v>
      </c>
      <c r="C42" s="1273"/>
      <c r="U42" s="507">
        <v>12</v>
      </c>
      <c r="V42" s="507">
        <v>12</v>
      </c>
      <c r="W42" s="507">
        <v>12</v>
      </c>
      <c r="X42" s="507">
        <v>4.2219999999999995</v>
      </c>
      <c r="Y42" s="507">
        <v>4.2219999999999995</v>
      </c>
      <c r="Z42" s="507">
        <v>4.2219999999999995</v>
      </c>
      <c r="AA42" s="507">
        <v>4.2219999999999995</v>
      </c>
      <c r="AB42" s="507">
        <v>2.3719999999999999</v>
      </c>
      <c r="AC42" s="618">
        <v>2.3719999999999999</v>
      </c>
      <c r="AD42" s="1166">
        <f t="shared" si="18"/>
        <v>0</v>
      </c>
      <c r="AE42" s="1166"/>
      <c r="AF42" s="1166"/>
      <c r="AG42" s="1166"/>
      <c r="AH42" s="1166"/>
      <c r="AI42" s="1166"/>
      <c r="AJ42" s="1166"/>
      <c r="AK42" s="1166"/>
      <c r="AL42" s="1166"/>
      <c r="AM42" s="1166"/>
    </row>
    <row r="43" spans="2:39" x14ac:dyDescent="0.3">
      <c r="B43" s="1233" t="s">
        <v>218</v>
      </c>
      <c r="C43" s="1274"/>
      <c r="U43" s="472">
        <v>1.4159999999999999</v>
      </c>
      <c r="V43" s="472">
        <v>1.4159999999999999</v>
      </c>
      <c r="W43" s="472">
        <v>1.4159999999999999</v>
      </c>
      <c r="X43" s="472">
        <v>1.4790000000000001</v>
      </c>
      <c r="Y43" s="472">
        <v>1.4790000000000001</v>
      </c>
      <c r="Z43" s="472">
        <v>1.4790000000000001</v>
      </c>
      <c r="AA43" s="472">
        <v>1.4790000000000001</v>
      </c>
      <c r="AB43" s="472">
        <v>1.63</v>
      </c>
      <c r="AC43" s="600">
        <v>1.63</v>
      </c>
      <c r="AD43" s="1166">
        <f t="shared" si="18"/>
        <v>0</v>
      </c>
      <c r="AE43" s="1166"/>
      <c r="AF43" s="1166"/>
      <c r="AG43" s="1166"/>
      <c r="AH43" s="1166"/>
      <c r="AI43" s="1166"/>
      <c r="AJ43" s="1166"/>
      <c r="AK43" s="1166"/>
      <c r="AL43" s="1166"/>
      <c r="AM43" s="1166"/>
    </row>
    <row r="44" spans="2:39" x14ac:dyDescent="0.3">
      <c r="B44" s="1233" t="s">
        <v>49</v>
      </c>
      <c r="C44" s="1274"/>
      <c r="U44" s="614">
        <v>0</v>
      </c>
      <c r="V44" s="614">
        <v>0</v>
      </c>
      <c r="W44" s="614">
        <v>0</v>
      </c>
      <c r="X44" s="614">
        <v>0</v>
      </c>
      <c r="Y44" s="614">
        <v>0</v>
      </c>
      <c r="Z44" s="614">
        <v>0</v>
      </c>
      <c r="AA44" s="614">
        <v>0</v>
      </c>
      <c r="AB44" s="614">
        <v>0</v>
      </c>
      <c r="AC44" s="626">
        <v>0</v>
      </c>
      <c r="AD44" s="1166">
        <f t="shared" si="18"/>
        <v>0</v>
      </c>
      <c r="AE44" s="1166"/>
      <c r="AF44" s="1166"/>
      <c r="AG44" s="1166"/>
      <c r="AH44" s="1166"/>
      <c r="AI44" s="1166"/>
      <c r="AJ44" s="1166"/>
      <c r="AK44" s="1166"/>
      <c r="AL44" s="1166"/>
      <c r="AM44" s="1166"/>
    </row>
    <row r="45" spans="2:39" ht="28.2" x14ac:dyDescent="0.3">
      <c r="B45" s="1233" t="s">
        <v>1446</v>
      </c>
      <c r="C45" s="1203"/>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600">
        <v>68.231374999999986</v>
      </c>
      <c r="AD45" s="1209">
        <f t="shared" si="18"/>
        <v>-1.2748749999999802</v>
      </c>
      <c r="AE45" s="1166"/>
      <c r="AF45" s="1166"/>
      <c r="AG45" s="1166"/>
      <c r="AH45" s="1166"/>
      <c r="AI45" s="1166"/>
      <c r="AJ45" s="1166"/>
      <c r="AK45" s="1166"/>
      <c r="AL45" s="1166"/>
      <c r="AM45" s="1166"/>
    </row>
    <row r="46" spans="2:39" x14ac:dyDescent="0.3">
      <c r="B46" s="1233" t="s">
        <v>804</v>
      </c>
      <c r="C46" s="1203" t="s">
        <v>832</v>
      </c>
      <c r="U46" s="472">
        <v>34</v>
      </c>
      <c r="V46" s="472">
        <v>34</v>
      </c>
      <c r="W46" s="472">
        <v>34</v>
      </c>
      <c r="X46" s="472">
        <v>34</v>
      </c>
      <c r="Y46" s="472">
        <v>34</v>
      </c>
      <c r="Z46" s="472">
        <v>34</v>
      </c>
      <c r="AA46" s="472">
        <v>34</v>
      </c>
      <c r="AB46" s="472">
        <v>34</v>
      </c>
      <c r="AC46" s="600">
        <v>34</v>
      </c>
      <c r="AD46" s="1209">
        <f t="shared" si="18"/>
        <v>-34</v>
      </c>
      <c r="AE46" s="1166"/>
      <c r="AF46" s="1166"/>
      <c r="AG46" s="1166"/>
      <c r="AH46" s="1166"/>
      <c r="AI46" s="1166"/>
      <c r="AJ46" s="1166"/>
      <c r="AK46" s="1166"/>
      <c r="AL46" s="1166"/>
      <c r="AM46" s="1166"/>
    </row>
    <row r="47" spans="2:39" x14ac:dyDescent="0.3">
      <c r="B47" s="1233" t="s">
        <v>473</v>
      </c>
      <c r="C47" s="1203"/>
      <c r="U47" s="472">
        <v>0</v>
      </c>
      <c r="V47" s="472">
        <v>0</v>
      </c>
      <c r="W47" s="472">
        <v>0</v>
      </c>
      <c r="X47" s="472">
        <v>0</v>
      </c>
      <c r="Y47" s="472">
        <v>0</v>
      </c>
      <c r="Z47" s="472">
        <v>0</v>
      </c>
      <c r="AA47" s="472">
        <v>0</v>
      </c>
      <c r="AB47" s="472">
        <v>0</v>
      </c>
      <c r="AC47" s="600">
        <v>0</v>
      </c>
      <c r="AD47" s="1209">
        <f t="shared" si="18"/>
        <v>0</v>
      </c>
      <c r="AE47" s="1166"/>
      <c r="AF47" s="1166"/>
      <c r="AG47" s="1166"/>
      <c r="AH47" s="1166"/>
      <c r="AI47" s="1166"/>
      <c r="AJ47" s="1166"/>
      <c r="AK47" s="1166"/>
      <c r="AL47" s="1166"/>
      <c r="AM47" s="1166"/>
    </row>
    <row r="48" spans="2:39" x14ac:dyDescent="0.3">
      <c r="B48" s="1272" t="s">
        <v>805</v>
      </c>
      <c r="C48" s="1203"/>
      <c r="U48" s="472">
        <v>10.495779999999968</v>
      </c>
      <c r="V48" s="472">
        <v>10.495779999999968</v>
      </c>
      <c r="W48" s="472">
        <v>10.495779999999968</v>
      </c>
      <c r="X48" s="472">
        <v>10.495779999999968</v>
      </c>
      <c r="Y48" s="472">
        <v>10.495779999999968</v>
      </c>
      <c r="Z48" s="472">
        <v>10.495779999999968</v>
      </c>
      <c r="AA48" s="472">
        <v>10.495779999999968</v>
      </c>
      <c r="AB48" s="472">
        <v>10.495779999999968</v>
      </c>
      <c r="AC48" s="600">
        <v>10.495779999999968</v>
      </c>
      <c r="AD48" s="1209">
        <f t="shared" si="18"/>
        <v>67.835319999999683</v>
      </c>
      <c r="AE48" s="1166"/>
      <c r="AF48" s="1166"/>
      <c r="AG48" s="1166"/>
      <c r="AH48" s="1166"/>
      <c r="AI48" s="1166"/>
      <c r="AJ48" s="1166"/>
      <c r="AK48" s="1166"/>
      <c r="AL48" s="1166"/>
      <c r="AM48" s="1166"/>
    </row>
    <row r="49" spans="2:39" x14ac:dyDescent="0.3">
      <c r="B49" s="1229" t="s">
        <v>802</v>
      </c>
      <c r="C49" s="1273"/>
      <c r="U49" s="601">
        <v>1.4159999999999999</v>
      </c>
      <c r="V49" s="601">
        <v>1.4159999999999999</v>
      </c>
      <c r="W49" s="601">
        <v>1.4159999999999999</v>
      </c>
      <c r="X49" s="601">
        <v>1.4790000000000001</v>
      </c>
      <c r="Y49" s="601">
        <v>1.4790000000000001</v>
      </c>
      <c r="Z49" s="601">
        <v>1.4790000000000001</v>
      </c>
      <c r="AA49" s="601">
        <v>1.4790000000000001</v>
      </c>
      <c r="AB49" s="601">
        <v>1.63</v>
      </c>
      <c r="AC49" s="602">
        <v>1.63</v>
      </c>
      <c r="AD49" s="1210">
        <f t="shared" si="18"/>
        <v>0</v>
      </c>
      <c r="AE49" s="1166"/>
      <c r="AF49" s="1166"/>
      <c r="AG49" s="1166"/>
      <c r="AH49" s="1166"/>
      <c r="AI49" s="1166"/>
      <c r="AJ49" s="1166"/>
      <c r="AK49" s="1166"/>
      <c r="AL49" s="1166"/>
      <c r="AM49" s="1166"/>
    </row>
    <row r="50" spans="2:39" ht="28.2" x14ac:dyDescent="0.3">
      <c r="B50" s="1233" t="s">
        <v>810</v>
      </c>
      <c r="C50" s="1203"/>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600">
        <v>1949.3712195401604</v>
      </c>
      <c r="AD50" s="1209">
        <f t="shared" si="18"/>
        <v>0</v>
      </c>
      <c r="AE50" s="1166"/>
      <c r="AF50" s="1166"/>
      <c r="AG50" s="1166"/>
      <c r="AH50" s="1166"/>
      <c r="AI50" s="1166"/>
      <c r="AJ50" s="1166"/>
      <c r="AK50" s="1166"/>
      <c r="AL50" s="1166"/>
      <c r="AM50" s="1166"/>
    </row>
    <row r="51" spans="2:39" x14ac:dyDescent="0.3">
      <c r="B51" s="1275" t="s">
        <v>1194</v>
      </c>
      <c r="C51" s="1276"/>
      <c r="U51" s="597">
        <v>21.89</v>
      </c>
      <c r="V51" s="597">
        <v>21.89</v>
      </c>
      <c r="W51" s="597">
        <v>21.89</v>
      </c>
      <c r="X51" s="597">
        <v>15.439</v>
      </c>
      <c r="Y51" s="597">
        <v>15.439</v>
      </c>
      <c r="Z51" s="597">
        <v>15.439</v>
      </c>
      <c r="AA51" s="597">
        <v>15.439</v>
      </c>
      <c r="AB51" s="597">
        <v>16.966999999999999</v>
      </c>
      <c r="AC51" s="598">
        <v>16.966999999999999</v>
      </c>
      <c r="AD51" s="1209">
        <f t="shared" si="18"/>
        <v>0</v>
      </c>
      <c r="AE51" s="1166"/>
      <c r="AF51" s="1166"/>
      <c r="AG51" s="1166"/>
      <c r="AH51" s="1166"/>
      <c r="AI51" s="1166"/>
      <c r="AJ51" s="1166"/>
      <c r="AK51" s="1166"/>
      <c r="AL51" s="1166"/>
      <c r="AM51" s="1166"/>
    </row>
    <row r="52" spans="2:39" x14ac:dyDescent="0.3">
      <c r="B52" s="1273" t="s">
        <v>806</v>
      </c>
      <c r="C52" s="1273"/>
      <c r="U52" s="507">
        <v>1956.1135550000004</v>
      </c>
      <c r="V52" s="507">
        <v>1963.1135550000004</v>
      </c>
      <c r="W52" s="507">
        <v>1970.1135550000004</v>
      </c>
      <c r="X52" s="507">
        <v>1970.6625550000003</v>
      </c>
      <c r="Y52" s="507">
        <v>2020.0585190120005</v>
      </c>
      <c r="Z52" s="507">
        <v>2027.0585190120005</v>
      </c>
      <c r="AA52" s="507">
        <v>2034.0585190120005</v>
      </c>
      <c r="AB52" s="507">
        <v>2042.5865190120005</v>
      </c>
      <c r="AC52" s="507">
        <v>2079.0653745401605</v>
      </c>
      <c r="AD52" s="1166">
        <f t="shared" si="18"/>
        <v>32.560444999999618</v>
      </c>
      <c r="AE52" s="1166"/>
      <c r="AF52" s="1166"/>
      <c r="AG52" s="1166"/>
      <c r="AH52" s="1166"/>
      <c r="AI52" s="1166"/>
      <c r="AJ52" s="1166"/>
      <c r="AK52" s="1166"/>
      <c r="AL52" s="1166"/>
      <c r="AM52" s="1166"/>
    </row>
    <row r="53" spans="2:39" x14ac:dyDescent="0.3">
      <c r="B53" s="1701" t="s">
        <v>476</v>
      </c>
      <c r="C53" s="1701"/>
      <c r="U53" s="507"/>
      <c r="V53" s="507"/>
      <c r="W53" s="507"/>
      <c r="X53" s="507"/>
      <c r="Y53" s="507"/>
      <c r="Z53" s="507"/>
      <c r="AA53" s="507"/>
      <c r="AB53" s="507"/>
      <c r="AC53" s="618"/>
      <c r="AD53" s="1166">
        <f t="shared" si="18"/>
        <v>0</v>
      </c>
      <c r="AE53" s="1166"/>
      <c r="AF53" s="1166"/>
      <c r="AG53" s="1166"/>
      <c r="AH53" s="1166"/>
      <c r="AI53" s="1166"/>
      <c r="AJ53" s="1166"/>
      <c r="AK53" s="1166"/>
      <c r="AL53" s="1166"/>
      <c r="AM53" s="1166"/>
    </row>
    <row r="54" spans="2:39" x14ac:dyDescent="0.3">
      <c r="B54" s="1272" t="s">
        <v>812</v>
      </c>
      <c r="C54" s="1203" t="s">
        <v>477</v>
      </c>
      <c r="U54" s="615"/>
      <c r="V54" s="615"/>
      <c r="W54" s="615"/>
      <c r="X54" s="615"/>
      <c r="Y54" s="615"/>
      <c r="Z54" s="615"/>
      <c r="AA54" s="615"/>
      <c r="AB54" s="615"/>
      <c r="AC54" s="632"/>
      <c r="AD54" s="1166">
        <f t="shared" si="18"/>
        <v>0</v>
      </c>
      <c r="AE54" s="1166"/>
      <c r="AF54" s="1166"/>
      <c r="AG54" s="1166"/>
      <c r="AH54" s="1166"/>
      <c r="AI54" s="1166"/>
      <c r="AJ54" s="1166"/>
      <c r="AK54" s="1166"/>
      <c r="AL54" s="1166"/>
      <c r="AM54" s="1166"/>
    </row>
    <row r="55" spans="2:39" x14ac:dyDescent="0.3">
      <c r="B55" s="1203" t="s">
        <v>209</v>
      </c>
      <c r="C55" s="1203"/>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600">
        <v>755.3786464234729</v>
      </c>
      <c r="AD55" s="1166">
        <f t="shared" si="18"/>
        <v>12.998660000703353</v>
      </c>
      <c r="AE55" s="1166"/>
      <c r="AF55" s="1166"/>
      <c r="AG55" s="1166"/>
      <c r="AH55" s="1166"/>
      <c r="AI55" s="1166"/>
      <c r="AJ55" s="1166"/>
      <c r="AK55" s="1166"/>
      <c r="AL55" s="1166"/>
      <c r="AM55" s="1166"/>
    </row>
    <row r="56" spans="2:39" x14ac:dyDescent="0.3">
      <c r="B56" s="1273" t="s">
        <v>813</v>
      </c>
      <c r="C56" s="1273"/>
      <c r="U56" s="507">
        <v>183.57212584485049</v>
      </c>
      <c r="V56" s="507">
        <v>186.41879934456207</v>
      </c>
      <c r="W56" s="507">
        <v>189.30961652881547</v>
      </c>
      <c r="X56" s="507">
        <v>192.24526193866711</v>
      </c>
      <c r="Y56" s="507">
        <v>195.22643073042826</v>
      </c>
      <c r="Z56" s="507">
        <v>198.25382884027687</v>
      </c>
      <c r="AA56" s="507">
        <v>201.32817315142222</v>
      </c>
      <c r="AB56" s="507">
        <v>204.45019166386174</v>
      </c>
      <c r="AC56" s="618">
        <v>207.62062366677031</v>
      </c>
      <c r="AD56" s="1166">
        <f t="shared" si="18"/>
        <v>0</v>
      </c>
      <c r="AE56" s="1166"/>
      <c r="AF56" s="1166"/>
      <c r="AG56" s="1166"/>
      <c r="AH56" s="1166"/>
      <c r="AI56" s="1166"/>
      <c r="AJ56" s="1166"/>
      <c r="AK56" s="1166"/>
      <c r="AL56" s="1166"/>
      <c r="AM56" s="1166"/>
    </row>
    <row r="57" spans="2:39" x14ac:dyDescent="0.3">
      <c r="B57" s="1273" t="s">
        <v>1708</v>
      </c>
      <c r="C57" s="1273"/>
      <c r="U57" s="507">
        <v>-70</v>
      </c>
      <c r="V57" s="507"/>
      <c r="W57" s="507"/>
      <c r="X57" s="507"/>
      <c r="Y57" s="507"/>
      <c r="Z57" s="507"/>
      <c r="AA57" s="507"/>
      <c r="AB57" s="507"/>
      <c r="AC57" s="618"/>
      <c r="AD57" s="1166">
        <f t="shared" si="18"/>
        <v>0</v>
      </c>
      <c r="AE57" s="1166"/>
      <c r="AF57" s="1166"/>
      <c r="AG57" s="1166"/>
      <c r="AH57" s="1166"/>
      <c r="AI57" s="1166"/>
      <c r="AJ57" s="1166"/>
      <c r="AK57" s="1166"/>
      <c r="AL57" s="1166"/>
      <c r="AM57" s="1166"/>
    </row>
    <row r="58" spans="2:39" x14ac:dyDescent="0.3">
      <c r="B58" s="1277" t="s">
        <v>814</v>
      </c>
      <c r="C58" s="1203"/>
      <c r="U58" s="522"/>
      <c r="V58" s="522"/>
      <c r="W58" s="522"/>
      <c r="X58" s="522"/>
      <c r="Y58" s="522"/>
      <c r="Z58" s="522"/>
      <c r="AA58" s="522"/>
      <c r="AB58" s="522"/>
      <c r="AC58" s="523"/>
      <c r="AD58" s="1166">
        <f t="shared" si="18"/>
        <v>0</v>
      </c>
      <c r="AE58" s="1166"/>
      <c r="AF58" s="1166"/>
      <c r="AG58" s="1166"/>
      <c r="AH58" s="1166"/>
      <c r="AI58" s="1166"/>
      <c r="AJ58" s="1166"/>
      <c r="AK58" s="1166"/>
      <c r="AL58" s="1166"/>
      <c r="AM58" s="1166"/>
    </row>
    <row r="60" spans="2:39" x14ac:dyDescent="0.3">
      <c r="U60" s="1604" t="s">
        <v>2228</v>
      </c>
      <c r="V60" s="1604"/>
      <c r="W60" s="1604"/>
      <c r="X60" s="1604"/>
    </row>
    <row r="61" spans="2:39" x14ac:dyDescent="0.3">
      <c r="U61" s="1604"/>
      <c r="V61" s="1604"/>
      <c r="W61" s="1604"/>
      <c r="X61" s="1604"/>
    </row>
    <row r="62" spans="2:39" x14ac:dyDescent="0.3">
      <c r="U62" s="1604"/>
      <c r="V62" s="1604"/>
      <c r="W62" s="1604"/>
      <c r="X62" s="1604"/>
    </row>
    <row r="64" spans="2:39" x14ac:dyDescent="0.3">
      <c r="P64" s="401"/>
      <c r="Q64" s="401"/>
    </row>
    <row r="65" spans="2:29" x14ac:dyDescent="0.3">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
      <c r="B66" s="1705" t="s">
        <v>480</v>
      </c>
      <c r="C66" s="1705"/>
      <c r="D66" s="1705"/>
      <c r="E66" s="1705"/>
      <c r="F66" s="1705"/>
      <c r="G66" s="1705"/>
      <c r="H66" s="1705"/>
      <c r="I66" s="1705"/>
      <c r="J66" s="1705"/>
      <c r="K66" s="1705"/>
      <c r="L66" s="1705"/>
      <c r="M66" s="1705"/>
      <c r="N66" s="1705"/>
      <c r="O66" s="1705"/>
      <c r="P66" s="1705"/>
      <c r="Q66" s="1705"/>
      <c r="R66" s="1705"/>
      <c r="S66" s="1705"/>
      <c r="T66" s="1705"/>
      <c r="U66" s="1705"/>
      <c r="V66" s="1705"/>
      <c r="W66" s="1705"/>
      <c r="X66" s="1705"/>
      <c r="Y66" s="1705"/>
      <c r="Z66" s="1705"/>
      <c r="AA66" s="1705"/>
      <c r="AB66" s="1705"/>
      <c r="AC66" s="1705"/>
    </row>
    <row r="67" spans="2:29" ht="14.85" customHeight="1" x14ac:dyDescent="0.3">
      <c r="B67" s="1617" t="s">
        <v>481</v>
      </c>
      <c r="C67" s="1618"/>
      <c r="D67" s="1631" t="s">
        <v>280</v>
      </c>
      <c r="E67" s="1632"/>
      <c r="F67" s="1632"/>
      <c r="G67" s="1632"/>
      <c r="H67" s="1632"/>
      <c r="I67" s="1632"/>
      <c r="J67" s="1632"/>
      <c r="K67" s="1632"/>
      <c r="L67" s="1632"/>
      <c r="M67" s="1632"/>
      <c r="N67" s="1632"/>
      <c r="O67" s="1632"/>
      <c r="P67" s="1632"/>
      <c r="Q67" s="1659"/>
      <c r="R67" s="1659"/>
      <c r="S67" s="1659"/>
      <c r="T67" s="1660"/>
      <c r="U67" s="1246"/>
      <c r="V67" s="1627" t="s">
        <v>281</v>
      </c>
      <c r="W67" s="1605"/>
      <c r="X67" s="1605"/>
      <c r="Y67" s="1605"/>
      <c r="Z67" s="1605"/>
      <c r="AA67" s="1605"/>
      <c r="AB67" s="1605"/>
      <c r="AC67" s="1606"/>
    </row>
    <row r="68" spans="2:29" x14ac:dyDescent="0.3">
      <c r="B68" s="1617"/>
      <c r="C68" s="1618"/>
      <c r="D68" s="127">
        <v>2018</v>
      </c>
      <c r="E68" s="1600">
        <v>2019</v>
      </c>
      <c r="F68" s="1622"/>
      <c r="G68" s="1622"/>
      <c r="H68" s="1637"/>
      <c r="I68" s="1600">
        <v>2020</v>
      </c>
      <c r="J68" s="1622"/>
      <c r="K68" s="1622"/>
      <c r="L68" s="1622"/>
      <c r="M68" s="1600">
        <v>2021</v>
      </c>
      <c r="N68" s="1622"/>
      <c r="O68" s="1622"/>
      <c r="P68" s="1622"/>
      <c r="Q68" s="1600">
        <v>2022</v>
      </c>
      <c r="R68" s="1601"/>
      <c r="S68" s="1601"/>
      <c r="T68" s="1637"/>
      <c r="U68" s="1242"/>
      <c r="V68" s="1243">
        <v>2023</v>
      </c>
      <c r="W68" s="1243"/>
      <c r="X68" s="1244"/>
      <c r="Y68" s="1609">
        <v>2024</v>
      </c>
      <c r="Z68" s="1607"/>
      <c r="AA68" s="1607"/>
      <c r="AB68" s="1608"/>
      <c r="AC68" s="178">
        <v>2025</v>
      </c>
    </row>
    <row r="69" spans="2:29" x14ac:dyDescent="0.3">
      <c r="B69" s="1619"/>
      <c r="C69" s="1620"/>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40" t="s">
        <v>283</v>
      </c>
      <c r="V69" s="190" t="s">
        <v>284</v>
      </c>
      <c r="W69" s="190" t="s">
        <v>238</v>
      </c>
      <c r="X69" s="191" t="s">
        <v>282</v>
      </c>
      <c r="Y69" s="189" t="s">
        <v>283</v>
      </c>
      <c r="Z69" s="186" t="s">
        <v>284</v>
      </c>
      <c r="AA69" s="190" t="s">
        <v>238</v>
      </c>
      <c r="AB69" s="190" t="s">
        <v>282</v>
      </c>
      <c r="AC69" s="192" t="s">
        <v>283</v>
      </c>
    </row>
    <row r="70" spans="2:29" x14ac:dyDescent="0.3">
      <c r="B70" s="494" t="s">
        <v>1447</v>
      </c>
      <c r="D70" s="171"/>
      <c r="E70" s="172"/>
      <c r="F70" s="172"/>
      <c r="G70" s="172"/>
      <c r="H70" s="172"/>
      <c r="I70" s="498">
        <f>(I71-AVERAGE($E71:$H71))</f>
        <v>5.0234999999999914</v>
      </c>
      <c r="J70" s="498">
        <f t="shared" ref="J70:N70" si="19">(J71-AVERAGE($E71:$H71))</f>
        <v>45.406499999999987</v>
      </c>
      <c r="K70" s="498">
        <f t="shared" si="19"/>
        <v>50.178499999999993</v>
      </c>
      <c r="L70" s="498">
        <f t="shared" si="19"/>
        <v>60.014499999999991</v>
      </c>
      <c r="M70" s="498">
        <f t="shared" si="19"/>
        <v>86.04249999999999</v>
      </c>
      <c r="N70" s="498">
        <f t="shared" si="19"/>
        <v>100.69149999999999</v>
      </c>
      <c r="O70" s="498">
        <f t="shared" ref="O70:U70" si="20">(O71-AVERAGE($E71:$H71))</f>
        <v>95.460499999999996</v>
      </c>
      <c r="P70" s="498">
        <f t="shared" si="20"/>
        <v>100.72550000000001</v>
      </c>
      <c r="Q70" s="498">
        <f t="shared" si="20"/>
        <v>80.643499999999989</v>
      </c>
      <c r="R70" s="498">
        <f t="shared" si="20"/>
        <v>63.702499999999993</v>
      </c>
      <c r="S70" s="499">
        <f t="shared" si="20"/>
        <v>56.879499999999986</v>
      </c>
      <c r="T70" s="1206">
        <f t="shared" si="20"/>
        <v>71.822499999999991</v>
      </c>
      <c r="U70" s="1207">
        <f t="shared" si="20"/>
        <v>66.956500000000005</v>
      </c>
      <c r="V70" s="617">
        <f>U70</f>
        <v>66.956500000000005</v>
      </c>
      <c r="W70" s="617">
        <f t="shared" ref="W70:AC70" si="21">V70</f>
        <v>66.956500000000005</v>
      </c>
      <c r="X70" s="617">
        <f t="shared" si="21"/>
        <v>66.956500000000005</v>
      </c>
      <c r="Y70" s="617">
        <f t="shared" si="21"/>
        <v>66.956500000000005</v>
      </c>
      <c r="Z70" s="617">
        <f t="shared" si="21"/>
        <v>66.956500000000005</v>
      </c>
      <c r="AA70" s="617">
        <f t="shared" si="21"/>
        <v>66.956500000000005</v>
      </c>
      <c r="AB70" s="617">
        <f t="shared" si="21"/>
        <v>66.956500000000005</v>
      </c>
      <c r="AC70" s="617">
        <f t="shared" si="21"/>
        <v>66.956500000000005</v>
      </c>
    </row>
    <row r="71" spans="2:29" x14ac:dyDescent="0.3">
      <c r="B71" s="494" t="s">
        <v>160</v>
      </c>
      <c r="C71" s="163" t="s">
        <v>482</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219">
        <f>'Haver Pivoted'!HE66</f>
        <v>126.53400000000001</v>
      </c>
      <c r="U71" s="1140">
        <f>'Haver Pivoted'!HF66</f>
        <v>121.66800000000001</v>
      </c>
      <c r="V71" s="243"/>
      <c r="W71" s="243"/>
      <c r="X71" s="243"/>
      <c r="Y71" s="243"/>
      <c r="Z71" s="243"/>
      <c r="AA71" s="243"/>
      <c r="AB71" s="243"/>
      <c r="AC71" s="241"/>
    </row>
    <row r="72" spans="2:29" ht="29.1" customHeight="1" x14ac:dyDescent="0.3">
      <c r="B72" s="229" t="s">
        <v>483</v>
      </c>
      <c r="C72" s="230"/>
      <c r="D72" s="595"/>
      <c r="E72" s="487"/>
      <c r="F72" s="487"/>
      <c r="G72" s="487"/>
      <c r="H72" s="487"/>
      <c r="I72" s="487"/>
      <c r="J72" s="487">
        <f t="shared" ref="J72:U72" si="22">J71-$H71</f>
        <v>45.657999999999994</v>
      </c>
      <c r="K72" s="487">
        <f t="shared" si="22"/>
        <v>50.43</v>
      </c>
      <c r="L72" s="487">
        <f t="shared" si="22"/>
        <v>60.265999999999998</v>
      </c>
      <c r="M72" s="487">
        <f t="shared" si="22"/>
        <v>86.293999999999983</v>
      </c>
      <c r="N72" s="487">
        <f>N71-$H71</f>
        <v>100.94299999999998</v>
      </c>
      <c r="O72" s="487">
        <f>O71-$H71</f>
        <v>95.711999999999989</v>
      </c>
      <c r="P72" s="487">
        <f t="shared" si="22"/>
        <v>100.977</v>
      </c>
      <c r="Q72" s="487">
        <f t="shared" si="22"/>
        <v>80.894999999999982</v>
      </c>
      <c r="R72" s="487">
        <f t="shared" si="22"/>
        <v>63.954000000000001</v>
      </c>
      <c r="S72" s="571">
        <f t="shared" si="22"/>
        <v>57.130999999999993</v>
      </c>
      <c r="T72" s="571">
        <f t="shared" si="22"/>
        <v>72.074000000000012</v>
      </c>
      <c r="U72" s="569">
        <f t="shared" si="22"/>
        <v>67.207999999999998</v>
      </c>
      <c r="V72" s="190"/>
      <c r="W72" s="190"/>
      <c r="X72" s="190"/>
      <c r="Y72" s="190"/>
      <c r="Z72" s="190"/>
      <c r="AA72" s="190"/>
      <c r="AB72" s="190"/>
      <c r="AC72" s="191"/>
    </row>
    <row r="73" spans="2:29" ht="29.1" customHeight="1" x14ac:dyDescent="0.3">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 customHeight="1" x14ac:dyDescent="0.3">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 customHeight="1" x14ac:dyDescent="0.3">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85" customHeight="1" x14ac:dyDescent="0.3"/>
    <row r="77" spans="2:29" x14ac:dyDescent="0.3">
      <c r="B77" s="431" t="s">
        <v>365</v>
      </c>
    </row>
    <row r="78" spans="2:29" x14ac:dyDescent="0.3">
      <c r="B78" s="1706" t="s">
        <v>811</v>
      </c>
      <c r="C78" s="1707"/>
      <c r="D78" s="1631" t="s">
        <v>280</v>
      </c>
      <c r="E78" s="1632"/>
      <c r="F78" s="1632"/>
      <c r="G78" s="1632"/>
      <c r="H78" s="1632"/>
      <c r="I78" s="1632"/>
      <c r="J78" s="1632"/>
      <c r="K78" s="1632"/>
      <c r="L78" s="1632"/>
      <c r="M78" s="1632"/>
      <c r="N78" s="1632"/>
      <c r="O78" s="1632"/>
      <c r="P78" s="1632"/>
      <c r="Q78" s="1659"/>
      <c r="R78" s="1659"/>
      <c r="S78" s="1659"/>
      <c r="T78" s="1660"/>
      <c r="U78" s="1246"/>
      <c r="V78" s="1627" t="s">
        <v>281</v>
      </c>
      <c r="W78" s="1605"/>
      <c r="X78" s="1605"/>
      <c r="Y78" s="1605"/>
      <c r="Z78" s="1605"/>
      <c r="AA78" s="1605"/>
      <c r="AB78" s="1605"/>
      <c r="AC78" s="1606"/>
    </row>
    <row r="79" spans="2:29" x14ac:dyDescent="0.3">
      <c r="B79" s="1708"/>
      <c r="C79" s="1709"/>
      <c r="D79" s="127">
        <v>2018</v>
      </c>
      <c r="E79" s="1600">
        <v>2019</v>
      </c>
      <c r="F79" s="1622"/>
      <c r="G79" s="1622"/>
      <c r="H79" s="1637"/>
      <c r="I79" s="1600">
        <v>2020</v>
      </c>
      <c r="J79" s="1622"/>
      <c r="K79" s="1622"/>
      <c r="L79" s="1622"/>
      <c r="M79" s="1600">
        <v>2021</v>
      </c>
      <c r="N79" s="1622"/>
      <c r="O79" s="1622"/>
      <c r="P79" s="1622"/>
      <c r="Q79" s="1600">
        <v>2022</v>
      </c>
      <c r="R79" s="1601"/>
      <c r="S79" s="1601"/>
      <c r="T79" s="1637"/>
      <c r="U79" s="1242"/>
      <c r="V79" s="1243">
        <v>2023</v>
      </c>
      <c r="W79" s="1243"/>
      <c r="X79" s="1244"/>
      <c r="Y79" s="1609">
        <v>2024</v>
      </c>
      <c r="Z79" s="1607"/>
      <c r="AA79" s="1607"/>
      <c r="AB79" s="1608"/>
      <c r="AC79" s="178">
        <v>2025</v>
      </c>
    </row>
    <row r="80" spans="2:29" x14ac:dyDescent="0.3">
      <c r="B80" s="1708"/>
      <c r="C80" s="1709"/>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40" t="s">
        <v>283</v>
      </c>
      <c r="V80" s="190" t="s">
        <v>284</v>
      </c>
      <c r="W80" s="190" t="s">
        <v>238</v>
      </c>
      <c r="X80" s="191" t="s">
        <v>282</v>
      </c>
      <c r="Y80" s="189" t="s">
        <v>283</v>
      </c>
      <c r="Z80" s="186" t="s">
        <v>284</v>
      </c>
      <c r="AA80" s="190" t="s">
        <v>238</v>
      </c>
      <c r="AB80" s="190" t="s">
        <v>282</v>
      </c>
      <c r="AC80" s="192" t="s">
        <v>283</v>
      </c>
    </row>
    <row r="81" spans="2:30" ht="29.55" customHeight="1" x14ac:dyDescent="0.3">
      <c r="B81" s="512" t="s">
        <v>469</v>
      </c>
      <c r="C81" s="400" t="s">
        <v>470</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292">
        <f>'Haver Pivoted'!HE31</f>
        <v>2882.8</v>
      </c>
      <c r="U81" s="250">
        <f>'Haver Pivoted'!HF31</f>
        <v>2969.5</v>
      </c>
      <c r="V81" s="1349"/>
      <c r="W81" s="1349"/>
      <c r="X81" s="1349"/>
      <c r="Y81" s="1349"/>
      <c r="Z81" s="1349"/>
      <c r="AA81" s="1349"/>
      <c r="AB81" s="1349"/>
      <c r="AC81" s="661"/>
    </row>
    <row r="82" spans="2:30" ht="29.55" customHeight="1" x14ac:dyDescent="0.3">
      <c r="B82" s="392" t="s">
        <v>807</v>
      </c>
      <c r="C82" s="163"/>
      <c r="D82" s="353">
        <f t="shared" ref="D82:U82" si="23">SUM(D14:D22)</f>
        <v>813.09999999999991</v>
      </c>
      <c r="E82" s="376">
        <f t="shared" si="23"/>
        <v>832</v>
      </c>
      <c r="F82" s="376">
        <f t="shared" si="23"/>
        <v>842.69999999999993</v>
      </c>
      <c r="G82" s="376">
        <f t="shared" si="23"/>
        <v>850.1</v>
      </c>
      <c r="H82" s="376">
        <f t="shared" si="23"/>
        <v>854</v>
      </c>
      <c r="I82" s="376">
        <f t="shared" si="23"/>
        <v>871.02350000000001</v>
      </c>
      <c r="J82" s="376">
        <f t="shared" si="23"/>
        <v>3187.1064999999999</v>
      </c>
      <c r="K82" s="376">
        <f t="shared" si="23"/>
        <v>1850.5785000000001</v>
      </c>
      <c r="L82" s="376">
        <f t="shared" si="23"/>
        <v>1300.1145000000001</v>
      </c>
      <c r="M82" s="376">
        <f t="shared" si="23"/>
        <v>3501.0425</v>
      </c>
      <c r="N82" s="376">
        <f t="shared" si="23"/>
        <v>1824.9133399999998</v>
      </c>
      <c r="O82" s="376">
        <f t="shared" si="23"/>
        <v>1573.4639933333328</v>
      </c>
      <c r="P82" s="376">
        <f t="shared" si="23"/>
        <v>1378.1348333333328</v>
      </c>
      <c r="Q82" s="376">
        <f t="shared" si="23"/>
        <v>1205.9195</v>
      </c>
      <c r="R82" s="376">
        <f t="shared" si="23"/>
        <v>1180.8785</v>
      </c>
      <c r="S82" s="1363">
        <f t="shared" si="23"/>
        <v>1170.5554999999999</v>
      </c>
      <c r="T82" s="1364">
        <f t="shared" si="23"/>
        <v>1164.4385</v>
      </c>
      <c r="U82" s="1365">
        <f t="shared" si="23"/>
        <v>1069.6725000000001</v>
      </c>
      <c r="V82" s="377"/>
      <c r="W82" s="377"/>
      <c r="X82" s="377"/>
      <c r="Y82" s="377"/>
      <c r="Z82" s="377"/>
      <c r="AA82" s="377"/>
      <c r="AB82" s="377"/>
      <c r="AC82" s="378"/>
    </row>
    <row r="83" spans="2:30" ht="29.55" customHeight="1" x14ac:dyDescent="0.3">
      <c r="B83" s="392" t="s">
        <v>808</v>
      </c>
      <c r="C83" s="163"/>
      <c r="D83" s="353">
        <f>D81-D82</f>
        <v>1411.2000000000003</v>
      </c>
      <c r="E83" s="376">
        <f t="shared" ref="E83:O83" si="24">E81-E82</f>
        <v>1471.4</v>
      </c>
      <c r="F83" s="376">
        <f t="shared" si="24"/>
        <v>1476.7000000000003</v>
      </c>
      <c r="G83" s="376">
        <f t="shared" si="24"/>
        <v>1483.7000000000003</v>
      </c>
      <c r="H83" s="376">
        <f t="shared" si="24"/>
        <v>1492.4</v>
      </c>
      <c r="I83" s="376">
        <f t="shared" si="24"/>
        <v>1536.4765</v>
      </c>
      <c r="J83" s="376">
        <f t="shared" si="24"/>
        <v>1511.5934999999999</v>
      </c>
      <c r="K83" s="376">
        <f t="shared" si="24"/>
        <v>1641.8215</v>
      </c>
      <c r="L83" s="376">
        <f t="shared" si="24"/>
        <v>1581.4854999999998</v>
      </c>
      <c r="M83" s="376">
        <f t="shared" si="24"/>
        <v>1593.7575000000002</v>
      </c>
      <c r="N83" s="376">
        <f t="shared" si="24"/>
        <v>1570.6866600000001</v>
      </c>
      <c r="O83" s="376">
        <f t="shared" si="24"/>
        <v>1572.8360066666673</v>
      </c>
      <c r="P83" s="376">
        <f t="shared" ref="P83:T83" si="25">P81-P82</f>
        <v>1559.2651666666673</v>
      </c>
      <c r="Q83" s="376">
        <f t="shared" si="25"/>
        <v>1657.0805</v>
      </c>
      <c r="R83" s="376">
        <f t="shared" si="25"/>
        <v>1665.6215</v>
      </c>
      <c r="S83" s="1363">
        <f t="shared" si="25"/>
        <v>1669.5445</v>
      </c>
      <c r="T83" s="1364">
        <f t="shared" si="25"/>
        <v>1718.3615000000002</v>
      </c>
      <c r="U83" s="1365">
        <f>U81-U82</f>
        <v>1899.8274999999999</v>
      </c>
      <c r="V83" s="377"/>
      <c r="W83" s="377"/>
      <c r="X83" s="377"/>
      <c r="Y83" s="377"/>
      <c r="Z83" s="377"/>
      <c r="AA83" s="377"/>
      <c r="AB83" s="377"/>
      <c r="AC83" s="378"/>
    </row>
    <row r="84" spans="2:30" ht="29.55" customHeight="1" x14ac:dyDescent="0.3">
      <c r="B84" s="1350" t="s">
        <v>809</v>
      </c>
      <c r="C84" s="1351"/>
      <c r="D84" s="1366">
        <f t="shared" ref="D84:I84" si="26">D12-D14-D15-D21</f>
        <v>1411.2</v>
      </c>
      <c r="E84" s="1367">
        <f t="shared" si="26"/>
        <v>1471.4</v>
      </c>
      <c r="F84" s="1367">
        <f t="shared" si="26"/>
        <v>1476.7</v>
      </c>
      <c r="G84" s="1367">
        <f t="shared" si="26"/>
        <v>1483.7</v>
      </c>
      <c r="H84" s="1367">
        <f t="shared" si="26"/>
        <v>1492.4000000000003</v>
      </c>
      <c r="I84" s="1367">
        <f t="shared" si="26"/>
        <v>1541.5000000000002</v>
      </c>
      <c r="J84" s="1368">
        <f>I84+($H$84-$E$84)/3</f>
        <v>1548.5000000000002</v>
      </c>
      <c r="K84" s="1368">
        <f>J84+($H$84-$E$84)/3</f>
        <v>1555.5000000000002</v>
      </c>
      <c r="L84" s="1368">
        <f>K84+($H$84-$E$84)/3</f>
        <v>1562.5000000000002</v>
      </c>
      <c r="M84" s="1369">
        <f>L84+($H$84-$E$84)/3 +(M88-L88)</f>
        <v>1586.9430000000002</v>
      </c>
      <c r="N84" s="1368">
        <f>M84+($H$84-$E$84)/3</f>
        <v>1593.9430000000002</v>
      </c>
      <c r="O84" s="1368">
        <f>N84+($H$84-$E$84)/3</f>
        <v>1600.9430000000002</v>
      </c>
      <c r="P84" s="1368">
        <f>O84+($H$84-$E$84)/3</f>
        <v>1607.9430000000002</v>
      </c>
      <c r="Q84" s="1369">
        <f>P84+($H$84-$E$84)/3 + 0.06*Q88</f>
        <v>1686.8657200000002</v>
      </c>
      <c r="R84" s="1368">
        <f>Q84+($H$84-$E$84)/3</f>
        <v>1693.8657200000002</v>
      </c>
      <c r="S84" s="1368">
        <f>R84+($H$84-$E$84)/3</f>
        <v>1700.8657200000002</v>
      </c>
      <c r="T84" s="1368">
        <f>S84+($H$84-$E$84)/3</f>
        <v>1707.8657200000002</v>
      </c>
      <c r="U84" s="1370">
        <f>T84+U85</f>
        <v>1821.4964000000002</v>
      </c>
      <c r="V84" s="1352">
        <f t="shared" ref="V84:AC84" si="27">U84+V85</f>
        <v>1828.4964000000002</v>
      </c>
      <c r="W84" s="1352">
        <f t="shared" si="27"/>
        <v>1835.4964000000002</v>
      </c>
      <c r="X84" s="1352">
        <f t="shared" si="27"/>
        <v>1842.4964000000002</v>
      </c>
      <c r="Y84" s="1352">
        <f t="shared" si="27"/>
        <v>1891.8432120000002</v>
      </c>
      <c r="Z84" s="1352">
        <f t="shared" si="27"/>
        <v>1898.8432120000002</v>
      </c>
      <c r="AA84" s="1352">
        <f t="shared" si="27"/>
        <v>1905.8432120000002</v>
      </c>
      <c r="AB84" s="1352">
        <f t="shared" si="27"/>
        <v>1912.8432120000002</v>
      </c>
      <c r="AC84" s="1353">
        <f t="shared" si="27"/>
        <v>1949.2886441600003</v>
      </c>
    </row>
    <row r="85" spans="2:30" ht="21.6" customHeight="1" x14ac:dyDescent="0.3">
      <c r="B85" s="1354" t="s">
        <v>1892</v>
      </c>
      <c r="C85" s="1203"/>
      <c r="D85" s="353"/>
      <c r="E85" s="1316"/>
      <c r="F85" s="1316"/>
      <c r="G85" s="1316"/>
      <c r="H85" s="1316"/>
      <c r="I85" s="1316"/>
      <c r="J85" s="1371"/>
      <c r="K85" s="1371"/>
      <c r="L85" s="1371"/>
      <c r="M85" s="1372"/>
      <c r="N85" s="1371"/>
      <c r="O85" s="1371"/>
      <c r="P85" s="1371"/>
      <c r="Q85" s="1372"/>
      <c r="R85" s="1371"/>
      <c r="S85" s="1371"/>
      <c r="T85" s="1371"/>
      <c r="U85" s="1373">
        <f>U86+U87</f>
        <v>113.63068000000007</v>
      </c>
      <c r="V85" s="1374">
        <f t="shared" ref="V85:AC85" si="28">V86+V91*V88</f>
        <v>7.0000000000000755</v>
      </c>
      <c r="W85" s="1374">
        <f t="shared" si="28"/>
        <v>7.0000000000000755</v>
      </c>
      <c r="X85" s="1374">
        <f t="shared" si="28"/>
        <v>7.0000000000000755</v>
      </c>
      <c r="Y85" s="1374">
        <f t="shared" si="28"/>
        <v>49.346812000000078</v>
      </c>
      <c r="Z85" s="1374">
        <f t="shared" si="28"/>
        <v>7.0000000000000755</v>
      </c>
      <c r="AA85" s="1374">
        <f t="shared" si="28"/>
        <v>7.0000000000000755</v>
      </c>
      <c r="AB85" s="1374">
        <f t="shared" si="28"/>
        <v>7.0000000000000755</v>
      </c>
      <c r="AC85" s="1375">
        <f t="shared" si="28"/>
        <v>36.445432160000074</v>
      </c>
    </row>
    <row r="86" spans="2:30" ht="28.8" customHeight="1" x14ac:dyDescent="0.3">
      <c r="B86" s="1355" t="s">
        <v>1889</v>
      </c>
      <c r="C86" s="1203"/>
      <c r="D86" s="353"/>
      <c r="E86" s="1316"/>
      <c r="F86" s="1316"/>
      <c r="G86" s="1316"/>
      <c r="H86" s="1316"/>
      <c r="I86" s="1316"/>
      <c r="J86" s="1371"/>
      <c r="K86" s="1371"/>
      <c r="L86" s="1371"/>
      <c r="M86" s="1372"/>
      <c r="N86" s="1371"/>
      <c r="O86" s="1371"/>
      <c r="P86" s="1371"/>
      <c r="Q86" s="1372"/>
      <c r="R86" s="1371"/>
      <c r="S86" s="1371"/>
      <c r="T86" s="1371"/>
      <c r="U86" s="1373">
        <f>($H$84-$E$84)/3</f>
        <v>7.0000000000000755</v>
      </c>
      <c r="V86" s="1374">
        <f>U86</f>
        <v>7.0000000000000755</v>
      </c>
      <c r="W86" s="1374">
        <f t="shared" ref="W86:AC86" si="29">V86</f>
        <v>7.0000000000000755</v>
      </c>
      <c r="X86" s="1374">
        <f t="shared" si="29"/>
        <v>7.0000000000000755</v>
      </c>
      <c r="Y86" s="1374">
        <f t="shared" si="29"/>
        <v>7.0000000000000755</v>
      </c>
      <c r="Z86" s="1374">
        <f t="shared" si="29"/>
        <v>7.0000000000000755</v>
      </c>
      <c r="AA86" s="1374">
        <f t="shared" si="29"/>
        <v>7.0000000000000755</v>
      </c>
      <c r="AB86" s="1374">
        <f t="shared" si="29"/>
        <v>7.0000000000000755</v>
      </c>
      <c r="AC86" s="1375">
        <f t="shared" si="29"/>
        <v>7.0000000000000755</v>
      </c>
    </row>
    <row r="87" spans="2:30" ht="27" customHeight="1" x14ac:dyDescent="0.3">
      <c r="B87" s="1356" t="s">
        <v>1890</v>
      </c>
      <c r="C87" s="1357"/>
      <c r="D87" s="1376"/>
      <c r="E87" s="1377"/>
      <c r="F87" s="1377"/>
      <c r="G87" s="1377"/>
      <c r="H87" s="1377"/>
      <c r="I87" s="1377"/>
      <c r="J87" s="1378"/>
      <c r="K87" s="1378"/>
      <c r="L87" s="1378"/>
      <c r="M87" s="1379"/>
      <c r="N87" s="1378"/>
      <c r="O87" s="1378"/>
      <c r="P87" s="1378"/>
      <c r="Q87" s="1379"/>
      <c r="R87" s="1378"/>
      <c r="S87" s="1378"/>
      <c r="T87" s="1378"/>
      <c r="U87" s="1380">
        <f>U91*T88</f>
        <v>106.63068</v>
      </c>
      <c r="V87" s="1381">
        <f t="shared" ref="V87:AC87" si="30">V91*U88</f>
        <v>0</v>
      </c>
      <c r="W87" s="1381">
        <f t="shared" si="30"/>
        <v>0</v>
      </c>
      <c r="X87" s="1381">
        <f t="shared" si="30"/>
        <v>0</v>
      </c>
      <c r="Y87" s="1381">
        <f>Y91*X88</f>
        <v>40.880400000000002</v>
      </c>
      <c r="Z87" s="1381">
        <f t="shared" si="30"/>
        <v>0</v>
      </c>
      <c r="AA87" s="1381">
        <f t="shared" si="30"/>
        <v>0</v>
      </c>
      <c r="AB87" s="1381">
        <f t="shared" si="30"/>
        <v>0</v>
      </c>
      <c r="AC87" s="1382">
        <f t="shared" si="30"/>
        <v>28.711208000000003</v>
      </c>
    </row>
    <row r="88" spans="2:30" ht="29.55" customHeight="1" x14ac:dyDescent="0.3">
      <c r="B88" s="494" t="s">
        <v>478</v>
      </c>
      <c r="C88" s="163" t="s">
        <v>479</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363">
        <f>'Haver Pivoted'!HD88/1000</f>
        <v>1214.6369999999999</v>
      </c>
      <c r="T88" s="1364">
        <f>'Haver Pivoted'!HE88/1000</f>
        <v>1225.6400000000001</v>
      </c>
      <c r="U88" s="1365">
        <f>'Haver Pivoted'!HF88/1000</f>
        <v>1338.68</v>
      </c>
      <c r="V88" s="377">
        <f t="shared" ref="V88:AC88" si="31">U88+V89</f>
        <v>1346.68</v>
      </c>
      <c r="W88" s="377">
        <f t="shared" si="31"/>
        <v>1354.68</v>
      </c>
      <c r="X88" s="377">
        <f t="shared" si="31"/>
        <v>1362.68</v>
      </c>
      <c r="Y88" s="377">
        <f t="shared" si="31"/>
        <v>1411.5604000000001</v>
      </c>
      <c r="Z88" s="377">
        <f t="shared" si="31"/>
        <v>1419.5604000000001</v>
      </c>
      <c r="AA88" s="377">
        <f t="shared" si="31"/>
        <v>1427.5604000000001</v>
      </c>
      <c r="AB88" s="377">
        <f t="shared" si="31"/>
        <v>1435.5604000000001</v>
      </c>
      <c r="AC88" s="377">
        <f t="shared" si="31"/>
        <v>1472.271608</v>
      </c>
    </row>
    <row r="89" spans="2:30" ht="21.6" customHeight="1" x14ac:dyDescent="0.3">
      <c r="B89" s="338" t="s">
        <v>1891</v>
      </c>
      <c r="C89" s="163"/>
      <c r="D89" s="353"/>
      <c r="E89" s="376"/>
      <c r="F89" s="376"/>
      <c r="G89" s="376"/>
      <c r="H89" s="376"/>
      <c r="I89" s="376"/>
      <c r="J89" s="376"/>
      <c r="K89" s="376"/>
      <c r="L89" s="376"/>
      <c r="M89" s="376"/>
      <c r="N89" s="376"/>
      <c r="O89" s="376"/>
      <c r="P89" s="376"/>
      <c r="Q89" s="376"/>
      <c r="R89" s="376"/>
      <c r="S89" s="1363"/>
      <c r="T89" s="1364"/>
      <c r="U89" s="1365">
        <f>U87+U90</f>
        <v>114.63068</v>
      </c>
      <c r="V89" s="377">
        <f>V87+V90</f>
        <v>8</v>
      </c>
      <c r="W89" s="377">
        <f t="shared" ref="W89:AC89" si="32">W87+W90</f>
        <v>8</v>
      </c>
      <c r="X89" s="377">
        <f t="shared" si="32"/>
        <v>8</v>
      </c>
      <c r="Y89" s="377">
        <f>Y87+Y90</f>
        <v>48.880400000000002</v>
      </c>
      <c r="Z89" s="377">
        <f t="shared" si="32"/>
        <v>8</v>
      </c>
      <c r="AA89" s="377">
        <f t="shared" si="32"/>
        <v>8</v>
      </c>
      <c r="AB89" s="377">
        <f t="shared" si="32"/>
        <v>8</v>
      </c>
      <c r="AC89" s="377">
        <f t="shared" si="32"/>
        <v>36.711207999999999</v>
      </c>
    </row>
    <row r="90" spans="2:30" ht="21.6" customHeight="1" x14ac:dyDescent="0.3">
      <c r="B90" s="325" t="s">
        <v>1894</v>
      </c>
      <c r="C90" s="163"/>
      <c r="D90" s="353"/>
      <c r="E90" s="376"/>
      <c r="F90" s="376"/>
      <c r="G90" s="376"/>
      <c r="H90" s="376"/>
      <c r="I90" s="376"/>
      <c r="J90" s="376"/>
      <c r="K90" s="376"/>
      <c r="L90" s="376"/>
      <c r="M90" s="376"/>
      <c r="N90" s="376"/>
      <c r="O90" s="376"/>
      <c r="P90" s="376"/>
      <c r="Q90" s="376"/>
      <c r="R90" s="376"/>
      <c r="S90" s="1363"/>
      <c r="T90" s="1364"/>
      <c r="U90" s="1365">
        <v>8</v>
      </c>
      <c r="V90" s="377">
        <v>8</v>
      </c>
      <c r="W90" s="377">
        <v>8</v>
      </c>
      <c r="X90" s="377">
        <v>8</v>
      </c>
      <c r="Y90" s="377">
        <v>8</v>
      </c>
      <c r="Z90" s="377">
        <v>8</v>
      </c>
      <c r="AA90" s="377">
        <v>8</v>
      </c>
      <c r="AB90" s="377">
        <v>8</v>
      </c>
      <c r="AC90" s="377">
        <v>8</v>
      </c>
    </row>
    <row r="91" spans="2:30" ht="28.8" customHeight="1" x14ac:dyDescent="0.3">
      <c r="B91" s="325" t="s">
        <v>1895</v>
      </c>
      <c r="C91" s="163"/>
      <c r="D91" s="353"/>
      <c r="E91" s="376"/>
      <c r="F91" s="376"/>
      <c r="G91" s="376"/>
      <c r="H91" s="376"/>
      <c r="I91" s="1377"/>
      <c r="J91" s="1377"/>
      <c r="K91" s="1377"/>
      <c r="L91" s="1377"/>
      <c r="M91" s="1377"/>
      <c r="N91" s="1377"/>
      <c r="O91" s="1377"/>
      <c r="P91" s="1377"/>
      <c r="Q91" s="1377"/>
      <c r="R91" s="1377"/>
      <c r="S91" s="1383"/>
      <c r="T91" s="1383"/>
      <c r="U91" s="1387">
        <v>8.6999999999999994E-2</v>
      </c>
      <c r="V91" s="1388">
        <v>0</v>
      </c>
      <c r="W91" s="1388">
        <v>0</v>
      </c>
      <c r="X91" s="1388">
        <v>0</v>
      </c>
      <c r="Y91" s="1388">
        <v>0.03</v>
      </c>
      <c r="Z91" s="1388">
        <v>0</v>
      </c>
      <c r="AA91" s="1388">
        <v>0</v>
      </c>
      <c r="AB91" s="1388">
        <v>0</v>
      </c>
      <c r="AC91" s="1389">
        <v>0.02</v>
      </c>
      <c r="AD91" s="1359"/>
    </row>
    <row r="92" spans="2:30" ht="51" customHeight="1" x14ac:dyDescent="0.3">
      <c r="B92" s="434" t="s">
        <v>1445</v>
      </c>
      <c r="C92" s="230"/>
      <c r="D92" s="1384">
        <f t="shared" ref="D92:T92" si="33">D83-D84</f>
        <v>0</v>
      </c>
      <c r="E92" s="643">
        <f t="shared" si="33"/>
        <v>0</v>
      </c>
      <c r="F92" s="643">
        <f t="shared" si="33"/>
        <v>0</v>
      </c>
      <c r="G92" s="643">
        <f t="shared" si="33"/>
        <v>0</v>
      </c>
      <c r="H92" s="643">
        <f t="shared" si="33"/>
        <v>0</v>
      </c>
      <c r="I92" s="643">
        <f t="shared" si="33"/>
        <v>-5.0235000000002401</v>
      </c>
      <c r="J92" s="643">
        <f t="shared" si="33"/>
        <v>-36.906500000000278</v>
      </c>
      <c r="K92" s="643">
        <f t="shared" si="33"/>
        <v>86.321499999999787</v>
      </c>
      <c r="L92" s="643">
        <f t="shared" si="33"/>
        <v>18.985499999999547</v>
      </c>
      <c r="M92" s="643">
        <f t="shared" si="33"/>
        <v>6.8144999999999527</v>
      </c>
      <c r="N92" s="643">
        <f t="shared" si="33"/>
        <v>-23.256340000000137</v>
      </c>
      <c r="O92" s="643">
        <f t="shared" si="33"/>
        <v>-28.106993333332866</v>
      </c>
      <c r="P92" s="643">
        <f t="shared" si="33"/>
        <v>-48.677833333332956</v>
      </c>
      <c r="Q92" s="643">
        <f t="shared" si="33"/>
        <v>-29.785220000000209</v>
      </c>
      <c r="R92" s="643">
        <f t="shared" si="33"/>
        <v>-28.244220000000269</v>
      </c>
      <c r="S92" s="1385">
        <f t="shared" si="33"/>
        <v>-31.321220000000267</v>
      </c>
      <c r="T92" s="1385">
        <f t="shared" si="33"/>
        <v>10.495779999999968</v>
      </c>
      <c r="U92" s="1386">
        <f t="shared" ref="U92" si="34">U83-U84</f>
        <v>78.331099999999651</v>
      </c>
      <c r="V92" s="666">
        <f t="shared" ref="V92:AC92" si="35">U92</f>
        <v>78.331099999999651</v>
      </c>
      <c r="W92" s="666">
        <f t="shared" si="35"/>
        <v>78.331099999999651</v>
      </c>
      <c r="X92" s="666">
        <f t="shared" si="35"/>
        <v>78.331099999999651</v>
      </c>
      <c r="Y92" s="666">
        <f t="shared" si="35"/>
        <v>78.331099999999651</v>
      </c>
      <c r="Z92" s="666">
        <f t="shared" si="35"/>
        <v>78.331099999999651</v>
      </c>
      <c r="AA92" s="666">
        <f t="shared" si="35"/>
        <v>78.331099999999651</v>
      </c>
      <c r="AB92" s="666">
        <f t="shared" si="35"/>
        <v>78.331099999999651</v>
      </c>
      <c r="AC92" s="666">
        <f t="shared" si="35"/>
        <v>78.331099999999651</v>
      </c>
    </row>
    <row r="93" spans="2:30" ht="29.55" customHeight="1" x14ac:dyDescent="0.3">
      <c r="B93" s="1202"/>
      <c r="C93" s="1203"/>
      <c r="D93" s="1204"/>
      <c r="E93" s="1204"/>
      <c r="F93" s="1204"/>
      <c r="G93" s="1204"/>
      <c r="H93" s="1204"/>
      <c r="I93" s="1204"/>
      <c r="J93" s="1204"/>
      <c r="K93" s="1204"/>
      <c r="L93" s="1204"/>
      <c r="M93" s="1204"/>
      <c r="N93" s="1204"/>
      <c r="O93" s="1204"/>
      <c r="P93" s="1204"/>
      <c r="Q93" s="1204"/>
      <c r="R93" s="1204"/>
      <c r="S93" s="1358"/>
      <c r="T93" s="1358"/>
      <c r="U93" s="1358"/>
      <c r="V93" s="1358"/>
      <c r="W93" s="1358"/>
      <c r="X93" s="1358"/>
      <c r="Y93" s="1358"/>
      <c r="Z93" s="1358"/>
      <c r="AA93" s="1358"/>
      <c r="AB93" s="1358"/>
      <c r="AC93" s="1358"/>
    </row>
    <row r="94" spans="2:30" ht="19.8" customHeight="1" x14ac:dyDescent="0.3">
      <c r="B94" s="1360" t="s">
        <v>469</v>
      </c>
      <c r="C94" s="400"/>
      <c r="S94" s="1206">
        <v>2840.1</v>
      </c>
      <c r="T94" s="1207">
        <v>2882.8</v>
      </c>
      <c r="U94" s="616"/>
      <c r="V94" s="616"/>
      <c r="W94" s="616"/>
      <c r="X94" s="616"/>
      <c r="Y94" s="616"/>
      <c r="Z94" s="616"/>
      <c r="AA94" s="616"/>
      <c r="AB94" s="616"/>
      <c r="AC94" s="1208"/>
    </row>
    <row r="95" spans="2:30" ht="19.8" customHeight="1" x14ac:dyDescent="0.3">
      <c r="B95" s="1361" t="s">
        <v>807</v>
      </c>
      <c r="C95" s="163"/>
      <c r="S95" s="608">
        <v>1170.5554999999999</v>
      </c>
      <c r="T95" s="611">
        <v>1164.4385</v>
      </c>
      <c r="U95" s="615"/>
      <c r="V95" s="615"/>
      <c r="W95" s="615"/>
      <c r="X95" s="615"/>
      <c r="Y95" s="615"/>
      <c r="Z95" s="615"/>
      <c r="AA95" s="615"/>
      <c r="AB95" s="615"/>
      <c r="AC95" s="632"/>
    </row>
    <row r="96" spans="2:30" ht="19.8" customHeight="1" x14ac:dyDescent="0.3">
      <c r="B96" s="1361" t="s">
        <v>808</v>
      </c>
      <c r="C96" s="163"/>
      <c r="S96" s="608">
        <v>1669.5445</v>
      </c>
      <c r="T96" s="611">
        <v>1718.3615000000002</v>
      </c>
      <c r="U96" s="615"/>
      <c r="V96" s="615"/>
      <c r="W96" s="615"/>
      <c r="X96" s="615"/>
      <c r="Y96" s="615"/>
      <c r="Z96" s="615"/>
      <c r="AA96" s="615"/>
      <c r="AB96" s="615"/>
      <c r="AC96" s="632"/>
    </row>
    <row r="97" spans="2:30" ht="19.8" customHeight="1" x14ac:dyDescent="0.3">
      <c r="B97" s="1361" t="s">
        <v>809</v>
      </c>
      <c r="C97" s="163"/>
      <c r="S97" s="609">
        <v>1700.8657200000002</v>
      </c>
      <c r="T97" s="633">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66">
        <f>U84-U97</f>
        <v>0</v>
      </c>
    </row>
    <row r="98" spans="2:30" ht="19.8" customHeight="1" x14ac:dyDescent="0.3">
      <c r="B98" s="405" t="s">
        <v>1892</v>
      </c>
      <c r="C98" s="163"/>
      <c r="S98" s="609"/>
      <c r="T98" s="633"/>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66">
        <f t="shared" ref="AD98:AD105" si="36">U85-U98</f>
        <v>0</v>
      </c>
    </row>
    <row r="99" spans="2:30" ht="19.8" customHeight="1" x14ac:dyDescent="0.3">
      <c r="B99" s="405" t="s">
        <v>2217</v>
      </c>
      <c r="C99" s="163"/>
      <c r="S99" s="609"/>
      <c r="T99" s="633"/>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66">
        <f t="shared" si="36"/>
        <v>0</v>
      </c>
    </row>
    <row r="100" spans="2:30" ht="19.8" customHeight="1" x14ac:dyDescent="0.3">
      <c r="B100" s="405" t="s">
        <v>2218</v>
      </c>
      <c r="C100" s="163"/>
      <c r="S100" s="609"/>
      <c r="T100" s="633"/>
      <c r="U100" s="224">
        <v>106.63068</v>
      </c>
      <c r="V100" s="224">
        <v>0</v>
      </c>
      <c r="W100" s="224">
        <v>0</v>
      </c>
      <c r="X100" s="224">
        <v>0</v>
      </c>
      <c r="Y100" s="224">
        <v>40.928120400000005</v>
      </c>
      <c r="Z100" s="224">
        <v>0</v>
      </c>
      <c r="AA100" s="224">
        <v>0</v>
      </c>
      <c r="AB100" s="224">
        <v>0</v>
      </c>
      <c r="AC100" s="224">
        <v>28.743976008000001</v>
      </c>
      <c r="AD100" s="1166">
        <f t="shared" si="36"/>
        <v>0</v>
      </c>
    </row>
    <row r="101" spans="2:30" ht="19.8" customHeight="1" x14ac:dyDescent="0.3">
      <c r="B101" s="1361" t="s">
        <v>478</v>
      </c>
      <c r="C101" s="163"/>
      <c r="S101" s="603">
        <v>1214.6369999999999</v>
      </c>
      <c r="T101" s="612">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66">
        <f t="shared" si="36"/>
        <v>-1.5906800000000203</v>
      </c>
    </row>
    <row r="102" spans="2:30" ht="19.8" customHeight="1" x14ac:dyDescent="0.3">
      <c r="B102" s="405" t="s">
        <v>1891</v>
      </c>
      <c r="C102" s="163"/>
      <c r="S102" s="603"/>
      <c r="T102" s="612"/>
      <c r="U102" s="377">
        <v>114.63068</v>
      </c>
      <c r="V102" s="377">
        <v>8</v>
      </c>
      <c r="W102" s="377">
        <v>8</v>
      </c>
      <c r="X102" s="377">
        <v>8</v>
      </c>
      <c r="Y102" s="377">
        <v>48.928120400000005</v>
      </c>
      <c r="Z102" s="377">
        <v>8</v>
      </c>
      <c r="AA102" s="377">
        <v>8</v>
      </c>
      <c r="AB102" s="377">
        <v>8</v>
      </c>
      <c r="AC102" s="377">
        <v>36.743976008000004</v>
      </c>
      <c r="AD102" s="1166">
        <f t="shared" si="36"/>
        <v>0</v>
      </c>
    </row>
    <row r="103" spans="2:30" ht="19.8" customHeight="1" x14ac:dyDescent="0.3">
      <c r="B103" s="405" t="s">
        <v>2219</v>
      </c>
      <c r="C103" s="163"/>
      <c r="S103" s="603"/>
      <c r="T103" s="612"/>
      <c r="U103" s="224">
        <v>8</v>
      </c>
      <c r="V103" s="224">
        <v>8</v>
      </c>
      <c r="W103" s="224">
        <v>8</v>
      </c>
      <c r="X103" s="224">
        <v>8</v>
      </c>
      <c r="Y103" s="224">
        <v>8</v>
      </c>
      <c r="Z103" s="224">
        <v>8</v>
      </c>
      <c r="AA103" s="224">
        <v>8</v>
      </c>
      <c r="AB103" s="224">
        <v>8</v>
      </c>
      <c r="AC103" s="224">
        <v>8</v>
      </c>
      <c r="AD103" s="1166">
        <f t="shared" si="36"/>
        <v>0</v>
      </c>
    </row>
    <row r="104" spans="2:30" ht="19.8" customHeight="1" x14ac:dyDescent="0.3">
      <c r="B104" s="405" t="s">
        <v>2220</v>
      </c>
      <c r="C104" s="163"/>
      <c r="S104" s="603"/>
      <c r="T104" s="612"/>
      <c r="U104" s="592">
        <v>8.6999999999999994E-2</v>
      </c>
      <c r="V104" s="592">
        <v>0</v>
      </c>
      <c r="W104" s="592">
        <v>0</v>
      </c>
      <c r="X104" s="592">
        <v>0</v>
      </c>
      <c r="Y104" s="592">
        <v>0.03</v>
      </c>
      <c r="Z104" s="592">
        <v>0</v>
      </c>
      <c r="AA104" s="592">
        <v>0</v>
      </c>
      <c r="AB104" s="592">
        <v>0</v>
      </c>
      <c r="AC104" s="593">
        <v>0.02</v>
      </c>
      <c r="AD104" s="1166">
        <f t="shared" si="36"/>
        <v>0</v>
      </c>
    </row>
    <row r="105" spans="2:30" ht="19.8" customHeight="1" x14ac:dyDescent="0.3">
      <c r="B105" s="1362" t="s">
        <v>1445</v>
      </c>
      <c r="C105" s="230"/>
      <c r="S105" s="610">
        <v>-31.321220000000267</v>
      </c>
      <c r="T105" s="594">
        <v>10.495779999999968</v>
      </c>
      <c r="U105" s="627">
        <v>10.495779999999968</v>
      </c>
      <c r="V105" s="627">
        <v>10.495779999999968</v>
      </c>
      <c r="W105" s="627">
        <v>10.495779999999968</v>
      </c>
      <c r="X105" s="627">
        <v>10.495779999999968</v>
      </c>
      <c r="Y105" s="627">
        <v>10.495779999999968</v>
      </c>
      <c r="Z105" s="627">
        <v>10.495779999999968</v>
      </c>
      <c r="AA105" s="627">
        <v>10.495779999999968</v>
      </c>
      <c r="AB105" s="627">
        <v>10.495779999999968</v>
      </c>
      <c r="AC105" s="627">
        <v>10.495779999999968</v>
      </c>
      <c r="AD105" s="1166">
        <f t="shared" si="36"/>
        <v>67.835319999999683</v>
      </c>
    </row>
    <row r="106" spans="2:30" ht="22.5" customHeight="1" x14ac:dyDescent="0.3">
      <c r="B106" s="1202"/>
      <c r="C106" s="1203"/>
      <c r="D106" s="1204"/>
      <c r="E106" s="1204"/>
      <c r="F106" s="1204"/>
      <c r="G106" s="1204"/>
      <c r="H106" s="1204"/>
      <c r="I106" s="1204"/>
      <c r="J106" s="1204"/>
      <c r="K106" s="1204"/>
      <c r="L106" s="1204"/>
      <c r="M106" s="1204"/>
      <c r="N106" s="1204"/>
      <c r="O106" s="1204"/>
      <c r="P106" s="1204"/>
      <c r="Q106" s="1204"/>
      <c r="R106" s="1204"/>
      <c r="S106" s="1358"/>
      <c r="T106" s="1358"/>
      <c r="U106" s="1358"/>
      <c r="V106" s="1358"/>
      <c r="W106" s="1358"/>
      <c r="X106" s="1358"/>
      <c r="Y106" s="1358"/>
      <c r="Z106" s="1358"/>
      <c r="AA106" s="1358"/>
      <c r="AB106" s="1358"/>
      <c r="AC106" s="1358"/>
    </row>
    <row r="107" spans="2:30" ht="22.5" customHeight="1" x14ac:dyDescent="0.3">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49999999999997" customHeight="1" x14ac:dyDescent="0.3">
      <c r="B108" s="409"/>
      <c r="C108" s="588">
        <v>2022</v>
      </c>
      <c r="D108" s="589">
        <v>2023</v>
      </c>
      <c r="E108" s="589">
        <v>2024</v>
      </c>
      <c r="F108" s="590">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49999999999997" customHeight="1" x14ac:dyDescent="0.3">
      <c r="B109" s="434" t="s">
        <v>1888</v>
      </c>
      <c r="C109" s="587">
        <v>1212.5500000000002</v>
      </c>
      <c r="D109" s="587">
        <v>1335.8330000000001</v>
      </c>
      <c r="E109" s="587">
        <v>1449.568</v>
      </c>
      <c r="F109" s="591">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
      <c r="B111" s="74" t="s">
        <v>1444</v>
      </c>
      <c r="D111" s="163"/>
      <c r="E111" s="163"/>
      <c r="F111" s="163"/>
      <c r="G111" s="163"/>
      <c r="H111" s="163"/>
      <c r="I111" s="163"/>
      <c r="J111" s="163"/>
      <c r="K111" s="163"/>
      <c r="L111" s="163"/>
      <c r="M111" s="188"/>
      <c r="N111" s="188"/>
      <c r="O111" s="188"/>
      <c r="P111" s="163"/>
    </row>
    <row r="112" spans="2:30" x14ac:dyDescent="0.3">
      <c r="B112" s="512" t="s">
        <v>815</v>
      </c>
      <c r="C112" s="622"/>
      <c r="D112" s="628">
        <v>2021</v>
      </c>
      <c r="E112" s="628">
        <v>2022</v>
      </c>
      <c r="F112" s="628">
        <v>2023</v>
      </c>
      <c r="G112" s="629">
        <v>2024</v>
      </c>
      <c r="R112" s="510"/>
    </row>
    <row r="113" spans="2:7" x14ac:dyDescent="0.3">
      <c r="B113" s="566" t="s">
        <v>816</v>
      </c>
      <c r="C113" s="636"/>
      <c r="D113" s="619">
        <v>3605.8330000000001</v>
      </c>
      <c r="E113" s="619">
        <v>2900</v>
      </c>
      <c r="F113" s="619">
        <f>E113*1.02</f>
        <v>2958</v>
      </c>
      <c r="G113" s="620">
        <f>F113*1.06</f>
        <v>3135.48</v>
      </c>
    </row>
    <row r="114" spans="2:7" x14ac:dyDescent="0.3">
      <c r="B114" s="566" t="s">
        <v>819</v>
      </c>
      <c r="C114" s="621"/>
      <c r="D114" s="599">
        <f>AVERAGE(Medicare!L10:O10)</f>
        <v>865</v>
      </c>
      <c r="E114" s="599">
        <f>AVERAGE(Medicare!P10:S10)</f>
        <v>910.02500000000009</v>
      </c>
      <c r="F114" s="599">
        <f>AVERAGE(Medicare!T10:W10)</f>
        <v>980.3861474939647</v>
      </c>
      <c r="G114" s="634">
        <f>AVERAGE(Medicare!X10:AA10)</f>
        <v>1083.3868978784108</v>
      </c>
    </row>
    <row r="115" spans="2:7" ht="13.35" customHeight="1" x14ac:dyDescent="0.3">
      <c r="B115" s="566" t="s">
        <v>817</v>
      </c>
      <c r="C115" s="621"/>
      <c r="D115" s="599">
        <f>D113-D114</f>
        <v>2740.8330000000001</v>
      </c>
      <c r="E115" s="599">
        <f t="shared" ref="E115:G115" si="37">E113-E114</f>
        <v>1989.9749999999999</v>
      </c>
      <c r="F115" s="599">
        <f t="shared" si="37"/>
        <v>1977.6138525060353</v>
      </c>
      <c r="G115" s="634">
        <f t="shared" si="37"/>
        <v>2052.0931021215893</v>
      </c>
    </row>
    <row r="116" spans="2:7" x14ac:dyDescent="0.3">
      <c r="B116" s="566" t="s">
        <v>820</v>
      </c>
      <c r="C116" s="621"/>
      <c r="D116" s="599">
        <f>AVERAGE(L12:O12)</f>
        <v>3629.5749999999998</v>
      </c>
      <c r="E116" s="599">
        <f>AVERAGE(P12:S12)</f>
        <v>2871.75</v>
      </c>
      <c r="F116" s="599">
        <f>AVERAGE(T12:W12)</f>
        <v>2994.2543189225362</v>
      </c>
      <c r="G116" s="634">
        <f>AVERAGE(X12:AA12)</f>
        <v>3185.727864021268</v>
      </c>
    </row>
    <row r="117" spans="2:7" x14ac:dyDescent="0.3">
      <c r="B117" s="566" t="s">
        <v>819</v>
      </c>
      <c r="C117" s="621"/>
      <c r="D117" s="599">
        <f>AVERAGE(Medicare!L10:O10)</f>
        <v>865</v>
      </c>
      <c r="E117" s="599">
        <f>AVERAGE(Medicare!P10:S10)</f>
        <v>910.02500000000009</v>
      </c>
      <c r="F117" s="599">
        <f>AVERAGE(Medicare!T10:W10)</f>
        <v>980.3861474939647</v>
      </c>
      <c r="G117" s="634">
        <f>AVERAGE(Medicare!X10:AA10)</f>
        <v>1083.3868978784108</v>
      </c>
    </row>
    <row r="118" spans="2:7" x14ac:dyDescent="0.3">
      <c r="B118" s="566" t="s">
        <v>538</v>
      </c>
      <c r="C118" s="621"/>
      <c r="D118" s="599">
        <f>AVERAGE(L25:O25)</f>
        <v>1586.0822500000002</v>
      </c>
      <c r="E118" s="599">
        <f>AVERAGE(P25:S25)</f>
        <v>1672.3850400000001</v>
      </c>
      <c r="F118" s="599">
        <f>AVERAGE(T25:W25)</f>
        <v>1798.3387300000002</v>
      </c>
      <c r="G118" s="634">
        <f>AVERAGE(X25:AA25)</f>
        <v>1884.7565090000003</v>
      </c>
    </row>
    <row r="119" spans="2:7" ht="27.6" customHeight="1" x14ac:dyDescent="0.3">
      <c r="B119" s="623" t="s">
        <v>818</v>
      </c>
      <c r="C119" s="229"/>
      <c r="D119" s="555"/>
      <c r="E119" s="630">
        <v>1.157</v>
      </c>
      <c r="F119" s="630">
        <v>1.0109999999999999</v>
      </c>
      <c r="G119" s="635">
        <v>1.0529999999999999</v>
      </c>
    </row>
    <row r="120" spans="2:7" x14ac:dyDescent="0.3">
      <c r="B120" s="163" t="s">
        <v>821</v>
      </c>
      <c r="D120" s="631">
        <f>D116-D113</f>
        <v>23.741999999999734</v>
      </c>
      <c r="E120" s="631">
        <f>E116-E113</f>
        <v>-28.25</v>
      </c>
      <c r="F120" s="631">
        <f>F116-F113</f>
        <v>36.254318922536186</v>
      </c>
      <c r="G120" s="631">
        <f t="shared" ref="G120" si="38">G116-G113</f>
        <v>50.247864021268015</v>
      </c>
    </row>
    <row r="122" spans="2:7" x14ac:dyDescent="0.3">
      <c r="B122" t="s">
        <v>816</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zoomScale="77" workbookViewId="0">
      <selection activeCell="U33" sqref="U33"/>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610" t="s">
        <v>1720</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2" x14ac:dyDescent="0.3">
      <c r="B2" s="1650" t="s">
        <v>1721</v>
      </c>
      <c r="C2" s="1650"/>
      <c r="D2" s="1650"/>
      <c r="E2" s="1650"/>
      <c r="F2" s="1650"/>
      <c r="G2" s="1650"/>
      <c r="H2" s="1650"/>
      <c r="I2" s="1650"/>
      <c r="J2" s="1650"/>
      <c r="K2" s="1650"/>
      <c r="L2" s="1650"/>
      <c r="M2" s="1650"/>
      <c r="N2" s="1650"/>
      <c r="O2" s="1650"/>
      <c r="P2" s="1650"/>
      <c r="Q2" s="1650"/>
      <c r="R2" s="1650"/>
      <c r="S2" s="1650"/>
      <c r="T2" s="1650"/>
      <c r="U2" s="1650"/>
      <c r="V2" s="1650"/>
      <c r="W2" s="1650"/>
      <c r="X2" s="1650"/>
      <c r="Y2" s="1650"/>
      <c r="Z2" s="1650"/>
      <c r="AA2" s="1650"/>
      <c r="AB2" s="1650"/>
      <c r="AC2" s="1650"/>
    </row>
    <row r="3" spans="2:32" x14ac:dyDescent="0.3">
      <c r="B3" s="1650"/>
      <c r="C3" s="1650"/>
      <c r="D3" s="1650"/>
      <c r="E3" s="1650"/>
      <c r="F3" s="1650"/>
      <c r="G3" s="1650"/>
      <c r="H3" s="1650"/>
      <c r="I3" s="1650"/>
      <c r="J3" s="1650"/>
      <c r="K3" s="1650"/>
      <c r="L3" s="1650"/>
      <c r="M3" s="1650"/>
      <c r="N3" s="1650"/>
      <c r="O3" s="1650"/>
      <c r="P3" s="1650"/>
      <c r="Q3" s="1650"/>
      <c r="R3" s="1650"/>
      <c r="S3" s="1650"/>
      <c r="T3" s="1650"/>
      <c r="U3" s="1650"/>
      <c r="V3" s="1650"/>
      <c r="W3" s="1650"/>
      <c r="X3" s="1650"/>
      <c r="Y3" s="1650"/>
      <c r="Z3" s="1650"/>
      <c r="AA3" s="1650"/>
      <c r="AB3" s="1650"/>
      <c r="AC3" s="1650"/>
    </row>
    <row r="4" spans="2:32" x14ac:dyDescent="0.3">
      <c r="B4" s="1650"/>
      <c r="C4" s="1650"/>
      <c r="D4" s="1650"/>
      <c r="E4" s="1650"/>
      <c r="F4" s="1650"/>
      <c r="G4" s="1650"/>
      <c r="H4" s="1650"/>
      <c r="I4" s="1650"/>
      <c r="J4" s="1650"/>
      <c r="K4" s="1650"/>
      <c r="L4" s="1650"/>
      <c r="M4" s="1650"/>
      <c r="N4" s="1650"/>
      <c r="O4" s="1650"/>
      <c r="P4" s="1650"/>
      <c r="Q4" s="1650"/>
      <c r="R4" s="1650"/>
      <c r="S4" s="1650"/>
      <c r="T4" s="1650"/>
      <c r="U4" s="1650"/>
      <c r="V4" s="1650"/>
      <c r="W4" s="1650"/>
      <c r="X4" s="1650"/>
      <c r="Y4" s="1650"/>
      <c r="Z4" s="1650"/>
      <c r="AA4" s="1650"/>
      <c r="AB4" s="1650"/>
      <c r="AC4" s="1650"/>
    </row>
    <row r="5" spans="2:32" x14ac:dyDescent="0.3">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
      <c r="B6" s="35"/>
      <c r="C6" s="886"/>
      <c r="D6" s="861"/>
      <c r="E6" s="861"/>
      <c r="F6" s="861"/>
      <c r="G6" s="861"/>
      <c r="H6" s="861"/>
      <c r="I6" s="861"/>
      <c r="J6" s="861"/>
      <c r="K6" s="861"/>
      <c r="L6" s="861"/>
      <c r="M6" s="861"/>
      <c r="N6" s="861"/>
      <c r="O6" s="861"/>
      <c r="P6" s="861"/>
      <c r="Q6" s="861"/>
      <c r="R6" s="861"/>
      <c r="S6" s="861"/>
      <c r="T6" s="861"/>
      <c r="U6" s="861"/>
      <c r="V6" s="861"/>
      <c r="W6" s="861"/>
      <c r="X6" s="861"/>
      <c r="Y6" s="861"/>
      <c r="Z6" s="861"/>
      <c r="AA6" s="861"/>
      <c r="AB6" s="861"/>
      <c r="AC6" s="861"/>
      <c r="AD6" s="861"/>
      <c r="AE6" s="861"/>
      <c r="AF6" s="861"/>
    </row>
    <row r="7" spans="2:32" ht="14.55" customHeight="1" x14ac:dyDescent="0.3">
      <c r="B7" s="1710" t="s">
        <v>1746</v>
      </c>
      <c r="C7" s="1710"/>
      <c r="D7" s="1710"/>
      <c r="E7" s="1710"/>
      <c r="F7" s="1710"/>
      <c r="G7" s="160"/>
      <c r="H7" s="160"/>
      <c r="I7" s="160"/>
      <c r="J7" s="160"/>
      <c r="K7" s="160"/>
      <c r="L7" s="160"/>
      <c r="M7" s="160"/>
      <c r="N7" s="160"/>
      <c r="O7" s="160"/>
      <c r="P7" s="160"/>
      <c r="Q7" s="160"/>
      <c r="R7" s="160"/>
      <c r="S7" s="160"/>
      <c r="T7" s="1145"/>
      <c r="U7" s="1145"/>
      <c r="V7" s="160"/>
      <c r="W7" s="160"/>
      <c r="X7" s="160"/>
      <c r="Y7" s="160"/>
      <c r="Z7" s="160"/>
      <c r="AA7" s="160"/>
      <c r="AB7" s="160"/>
      <c r="AC7" s="160"/>
    </row>
    <row r="8" spans="2:32" x14ac:dyDescent="0.3">
      <c r="B8" s="1629" t="s">
        <v>1735</v>
      </c>
      <c r="C8" s="1630"/>
      <c r="D8" s="1625" t="s">
        <v>280</v>
      </c>
      <c r="E8" s="1626"/>
      <c r="F8" s="1626"/>
      <c r="G8" s="1626"/>
      <c r="H8" s="1626"/>
      <c r="I8" s="1626"/>
      <c r="J8" s="1626"/>
      <c r="K8" s="1626"/>
      <c r="L8" s="1626"/>
      <c r="M8" s="1626"/>
      <c r="N8" s="1626"/>
      <c r="O8" s="1626"/>
      <c r="P8" s="1626"/>
      <c r="Q8" s="1659"/>
      <c r="R8" s="1659"/>
      <c r="S8" s="1143"/>
      <c r="T8" s="1286"/>
      <c r="U8" s="1484"/>
      <c r="V8" s="1247" t="s">
        <v>1806</v>
      </c>
      <c r="W8" s="1247"/>
      <c r="X8" s="1247"/>
      <c r="Y8" s="1247"/>
      <c r="Z8" s="1247"/>
      <c r="AA8" s="1247"/>
      <c r="AB8" s="1247"/>
      <c r="AC8" s="1247"/>
      <c r="AD8" s="1247"/>
      <c r="AE8" s="1247"/>
      <c r="AF8" s="1248"/>
    </row>
    <row r="9" spans="2:32" x14ac:dyDescent="0.3">
      <c r="B9" s="1617"/>
      <c r="C9" s="1618"/>
      <c r="D9" s="118">
        <v>2018</v>
      </c>
      <c r="E9" s="1612">
        <v>2019</v>
      </c>
      <c r="F9" s="1642"/>
      <c r="G9" s="1642"/>
      <c r="H9" s="1614"/>
      <c r="I9" s="1612">
        <v>2020</v>
      </c>
      <c r="J9" s="1642"/>
      <c r="K9" s="1642"/>
      <c r="L9" s="1642"/>
      <c r="M9" s="1612">
        <v>2021</v>
      </c>
      <c r="N9" s="1642"/>
      <c r="O9" s="1642"/>
      <c r="P9" s="1642"/>
      <c r="Q9" s="1714">
        <v>2022</v>
      </c>
      <c r="R9" s="1700"/>
      <c r="S9" s="814"/>
      <c r="T9" s="1218"/>
      <c r="U9" s="1486"/>
      <c r="V9" s="1243">
        <v>2023</v>
      </c>
      <c r="W9" s="1485"/>
      <c r="X9" s="1485"/>
      <c r="Y9" s="1628">
        <v>2024</v>
      </c>
      <c r="Z9" s="1640"/>
      <c r="AA9" s="1640"/>
      <c r="AB9" s="1641"/>
      <c r="AC9" s="1628">
        <v>2025</v>
      </c>
      <c r="AD9" s="1640"/>
      <c r="AE9" s="1640"/>
      <c r="AF9" s="1641"/>
    </row>
    <row r="10" spans="2:32" x14ac:dyDescent="0.3">
      <c r="B10" s="1619"/>
      <c r="C10" s="1620"/>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219" t="s">
        <v>238</v>
      </c>
      <c r="T10" s="1140" t="s">
        <v>282</v>
      </c>
      <c r="U10" s="1315" t="s">
        <v>283</v>
      </c>
      <c r="V10" s="1287"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
      <c r="B11" s="1711" t="s">
        <v>1745</v>
      </c>
      <c r="C11" s="1712"/>
      <c r="D11" s="1712"/>
      <c r="E11" s="1712"/>
      <c r="F11" s="1712"/>
      <c r="G11" s="1712"/>
      <c r="H11" s="1712"/>
      <c r="I11" s="1712"/>
      <c r="J11" s="1712"/>
      <c r="K11" s="1712"/>
      <c r="L11" s="1712"/>
      <c r="M11" s="1712"/>
      <c r="N11" s="1712"/>
      <c r="O11" s="1712"/>
      <c r="P11" s="1712"/>
      <c r="Q11" s="1712"/>
      <c r="R11" s="1712"/>
      <c r="S11" s="1712"/>
      <c r="T11" s="1712"/>
      <c r="U11" s="1712"/>
      <c r="V11" s="1712"/>
      <c r="W11" s="1712"/>
      <c r="X11" s="1712"/>
      <c r="Y11" s="1712"/>
      <c r="Z11" s="1712"/>
      <c r="AA11" s="1712"/>
      <c r="AB11" s="1712"/>
      <c r="AC11" s="1712"/>
      <c r="AD11" s="1712"/>
      <c r="AE11" s="1712"/>
      <c r="AF11" s="1713"/>
    </row>
    <row r="12" spans="2:32" x14ac:dyDescent="0.3">
      <c r="B12" s="864" t="s">
        <v>1724</v>
      </c>
      <c r="C12" s="865"/>
      <c r="D12" s="862">
        <f t="shared" ref="D12:S12" si="0">D45</f>
        <v>1.5156509117148609E-2</v>
      </c>
      <c r="E12" s="862">
        <f t="shared" si="0"/>
        <v>8.3593342288621475E-3</v>
      </c>
      <c r="F12" s="862">
        <f t="shared" si="0"/>
        <v>2.4734353401225873E-2</v>
      </c>
      <c r="G12" s="862">
        <f t="shared" si="0"/>
        <v>1.0490970472330163E-2</v>
      </c>
      <c r="H12" s="862">
        <f t="shared" si="0"/>
        <v>1.4569048707785859E-2</v>
      </c>
      <c r="I12" s="862">
        <f t="shared" si="0"/>
        <v>1.4662498774455912E-2</v>
      </c>
      <c r="J12" s="862">
        <f t="shared" si="0"/>
        <v>-1.794085945788193E-2</v>
      </c>
      <c r="K12" s="862">
        <f t="shared" si="0"/>
        <v>3.3775526155126689E-2</v>
      </c>
      <c r="L12" s="862">
        <f t="shared" si="0"/>
        <v>1.6442937470855457E-2</v>
      </c>
      <c r="M12" s="862">
        <f t="shared" si="0"/>
        <v>4.5025943450949013E-2</v>
      </c>
      <c r="N12" s="862">
        <f t="shared" si="0"/>
        <v>6.444180274366329E-2</v>
      </c>
      <c r="O12" s="862">
        <f t="shared" si="0"/>
        <v>5.5998846943190017E-2</v>
      </c>
      <c r="P12" s="862">
        <f t="shared" si="0"/>
        <v>6.1859650545573519E-2</v>
      </c>
      <c r="Q12" s="862">
        <f t="shared" si="0"/>
        <v>7.4784916271317448E-2</v>
      </c>
      <c r="R12" s="862">
        <f t="shared" si="0"/>
        <v>7.2922192171477107E-2</v>
      </c>
      <c r="S12" s="862">
        <f t="shared" si="0"/>
        <v>4.3177876601944165E-2</v>
      </c>
      <c r="T12" s="889">
        <f>T45</f>
        <v>3.7424183382891885E-2</v>
      </c>
      <c r="U12" s="1488">
        <f>U45+U13</f>
        <v>4.1626587212286736E-2</v>
      </c>
      <c r="V12" s="862">
        <f t="shared" ref="V12:AF12" si="1">V45+V13</f>
        <v>3.3692799617050628E-2</v>
      </c>
      <c r="W12" s="862">
        <f t="shared" si="1"/>
        <v>3.3167790258204821E-2</v>
      </c>
      <c r="X12" s="862">
        <f t="shared" si="1"/>
        <v>2.9707222134434552E-2</v>
      </c>
      <c r="Y12" s="862">
        <f t="shared" si="1"/>
        <v>2.6454849931970781E-2</v>
      </c>
      <c r="Z12" s="862">
        <f t="shared" si="1"/>
        <v>2.4178630417615032E-2</v>
      </c>
      <c r="AA12" s="862">
        <f t="shared" si="1"/>
        <v>2.3052401549803703E-2</v>
      </c>
      <c r="AB12" s="862">
        <f t="shared" si="1"/>
        <v>2.2407286089961342E-2</v>
      </c>
      <c r="AC12" s="862">
        <f t="shared" si="1"/>
        <v>2.2473232090692186E-2</v>
      </c>
      <c r="AD12" s="862">
        <f t="shared" si="1"/>
        <v>2.2071462401670683E-2</v>
      </c>
      <c r="AE12" s="862">
        <f t="shared" si="1"/>
        <v>2.1752174739111618E-2</v>
      </c>
      <c r="AF12" s="863">
        <f t="shared" si="1"/>
        <v>2.1591374086621817E-2</v>
      </c>
    </row>
    <row r="13" spans="2:32" x14ac:dyDescent="0.3">
      <c r="B13" s="871" t="s">
        <v>1801</v>
      </c>
      <c r="C13" s="866"/>
      <c r="D13" s="867"/>
      <c r="E13" s="868"/>
      <c r="F13" s="868"/>
      <c r="G13" s="868"/>
      <c r="H13" s="868"/>
      <c r="I13" s="868"/>
      <c r="J13" s="868"/>
      <c r="K13" s="868"/>
      <c r="L13" s="868"/>
      <c r="M13" s="868"/>
      <c r="N13" s="868"/>
      <c r="O13" s="868"/>
      <c r="P13" s="868"/>
      <c r="Q13" s="868"/>
      <c r="R13" s="868"/>
      <c r="S13" s="868"/>
      <c r="T13" s="868"/>
      <c r="U13" s="869"/>
      <c r="V13" s="868"/>
      <c r="W13" s="868"/>
      <c r="X13" s="868"/>
      <c r="Y13" s="868"/>
      <c r="Z13" s="868"/>
      <c r="AA13" s="868"/>
      <c r="AB13" s="868"/>
      <c r="AC13" s="868"/>
      <c r="AD13" s="868"/>
      <c r="AE13" s="868"/>
      <c r="AF13" s="869"/>
    </row>
    <row r="14" spans="2:32" x14ac:dyDescent="0.3">
      <c r="B14" s="712" t="s">
        <v>1725</v>
      </c>
      <c r="C14" s="865"/>
      <c r="D14" s="861">
        <f t="shared" ref="D14:S14" si="2">D46</f>
        <v>2.9652502701153827E-2</v>
      </c>
      <c r="E14" s="861">
        <f t="shared" si="2"/>
        <v>4.3357912415273203E-2</v>
      </c>
      <c r="F14" s="861">
        <f t="shared" si="2"/>
        <v>-2.634393397263235E-2</v>
      </c>
      <c r="G14" s="861">
        <f t="shared" si="2"/>
        <v>1.0018821110834297E-2</v>
      </c>
      <c r="H14" s="861">
        <f t="shared" si="2"/>
        <v>1.6245763277308534E-2</v>
      </c>
      <c r="I14" s="861">
        <f t="shared" si="2"/>
        <v>1.3591255249431944E-2</v>
      </c>
      <c r="J14" s="861">
        <f t="shared" si="2"/>
        <v>3.3104511883148557E-3</v>
      </c>
      <c r="K14" s="861">
        <f t="shared" si="2"/>
        <v>2.5959727144998501E-2</v>
      </c>
      <c r="L14" s="861">
        <f t="shared" si="2"/>
        <v>2.4447407360365325E-2</v>
      </c>
      <c r="M14" s="861">
        <f t="shared" si="2"/>
        <v>4.0827649049088865E-2</v>
      </c>
      <c r="N14" s="861">
        <f t="shared" si="2"/>
        <v>4.1247362410053112E-2</v>
      </c>
      <c r="O14" s="861">
        <f t="shared" si="2"/>
        <v>4.4017858095279694E-2</v>
      </c>
      <c r="P14" s="861">
        <f t="shared" si="2"/>
        <v>4.3432299825096221E-2</v>
      </c>
      <c r="Q14" s="861">
        <f t="shared" si="2"/>
        <v>5.6798579453040565E-2</v>
      </c>
      <c r="R14" s="861">
        <f t="shared" si="2"/>
        <v>5.9959109255099508E-2</v>
      </c>
      <c r="S14" s="861">
        <f t="shared" si="2"/>
        <v>4.8205722331254197E-2</v>
      </c>
      <c r="T14" s="1487">
        <f>T46</f>
        <v>3.1513836354732261E-2</v>
      </c>
      <c r="U14" s="891">
        <f>U46+U15</f>
        <v>3.2429632619026538E-2</v>
      </c>
      <c r="V14" s="861">
        <f t="shared" ref="V14:AF14" si="3">V46+V15</f>
        <v>2.3505953506363975E-2</v>
      </c>
      <c r="W14" s="861">
        <f t="shared" si="3"/>
        <v>2.5343185973087934E-2</v>
      </c>
      <c r="X14" s="861">
        <f t="shared" si="3"/>
        <v>2.5512101094298911E-2</v>
      </c>
      <c r="Y14" s="861">
        <f t="shared" si="3"/>
        <v>2.940897202642212E-2</v>
      </c>
      <c r="Z14" s="861">
        <f t="shared" si="3"/>
        <v>2.823164052632654E-2</v>
      </c>
      <c r="AA14" s="861">
        <f t="shared" si="3"/>
        <v>2.7484808362226332E-2</v>
      </c>
      <c r="AB14" s="861">
        <f t="shared" si="3"/>
        <v>2.6738284169484539E-2</v>
      </c>
      <c r="AC14" s="861">
        <f t="shared" si="3"/>
        <v>2.4037894596453224E-2</v>
      </c>
      <c r="AD14" s="861">
        <f t="shared" si="3"/>
        <v>2.4492235467838519E-2</v>
      </c>
      <c r="AE14" s="861">
        <f t="shared" si="3"/>
        <v>2.4419305134427693E-2</v>
      </c>
      <c r="AF14" s="891">
        <f t="shared" si="3"/>
        <v>2.4121029556380291E-2</v>
      </c>
    </row>
    <row r="15" spans="2:32" x14ac:dyDescent="0.3">
      <c r="B15" s="124" t="s">
        <v>1802</v>
      </c>
      <c r="C15" s="866"/>
      <c r="D15" s="867"/>
      <c r="E15" s="868"/>
      <c r="F15" s="868"/>
      <c r="G15" s="868"/>
      <c r="H15" s="868"/>
      <c r="I15" s="868"/>
      <c r="J15" s="868"/>
      <c r="K15" s="868"/>
      <c r="L15" s="868"/>
      <c r="M15" s="868"/>
      <c r="N15" s="868"/>
      <c r="O15" s="868"/>
      <c r="P15" s="868"/>
      <c r="Q15" s="868"/>
      <c r="R15" s="868"/>
      <c r="S15" s="868"/>
      <c r="T15" s="868"/>
      <c r="U15" s="869"/>
      <c r="V15" s="868"/>
      <c r="W15" s="868"/>
      <c r="X15" s="868"/>
      <c r="Y15" s="868"/>
      <c r="Z15" s="868"/>
      <c r="AA15" s="868"/>
      <c r="AB15" s="868"/>
      <c r="AC15" s="868"/>
      <c r="AD15" s="868"/>
      <c r="AE15" s="868"/>
      <c r="AF15" s="869"/>
    </row>
    <row r="16" spans="2:32" x14ac:dyDescent="0.3">
      <c r="B16" s="712" t="s">
        <v>1726</v>
      </c>
      <c r="C16" s="865"/>
      <c r="D16" s="861">
        <f t="shared" ref="D16:T16" si="4">D47</f>
        <v>2.0739486303195998E-2</v>
      </c>
      <c r="E16" s="861">
        <f t="shared" si="4"/>
        <v>-1.0909955372547464E-2</v>
      </c>
      <c r="F16" s="861">
        <f t="shared" si="4"/>
        <v>2.9915559028399707E-2</v>
      </c>
      <c r="G16" s="861">
        <f t="shared" si="4"/>
        <v>1.0527559706478895E-2</v>
      </c>
      <c r="H16" s="861">
        <f t="shared" si="4"/>
        <v>1.4919704890896002E-2</v>
      </c>
      <c r="I16" s="861">
        <f t="shared" si="4"/>
        <v>4.3158369252632278E-2</v>
      </c>
      <c r="J16" s="861">
        <f t="shared" si="4"/>
        <v>-2.2930962354547058E-3</v>
      </c>
      <c r="K16" s="861">
        <f t="shared" si="4"/>
        <v>3.587837095953339E-2</v>
      </c>
      <c r="L16" s="861">
        <f t="shared" si="4"/>
        <v>4.5534894387470937E-2</v>
      </c>
      <c r="M16" s="861">
        <f t="shared" si="4"/>
        <v>8.7714323909891423E-2</v>
      </c>
      <c r="N16" s="861">
        <f t="shared" si="4"/>
        <v>8.4888593948209357E-2</v>
      </c>
      <c r="O16" s="861">
        <f t="shared" si="4"/>
        <v>6.9703587118332688E-2</v>
      </c>
      <c r="P16" s="861">
        <f t="shared" si="4"/>
        <v>9.0463399615994478E-2</v>
      </c>
      <c r="Q16" s="861">
        <f t="shared" si="4"/>
        <v>0.10558682780244433</v>
      </c>
      <c r="R16" s="861">
        <f t="shared" si="4"/>
        <v>0.14979890704557142</v>
      </c>
      <c r="S16" s="861">
        <f t="shared" si="4"/>
        <v>2.9055945911607095E-2</v>
      </c>
      <c r="T16" s="1487">
        <f t="shared" si="4"/>
        <v>3.8778201417324798E-2</v>
      </c>
      <c r="U16" s="891">
        <f>U47+U17</f>
        <v>5.7581977776326454E-3</v>
      </c>
      <c r="V16" s="861">
        <f t="shared" ref="V16:AF16" si="5">V47+V17</f>
        <v>3.2439960780993538E-2</v>
      </c>
      <c r="W16" s="861">
        <f t="shared" si="5"/>
        <v>3.4971806389749727E-2</v>
      </c>
      <c r="X16" s="861">
        <f t="shared" si="5"/>
        <v>3.4409055377128128E-2</v>
      </c>
      <c r="Y16" s="861">
        <f t="shared" si="5"/>
        <v>3.1280978879036248E-2</v>
      </c>
      <c r="Z16" s="861">
        <f t="shared" si="5"/>
        <v>2.8069377631034564E-2</v>
      </c>
      <c r="AA16" s="861">
        <f t="shared" si="5"/>
        <v>2.7079936500734814E-2</v>
      </c>
      <c r="AB16" s="861">
        <f t="shared" si="5"/>
        <v>2.6642026237504224E-2</v>
      </c>
      <c r="AC16" s="861">
        <f t="shared" si="5"/>
        <v>2.7649904239910983E-2</v>
      </c>
      <c r="AD16" s="861">
        <f t="shared" si="5"/>
        <v>2.7332985680263322E-2</v>
      </c>
      <c r="AE16" s="861">
        <f t="shared" si="5"/>
        <v>2.7468596479684804E-2</v>
      </c>
      <c r="AF16" s="891">
        <f t="shared" si="5"/>
        <v>2.7135528596684111E-2</v>
      </c>
    </row>
    <row r="17" spans="2:33" x14ac:dyDescent="0.3">
      <c r="B17" s="124" t="s">
        <v>1803</v>
      </c>
      <c r="C17" s="866"/>
      <c r="D17" s="867"/>
      <c r="E17" s="868"/>
      <c r="F17" s="868"/>
      <c r="G17" s="868"/>
      <c r="H17" s="868"/>
      <c r="I17" s="868"/>
      <c r="J17" s="868"/>
      <c r="K17" s="868"/>
      <c r="L17" s="868"/>
      <c r="M17" s="868"/>
      <c r="N17" s="868"/>
      <c r="O17" s="868"/>
      <c r="P17" s="868"/>
      <c r="Q17" s="868"/>
      <c r="R17" s="868"/>
      <c r="S17" s="868"/>
      <c r="T17" s="868"/>
      <c r="U17" s="869"/>
      <c r="V17" s="868"/>
      <c r="W17" s="868"/>
      <c r="X17" s="868"/>
      <c r="Y17" s="868"/>
      <c r="Z17" s="868"/>
      <c r="AA17" s="868"/>
      <c r="AB17" s="868"/>
      <c r="AC17" s="868"/>
      <c r="AD17" s="868"/>
      <c r="AE17" s="868"/>
      <c r="AF17" s="869"/>
    </row>
    <row r="18" spans="2:33" x14ac:dyDescent="0.3">
      <c r="B18" s="712" t="s">
        <v>1727</v>
      </c>
      <c r="C18" s="865"/>
      <c r="D18" s="861">
        <f t="shared" ref="D18:T18" si="6">D48</f>
        <v>1.6036274889288604E-2</v>
      </c>
      <c r="E18" s="861">
        <f t="shared" si="6"/>
        <v>-1.6750426853228473E-2</v>
      </c>
      <c r="F18" s="861">
        <f t="shared" si="6"/>
        <v>2.5813818283004775E-2</v>
      </c>
      <c r="G18" s="861">
        <f t="shared" si="6"/>
        <v>8.6124156242581851E-3</v>
      </c>
      <c r="H18" s="861">
        <f t="shared" si="6"/>
        <v>1.6996215944869331E-2</v>
      </c>
      <c r="I18" s="861">
        <f t="shared" si="6"/>
        <v>5.0660572456327158E-2</v>
      </c>
      <c r="J18" s="861">
        <f t="shared" si="6"/>
        <v>-1.0613393340251909E-3</v>
      </c>
      <c r="K18" s="861">
        <f t="shared" si="6"/>
        <v>3.4596703938156059E-2</v>
      </c>
      <c r="L18" s="861">
        <f t="shared" si="6"/>
        <v>5.1547958936444926E-2</v>
      </c>
      <c r="M18" s="861">
        <f t="shared" si="6"/>
        <v>9.2834286401326738E-2</v>
      </c>
      <c r="N18" s="861">
        <f t="shared" si="6"/>
        <v>8.057551462066237E-2</v>
      </c>
      <c r="O18" s="861">
        <f t="shared" si="6"/>
        <v>6.4680375979367932E-2</v>
      </c>
      <c r="P18" s="861">
        <f t="shared" si="6"/>
        <v>8.4136934840179034E-2</v>
      </c>
      <c r="Q18" s="861">
        <f t="shared" si="6"/>
        <v>0.10120576467409093</v>
      </c>
      <c r="R18" s="861">
        <f t="shared" si="6"/>
        <v>0.15221841372862355</v>
      </c>
      <c r="S18" s="861">
        <f t="shared" si="6"/>
        <v>1.6422651906601304E-2</v>
      </c>
      <c r="T18" s="1487">
        <f t="shared" si="6"/>
        <v>3.6078451145617141E-2</v>
      </c>
      <c r="U18" s="891">
        <f>U48+U19</f>
        <v>-2.3368941769098539E-3</v>
      </c>
      <c r="V18" s="861">
        <f t="shared" ref="V18:AF18" si="7">V48+V19</f>
        <v>3.2439960780993538E-2</v>
      </c>
      <c r="W18" s="861">
        <f t="shared" si="7"/>
        <v>3.4971806389749727E-2</v>
      </c>
      <c r="X18" s="861">
        <f t="shared" si="7"/>
        <v>3.4409055377128128E-2</v>
      </c>
      <c r="Y18" s="861">
        <f t="shared" si="7"/>
        <v>3.1280978879036248E-2</v>
      </c>
      <c r="Z18" s="861">
        <f t="shared" si="7"/>
        <v>2.8069377631034564E-2</v>
      </c>
      <c r="AA18" s="861">
        <f t="shared" si="7"/>
        <v>2.7079936500734814E-2</v>
      </c>
      <c r="AB18" s="861">
        <f t="shared" si="7"/>
        <v>2.6642026237504224E-2</v>
      </c>
      <c r="AC18" s="861">
        <f t="shared" si="7"/>
        <v>2.7649904239910983E-2</v>
      </c>
      <c r="AD18" s="861">
        <f t="shared" si="7"/>
        <v>2.7332985680263322E-2</v>
      </c>
      <c r="AE18" s="861">
        <f t="shared" si="7"/>
        <v>2.7468596479684804E-2</v>
      </c>
      <c r="AF18" s="891">
        <f t="shared" si="7"/>
        <v>2.7135528596684111E-2</v>
      </c>
    </row>
    <row r="19" spans="2:33" x14ac:dyDescent="0.3">
      <c r="B19" s="124" t="s">
        <v>1804</v>
      </c>
      <c r="C19" s="866"/>
      <c r="D19" s="867"/>
      <c r="E19" s="868"/>
      <c r="F19" s="868"/>
      <c r="G19" s="868"/>
      <c r="H19" s="868"/>
      <c r="I19" s="868"/>
      <c r="J19" s="868"/>
      <c r="K19" s="868"/>
      <c r="L19" s="868"/>
      <c r="M19" s="868"/>
      <c r="N19" s="868"/>
      <c r="O19" s="868"/>
      <c r="P19" s="868"/>
      <c r="Q19" s="868"/>
      <c r="R19" s="868"/>
      <c r="S19" s="868"/>
      <c r="T19" s="868"/>
      <c r="U19" s="869"/>
      <c r="V19" s="868"/>
      <c r="W19" s="868"/>
      <c r="X19" s="868"/>
      <c r="Y19" s="868"/>
      <c r="Z19" s="868"/>
      <c r="AA19" s="868"/>
      <c r="AB19" s="868"/>
      <c r="AC19" s="868"/>
      <c r="AD19" s="868"/>
      <c r="AE19" s="868"/>
      <c r="AF19" s="869"/>
      <c r="AG19" s="870"/>
    </row>
    <row r="20" spans="2:33" x14ac:dyDescent="0.3">
      <c r="B20" s="712" t="s">
        <v>1728</v>
      </c>
      <c r="C20" s="865"/>
      <c r="D20" s="861">
        <f t="shared" ref="D20:T20" si="8">D49</f>
        <v>4.1912016313215839E-2</v>
      </c>
      <c r="E20" s="861">
        <f t="shared" si="8"/>
        <v>1.5721372171975556E-2</v>
      </c>
      <c r="F20" s="861">
        <f t="shared" si="8"/>
        <v>4.8037769815769016E-2</v>
      </c>
      <c r="G20" s="861">
        <f t="shared" si="8"/>
        <v>1.9083730667159404E-2</v>
      </c>
      <c r="H20" s="861">
        <f t="shared" si="8"/>
        <v>5.8979339636944239E-3</v>
      </c>
      <c r="I20" s="861">
        <f t="shared" si="8"/>
        <v>1.0418465412080913E-2</v>
      </c>
      <c r="J20" s="861">
        <f t="shared" si="8"/>
        <v>-7.6555980249765065E-3</v>
      </c>
      <c r="K20" s="861">
        <f t="shared" si="8"/>
        <v>4.135501545294451E-2</v>
      </c>
      <c r="L20" s="861">
        <f t="shared" si="8"/>
        <v>1.8415186976738607E-2</v>
      </c>
      <c r="M20" s="861">
        <f t="shared" si="8"/>
        <v>6.4160755006020143E-2</v>
      </c>
      <c r="N20" s="861">
        <f t="shared" si="8"/>
        <v>0.10458990215743946</v>
      </c>
      <c r="O20" s="861">
        <f t="shared" si="8"/>
        <v>9.3631239224950313E-2</v>
      </c>
      <c r="P20" s="861">
        <f t="shared" si="8"/>
        <v>0.12124821634027616</v>
      </c>
      <c r="Q20" s="861">
        <f t="shared" si="8"/>
        <v>0.12687792670398412</v>
      </c>
      <c r="R20" s="861">
        <f t="shared" si="8"/>
        <v>0.13796693794697101</v>
      </c>
      <c r="S20" s="861">
        <f t="shared" si="8"/>
        <v>9.3268944702830758E-2</v>
      </c>
      <c r="T20" s="1487">
        <f t="shared" si="8"/>
        <v>5.1634147747456671E-2</v>
      </c>
      <c r="U20" s="891">
        <f>U49+U21</f>
        <v>4.4851105874934127E-2</v>
      </c>
      <c r="V20" s="861">
        <f t="shared" ref="V20:AF20" si="9">V49+V21</f>
        <v>3.2439960780993538E-2</v>
      </c>
      <c r="W20" s="861">
        <f t="shared" si="9"/>
        <v>3.4971806389749727E-2</v>
      </c>
      <c r="X20" s="861">
        <f t="shared" si="9"/>
        <v>3.4409055377128128E-2</v>
      </c>
      <c r="Y20" s="861">
        <f t="shared" si="9"/>
        <v>3.1280978879036248E-2</v>
      </c>
      <c r="Z20" s="861">
        <f t="shared" si="9"/>
        <v>2.8069377631034564E-2</v>
      </c>
      <c r="AA20" s="861">
        <f t="shared" si="9"/>
        <v>2.7079936500734814E-2</v>
      </c>
      <c r="AB20" s="861">
        <f t="shared" si="9"/>
        <v>2.6642026237504224E-2</v>
      </c>
      <c r="AC20" s="861">
        <f t="shared" si="9"/>
        <v>2.7649904239910983E-2</v>
      </c>
      <c r="AD20" s="861">
        <f t="shared" si="9"/>
        <v>2.7332985680263322E-2</v>
      </c>
      <c r="AE20" s="861">
        <f t="shared" si="9"/>
        <v>2.7468596479684804E-2</v>
      </c>
      <c r="AF20" s="891">
        <f t="shared" si="9"/>
        <v>2.7135528596684111E-2</v>
      </c>
    </row>
    <row r="21" spans="2:33" x14ac:dyDescent="0.3">
      <c r="B21" s="124" t="s">
        <v>1805</v>
      </c>
      <c r="C21" s="866"/>
      <c r="D21" s="893"/>
      <c r="E21" s="893"/>
      <c r="F21" s="893"/>
      <c r="G21" s="893"/>
      <c r="H21" s="893"/>
      <c r="I21" s="893"/>
      <c r="J21" s="893"/>
      <c r="K21" s="893"/>
      <c r="L21" s="893"/>
      <c r="M21" s="893"/>
      <c r="N21" s="893"/>
      <c r="O21" s="893"/>
      <c r="P21" s="893"/>
      <c r="Q21" s="893"/>
      <c r="R21" s="893"/>
      <c r="S21" s="893"/>
      <c r="T21" s="893"/>
      <c r="U21" s="894"/>
      <c r="V21" s="893"/>
      <c r="W21" s="893"/>
      <c r="X21" s="893"/>
      <c r="Y21" s="893"/>
      <c r="Z21" s="893"/>
      <c r="AA21" s="893"/>
      <c r="AB21" s="893"/>
      <c r="AC21" s="893"/>
      <c r="AD21" s="893"/>
      <c r="AE21" s="893"/>
      <c r="AF21" s="894"/>
    </row>
    <row r="22" spans="2:33" x14ac:dyDescent="0.3">
      <c r="B22" s="1715" t="s">
        <v>1749</v>
      </c>
      <c r="C22" s="1716"/>
      <c r="D22" s="1716"/>
      <c r="E22" s="1716"/>
      <c r="F22" s="1716"/>
      <c r="G22" s="1716"/>
      <c r="H22" s="1716"/>
      <c r="I22" s="1716"/>
      <c r="J22" s="1716"/>
      <c r="K22" s="1716"/>
      <c r="L22" s="1716"/>
      <c r="M22" s="1716"/>
      <c r="N22" s="1716"/>
      <c r="O22" s="1716"/>
      <c r="P22" s="1716"/>
      <c r="Q22" s="1716"/>
      <c r="R22" s="1716"/>
      <c r="S22" s="1716"/>
      <c r="T22" s="1716"/>
      <c r="U22" s="1716"/>
      <c r="V22" s="1716"/>
      <c r="W22" s="1716"/>
      <c r="X22" s="1716"/>
      <c r="Y22" s="1716"/>
      <c r="Z22" s="1716"/>
      <c r="AA22" s="1716"/>
      <c r="AB22" s="1716"/>
      <c r="AC22" s="1716"/>
      <c r="AD22" s="1716"/>
      <c r="AE22" s="1716"/>
      <c r="AF22" s="1717"/>
    </row>
    <row r="23" spans="2:33" x14ac:dyDescent="0.3">
      <c r="B23" s="913" t="s">
        <v>1724</v>
      </c>
      <c r="C23" s="855"/>
      <c r="D23" s="911">
        <f t="shared" ref="D23:AF23" si="10">(D12+1)^0.25-1</f>
        <v>3.7677794973836054E-3</v>
      </c>
      <c r="E23" s="911">
        <f t="shared" si="10"/>
        <v>2.0833142133425131E-3</v>
      </c>
      <c r="F23" s="911">
        <f t="shared" si="10"/>
        <v>6.127046928233737E-3</v>
      </c>
      <c r="G23" s="911">
        <f t="shared" si="10"/>
        <v>2.6124871423760521E-3</v>
      </c>
      <c r="H23" s="911">
        <f t="shared" si="10"/>
        <v>3.6225305055199719E-3</v>
      </c>
      <c r="I23" s="911">
        <f t="shared" si="10"/>
        <v>3.6456401581284048E-3</v>
      </c>
      <c r="J23" s="911">
        <f t="shared" si="10"/>
        <v>-4.5157103455735204E-3</v>
      </c>
      <c r="K23" s="911">
        <f t="shared" si="10"/>
        <v>8.3389922585903609E-3</v>
      </c>
      <c r="L23" s="911">
        <f t="shared" si="10"/>
        <v>4.0856275703535783E-3</v>
      </c>
      <c r="M23" s="911">
        <f t="shared" si="10"/>
        <v>1.1071265683547882E-2</v>
      </c>
      <c r="N23" s="911">
        <f t="shared" si="10"/>
        <v>1.5735147135566452E-2</v>
      </c>
      <c r="O23" s="911">
        <f t="shared" si="10"/>
        <v>1.3714972395896918E-2</v>
      </c>
      <c r="P23" s="911">
        <f t="shared" si="10"/>
        <v>1.5118586412170565E-2</v>
      </c>
      <c r="Q23" s="911">
        <f t="shared" si="10"/>
        <v>1.8193665219635502E-2</v>
      </c>
      <c r="R23" s="911">
        <f t="shared" si="10"/>
        <v>1.7752216949378008E-2</v>
      </c>
      <c r="S23" s="912">
        <f t="shared" si="10"/>
        <v>1.0623963938950931E-2</v>
      </c>
      <c r="T23" s="911">
        <f t="shared" si="10"/>
        <v>9.2275371687136065E-3</v>
      </c>
      <c r="U23" s="911">
        <f t="shared" si="10"/>
        <v>1.0248034459015898E-2</v>
      </c>
      <c r="V23" s="911">
        <f t="shared" si="10"/>
        <v>8.3188189000429347E-3</v>
      </c>
      <c r="W23" s="911">
        <f t="shared" si="10"/>
        <v>8.1907640097225176E-3</v>
      </c>
      <c r="X23" s="911">
        <f t="shared" si="10"/>
        <v>7.3454744803962413E-3</v>
      </c>
      <c r="Y23" s="911">
        <f t="shared" si="10"/>
        <v>6.5490951570947864E-3</v>
      </c>
      <c r="Z23" s="911">
        <f t="shared" si="10"/>
        <v>5.9906111616996327E-3</v>
      </c>
      <c r="AA23" s="911">
        <f t="shared" si="10"/>
        <v>5.71393990210467E-3</v>
      </c>
      <c r="AB23" s="911">
        <f t="shared" si="10"/>
        <v>5.5553568504056461E-3</v>
      </c>
      <c r="AC23" s="911">
        <f t="shared" si="10"/>
        <v>5.5715712180339771E-3</v>
      </c>
      <c r="AD23" s="911">
        <f t="shared" si="10"/>
        <v>5.4727745674469919E-3</v>
      </c>
      <c r="AE23" s="911">
        <f t="shared" si="10"/>
        <v>5.39423977829534E-3</v>
      </c>
      <c r="AF23" s="912">
        <f t="shared" si="10"/>
        <v>5.354680872593276E-3</v>
      </c>
    </row>
    <row r="24" spans="2:33" x14ac:dyDescent="0.3">
      <c r="B24" s="856" t="s">
        <v>1725</v>
      </c>
      <c r="C24" s="855"/>
      <c r="D24" s="911">
        <f t="shared" ref="D24:AF24" si="11">(D14+1)^0.25-1</f>
        <v>7.3320914354932931E-3</v>
      </c>
      <c r="E24" s="911">
        <f t="shared" si="11"/>
        <v>1.0667565499398624E-2</v>
      </c>
      <c r="F24" s="911">
        <f t="shared" si="11"/>
        <v>-6.652064573700045E-3</v>
      </c>
      <c r="G24" s="911">
        <f t="shared" si="11"/>
        <v>2.495349575790673E-3</v>
      </c>
      <c r="H24" s="911">
        <f t="shared" si="11"/>
        <v>4.0369297610427513E-3</v>
      </c>
      <c r="I24" s="911">
        <f t="shared" si="11"/>
        <v>3.3806321331337763E-3</v>
      </c>
      <c r="J24" s="911">
        <f t="shared" si="11"/>
        <v>8.2658736219798357E-4</v>
      </c>
      <c r="K24" s="911">
        <f t="shared" si="11"/>
        <v>6.4276929430036045E-3</v>
      </c>
      <c r="L24" s="911">
        <f t="shared" si="11"/>
        <v>6.0566056248829714E-3</v>
      </c>
      <c r="M24" s="911">
        <f t="shared" si="11"/>
        <v>1.0054261091605454E-2</v>
      </c>
      <c r="N24" s="911">
        <f t="shared" si="11"/>
        <v>1.0156071698179447E-2</v>
      </c>
      <c r="O24" s="911">
        <f t="shared" si="11"/>
        <v>1.0827344693645324E-2</v>
      </c>
      <c r="P24" s="911">
        <f t="shared" si="11"/>
        <v>1.0685579196217487E-2</v>
      </c>
      <c r="Q24" s="911">
        <f t="shared" si="11"/>
        <v>1.3906845400109002E-2</v>
      </c>
      <c r="R24" s="911">
        <f t="shared" si="11"/>
        <v>1.4664060468276618E-2</v>
      </c>
      <c r="S24" s="912">
        <f t="shared" si="11"/>
        <v>1.1839505254193972E-2</v>
      </c>
      <c r="T24" s="911">
        <f t="shared" si="11"/>
        <v>7.7870292442578926E-3</v>
      </c>
      <c r="U24" s="911">
        <f t="shared" si="11"/>
        <v>8.0106376078354913E-3</v>
      </c>
      <c r="V24" s="911">
        <f t="shared" si="11"/>
        <v>5.8253876907148339E-3</v>
      </c>
      <c r="W24" s="911">
        <f t="shared" si="11"/>
        <v>6.2764579641267915E-3</v>
      </c>
      <c r="X24" s="911">
        <f t="shared" si="11"/>
        <v>6.3178989208103609E-3</v>
      </c>
      <c r="Y24" s="911">
        <f t="shared" si="11"/>
        <v>7.2725232743062751E-3</v>
      </c>
      <c r="Z24" s="911">
        <f t="shared" si="11"/>
        <v>6.9843961411393263E-3</v>
      </c>
      <c r="AA24" s="911">
        <f t="shared" si="11"/>
        <v>6.8014963862881306E-3</v>
      </c>
      <c r="AB24" s="911">
        <f t="shared" si="11"/>
        <v>6.6185723821980957E-3</v>
      </c>
      <c r="AC24" s="911">
        <f t="shared" si="11"/>
        <v>5.9560502446180941E-3</v>
      </c>
      <c r="AD24" s="911">
        <f t="shared" si="11"/>
        <v>6.067611283465224E-3</v>
      </c>
      <c r="AE24" s="911">
        <f t="shared" si="11"/>
        <v>6.0497061196782553E-3</v>
      </c>
      <c r="AF24" s="912">
        <f t="shared" si="11"/>
        <v>5.9764663763033354E-3</v>
      </c>
    </row>
    <row r="25" spans="2:33" x14ac:dyDescent="0.3">
      <c r="B25" s="856" t="s">
        <v>1726</v>
      </c>
      <c r="C25" s="855"/>
      <c r="D25" s="911">
        <f t="shared" ref="D25:AF25" si="12">(D16+1)^0.25-1</f>
        <v>5.1450282316933826E-3</v>
      </c>
      <c r="E25" s="911">
        <f t="shared" si="12"/>
        <v>-2.7387191894091556E-3</v>
      </c>
      <c r="F25" s="911">
        <f t="shared" si="12"/>
        <v>7.3964237457664339E-3</v>
      </c>
      <c r="G25" s="911">
        <f t="shared" si="12"/>
        <v>2.6215630089621023E-3</v>
      </c>
      <c r="H25" s="911">
        <f t="shared" si="12"/>
        <v>3.7092374780660631E-3</v>
      </c>
      <c r="I25" s="911">
        <f t="shared" si="12"/>
        <v>1.0619239257432245E-2</v>
      </c>
      <c r="J25" s="911">
        <f t="shared" si="12"/>
        <v>-5.737676840339434E-4</v>
      </c>
      <c r="K25" s="911">
        <f t="shared" si="12"/>
        <v>8.8513774045670957E-3</v>
      </c>
      <c r="L25" s="911">
        <f t="shared" si="12"/>
        <v>1.1194346769946906E-2</v>
      </c>
      <c r="M25" s="911">
        <f t="shared" si="12"/>
        <v>2.1242104555839303E-2</v>
      </c>
      <c r="N25" s="911">
        <f t="shared" si="12"/>
        <v>2.0578196323559839E-2</v>
      </c>
      <c r="O25" s="911">
        <f t="shared" si="12"/>
        <v>1.6988080943209027E-2</v>
      </c>
      <c r="P25" s="911">
        <f t="shared" si="12"/>
        <v>2.1886762550021865E-2</v>
      </c>
      <c r="Q25" s="911">
        <f t="shared" si="12"/>
        <v>2.5411571298960212E-2</v>
      </c>
      <c r="R25" s="911">
        <f t="shared" si="12"/>
        <v>3.5512803061239939E-2</v>
      </c>
      <c r="S25" s="912">
        <f t="shared" si="12"/>
        <v>7.1861535090920192E-3</v>
      </c>
      <c r="T25" s="911">
        <f t="shared" si="12"/>
        <v>9.5566802500108849E-3</v>
      </c>
      <c r="U25" s="911">
        <f t="shared" si="12"/>
        <v>1.4364513904847609E-3</v>
      </c>
      <c r="V25" s="911">
        <f t="shared" si="12"/>
        <v>8.0131585685250251E-3</v>
      </c>
      <c r="W25" s="911">
        <f t="shared" si="12"/>
        <v>8.630577055315225E-3</v>
      </c>
      <c r="X25" s="911">
        <f t="shared" si="12"/>
        <v>8.4934420030498003E-3</v>
      </c>
      <c r="Y25" s="911">
        <f t="shared" si="12"/>
        <v>7.7301491027170766E-3</v>
      </c>
      <c r="Z25" s="911">
        <f t="shared" si="12"/>
        <v>6.9446663109324902E-3</v>
      </c>
      <c r="AA25" s="911">
        <f t="shared" si="12"/>
        <v>6.7023012839417806E-3</v>
      </c>
      <c r="AB25" s="911">
        <f t="shared" si="12"/>
        <v>6.5949786314196679E-3</v>
      </c>
      <c r="AC25" s="911">
        <f t="shared" si="12"/>
        <v>6.8419370723198369E-3</v>
      </c>
      <c r="AD25" s="911">
        <f t="shared" si="12"/>
        <v>6.764302704038716E-3</v>
      </c>
      <c r="AE25" s="911">
        <f t="shared" si="12"/>
        <v>6.7975249786220715E-3</v>
      </c>
      <c r="AF25" s="912">
        <f t="shared" si="12"/>
        <v>6.7159232896483179E-3</v>
      </c>
    </row>
    <row r="26" spans="2:33" x14ac:dyDescent="0.3">
      <c r="B26" s="856" t="s">
        <v>1727</v>
      </c>
      <c r="C26" s="855"/>
      <c r="D26" s="911">
        <f t="shared" ref="D26:AF26" si="13">(D18+1)^0.25-1</f>
        <v>3.9851828444024129E-3</v>
      </c>
      <c r="E26" s="911">
        <f t="shared" si="13"/>
        <v>-4.2141708050640325E-3</v>
      </c>
      <c r="F26" s="911">
        <f t="shared" si="13"/>
        <v>6.3919082655803372E-3</v>
      </c>
      <c r="G26" s="911">
        <f t="shared" si="13"/>
        <v>2.1461848510757608E-3</v>
      </c>
      <c r="H26" s="911">
        <f t="shared" si="13"/>
        <v>4.2222376989240473E-3</v>
      </c>
      <c r="I26" s="911">
        <f t="shared" si="13"/>
        <v>1.2431406205300366E-2</v>
      </c>
      <c r="J26" s="911">
        <f t="shared" si="13"/>
        <v>-2.6544050279575515E-4</v>
      </c>
      <c r="K26" s="911">
        <f t="shared" si="13"/>
        <v>8.5391757168795657E-3</v>
      </c>
      <c r="L26" s="911">
        <f t="shared" si="13"/>
        <v>1.2645113075675285E-2</v>
      </c>
      <c r="M26" s="911">
        <f t="shared" si="13"/>
        <v>2.2441757099008752E-2</v>
      </c>
      <c r="N26" s="911">
        <f t="shared" si="13"/>
        <v>1.9562328778359062E-2</v>
      </c>
      <c r="O26" s="911">
        <f t="shared" si="13"/>
        <v>1.5792056507083485E-2</v>
      </c>
      <c r="P26" s="911">
        <f t="shared" si="13"/>
        <v>2.0401374875263389E-2</v>
      </c>
      <c r="Q26" s="911">
        <f t="shared" si="13"/>
        <v>2.4394219276322904E-2</v>
      </c>
      <c r="R26" s="911">
        <f t="shared" si="13"/>
        <v>3.6057127703905678E-2</v>
      </c>
      <c r="S26" s="912">
        <f t="shared" si="13"/>
        <v>4.0806177967589452E-3</v>
      </c>
      <c r="T26" s="911">
        <f t="shared" si="13"/>
        <v>8.9000888552244195E-3</v>
      </c>
      <c r="U26" s="911">
        <f t="shared" si="13"/>
        <v>-5.8473621899446382E-4</v>
      </c>
      <c r="V26" s="911">
        <f t="shared" si="13"/>
        <v>8.0131585685250251E-3</v>
      </c>
      <c r="W26" s="911">
        <f t="shared" si="13"/>
        <v>8.630577055315225E-3</v>
      </c>
      <c r="X26" s="911">
        <f t="shared" si="13"/>
        <v>8.4934420030498003E-3</v>
      </c>
      <c r="Y26" s="911">
        <f t="shared" si="13"/>
        <v>7.7301491027170766E-3</v>
      </c>
      <c r="Z26" s="911">
        <f t="shared" si="13"/>
        <v>6.9446663109324902E-3</v>
      </c>
      <c r="AA26" s="911">
        <f t="shared" si="13"/>
        <v>6.7023012839417806E-3</v>
      </c>
      <c r="AB26" s="911">
        <f t="shared" si="13"/>
        <v>6.5949786314196679E-3</v>
      </c>
      <c r="AC26" s="911">
        <f t="shared" si="13"/>
        <v>6.8419370723198369E-3</v>
      </c>
      <c r="AD26" s="911">
        <f t="shared" si="13"/>
        <v>6.764302704038716E-3</v>
      </c>
      <c r="AE26" s="911">
        <f t="shared" si="13"/>
        <v>6.7975249786220715E-3</v>
      </c>
      <c r="AF26" s="912">
        <f t="shared" si="13"/>
        <v>6.7159232896483179E-3</v>
      </c>
    </row>
    <row r="27" spans="2:33" x14ac:dyDescent="0.3">
      <c r="B27" s="857" t="s">
        <v>1728</v>
      </c>
      <c r="C27" s="858"/>
      <c r="D27" s="859">
        <f t="shared" ref="D27:AF27" si="14">(D20+1)^0.25-1</f>
        <v>1.0317235016500392E-2</v>
      </c>
      <c r="E27" s="859">
        <f t="shared" si="14"/>
        <v>3.9073818785286818E-3</v>
      </c>
      <c r="F27" s="859">
        <f t="shared" si="14"/>
        <v>1.1798971416576265E-2</v>
      </c>
      <c r="G27" s="859">
        <f t="shared" si="14"/>
        <v>4.7371651351562072E-3</v>
      </c>
      <c r="H27" s="859">
        <f t="shared" si="14"/>
        <v>1.4712335131508159E-3</v>
      </c>
      <c r="I27" s="859">
        <f t="shared" si="14"/>
        <v>2.5945017182129604E-3</v>
      </c>
      <c r="J27" s="859">
        <f t="shared" si="14"/>
        <v>-1.9194186903395138E-3</v>
      </c>
      <c r="K27" s="859">
        <f t="shared" si="14"/>
        <v>1.0182180325898571E-2</v>
      </c>
      <c r="L27" s="859">
        <f t="shared" si="14"/>
        <v>4.5723415828120562E-3</v>
      </c>
      <c r="M27" s="859">
        <f t="shared" si="14"/>
        <v>1.5668093602477118E-2</v>
      </c>
      <c r="N27" s="859">
        <f t="shared" si="14"/>
        <v>2.5180335515684549E-2</v>
      </c>
      <c r="O27" s="859">
        <f t="shared" si="14"/>
        <v>2.2628110857430661E-2</v>
      </c>
      <c r="P27" s="859">
        <f t="shared" si="14"/>
        <v>2.9023851519918598E-2</v>
      </c>
      <c r="Q27" s="859">
        <f t="shared" si="14"/>
        <v>3.0313091147743609E-2</v>
      </c>
      <c r="R27" s="859">
        <f t="shared" si="14"/>
        <v>3.2838482925038104E-2</v>
      </c>
      <c r="S27" s="860">
        <f t="shared" si="14"/>
        <v>2.2543407123629677E-2</v>
      </c>
      <c r="T27" s="859">
        <f t="shared" si="14"/>
        <v>1.2665862484921631E-2</v>
      </c>
      <c r="U27" s="859">
        <f t="shared" si="14"/>
        <v>1.1028973828959732E-2</v>
      </c>
      <c r="V27" s="859">
        <f t="shared" si="14"/>
        <v>8.0131585685250251E-3</v>
      </c>
      <c r="W27" s="859">
        <f t="shared" si="14"/>
        <v>8.630577055315225E-3</v>
      </c>
      <c r="X27" s="859">
        <f t="shared" si="14"/>
        <v>8.4934420030498003E-3</v>
      </c>
      <c r="Y27" s="859">
        <f t="shared" si="14"/>
        <v>7.7301491027170766E-3</v>
      </c>
      <c r="Z27" s="859">
        <f t="shared" si="14"/>
        <v>6.9446663109324902E-3</v>
      </c>
      <c r="AA27" s="859">
        <f t="shared" si="14"/>
        <v>6.7023012839417806E-3</v>
      </c>
      <c r="AB27" s="859">
        <f t="shared" si="14"/>
        <v>6.5949786314196679E-3</v>
      </c>
      <c r="AC27" s="859">
        <f t="shared" si="14"/>
        <v>6.8419370723198369E-3</v>
      </c>
      <c r="AD27" s="859">
        <f t="shared" si="14"/>
        <v>6.764302704038716E-3</v>
      </c>
      <c r="AE27" s="859">
        <f t="shared" si="14"/>
        <v>6.7975249786220715E-3</v>
      </c>
      <c r="AF27" s="860">
        <f t="shared" si="14"/>
        <v>6.7159232896483179E-3</v>
      </c>
    </row>
    <row r="28" spans="2:33" x14ac:dyDescent="0.3">
      <c r="B28" s="35"/>
      <c r="C28" s="886"/>
      <c r="D28" s="861"/>
      <c r="E28" s="861"/>
      <c r="F28" s="861"/>
      <c r="G28" s="861"/>
      <c r="H28" s="861"/>
      <c r="I28" s="861"/>
      <c r="J28" s="861"/>
      <c r="K28" s="861"/>
      <c r="L28" s="861"/>
      <c r="M28" s="861"/>
      <c r="N28" s="861"/>
      <c r="O28" s="861"/>
      <c r="P28" s="861"/>
      <c r="Q28" s="861"/>
      <c r="R28" s="861"/>
      <c r="S28" s="861"/>
      <c r="T28" s="861"/>
      <c r="U28" s="861"/>
      <c r="V28" s="861"/>
      <c r="W28" s="861"/>
      <c r="X28" s="861"/>
      <c r="Y28" s="861"/>
      <c r="Z28" s="861"/>
      <c r="AA28" s="861"/>
      <c r="AB28" s="861"/>
      <c r="AC28" s="861"/>
      <c r="AD28" s="861"/>
      <c r="AE28" s="861"/>
      <c r="AF28" s="861"/>
    </row>
    <row r="29" spans="2:33" x14ac:dyDescent="0.3">
      <c r="B29" s="35"/>
      <c r="C29" s="886"/>
      <c r="D29" s="861"/>
      <c r="E29" s="861"/>
      <c r="F29" s="861"/>
      <c r="G29" s="861"/>
      <c r="H29" s="861"/>
      <c r="I29" s="861"/>
      <c r="J29" s="861"/>
      <c r="K29" s="861"/>
      <c r="L29" s="861"/>
      <c r="M29" s="861"/>
      <c r="N29" s="861"/>
      <c r="O29" s="861"/>
      <c r="P29" s="861"/>
      <c r="Q29" s="864" t="s">
        <v>1724</v>
      </c>
      <c r="R29" s="861"/>
      <c r="S29" s="861"/>
      <c r="T29" s="1488">
        <v>3.7424183382891885E-2</v>
      </c>
      <c r="U29" s="1534">
        <v>3.5724460314211282E-2</v>
      </c>
      <c r="V29" s="1534">
        <v>3.3692799617050628E-2</v>
      </c>
      <c r="W29" s="1534">
        <v>3.3167790258204821E-2</v>
      </c>
      <c r="X29" s="1534">
        <v>2.9707222134434552E-2</v>
      </c>
      <c r="Y29" s="1534">
        <v>2.6454849931970781E-2</v>
      </c>
      <c r="Z29" s="1534">
        <v>2.4178630417615032E-2</v>
      </c>
      <c r="AA29" s="1534">
        <v>2.3052401549803703E-2</v>
      </c>
      <c r="AB29" s="861"/>
      <c r="AC29" s="861"/>
      <c r="AD29" s="861"/>
      <c r="AE29" s="861"/>
      <c r="AF29" s="861"/>
    </row>
    <row r="30" spans="2:33" x14ac:dyDescent="0.3">
      <c r="B30" s="1533"/>
      <c r="C30" s="886"/>
      <c r="D30" s="861"/>
      <c r="E30" s="861"/>
      <c r="F30" s="861"/>
      <c r="G30" s="861"/>
      <c r="H30" s="861"/>
      <c r="I30" s="861"/>
      <c r="J30" s="861"/>
      <c r="K30" s="861"/>
      <c r="L30" s="861"/>
      <c r="M30" s="861"/>
      <c r="N30" s="861"/>
      <c r="O30" s="861"/>
      <c r="P30" s="861"/>
      <c r="Q30" s="871" t="s">
        <v>1801</v>
      </c>
      <c r="R30" s="861"/>
      <c r="S30" s="861"/>
      <c r="T30" s="869"/>
      <c r="U30" s="868"/>
      <c r="V30" s="868"/>
      <c r="W30" s="868"/>
      <c r="X30" s="868"/>
      <c r="Y30" s="868"/>
      <c r="Z30" s="868"/>
      <c r="AA30" s="868"/>
      <c r="AB30" s="861"/>
      <c r="AC30" s="861"/>
      <c r="AD30" s="861"/>
      <c r="AE30" s="861"/>
      <c r="AF30" s="861"/>
    </row>
    <row r="31" spans="2:33" x14ac:dyDescent="0.3">
      <c r="B31" s="1533"/>
      <c r="C31" s="886"/>
      <c r="D31" s="861"/>
      <c r="E31" s="861"/>
      <c r="F31" s="861"/>
      <c r="G31" s="861"/>
      <c r="H31" s="861"/>
      <c r="I31" s="861"/>
      <c r="J31" s="861"/>
      <c r="K31" s="861"/>
      <c r="L31" s="861"/>
      <c r="M31" s="861"/>
      <c r="N31" s="861"/>
      <c r="O31" s="861"/>
      <c r="P31" s="861"/>
      <c r="Q31" s="712" t="s">
        <v>1725</v>
      </c>
      <c r="R31" s="861"/>
      <c r="S31" s="861"/>
      <c r="T31" s="891">
        <v>3.1513836354732261E-2</v>
      </c>
      <c r="U31" s="861">
        <v>2.5929771595060602E-2</v>
      </c>
      <c r="V31" s="861">
        <v>2.3505953506363975E-2</v>
      </c>
      <c r="W31" s="861">
        <v>2.5343185973087934E-2</v>
      </c>
      <c r="X31" s="861">
        <v>2.5512101094298911E-2</v>
      </c>
      <c r="Y31" s="861">
        <v>2.940897202642212E-2</v>
      </c>
      <c r="Z31" s="861">
        <v>2.823164052632654E-2</v>
      </c>
      <c r="AA31" s="861">
        <v>2.7484808362226332E-2</v>
      </c>
      <c r="AB31" s="861"/>
      <c r="AC31" s="861"/>
      <c r="AD31" s="861"/>
      <c r="AE31" s="861"/>
      <c r="AF31" s="861"/>
    </row>
    <row r="32" spans="2:33" x14ac:dyDescent="0.3">
      <c r="B32" s="1533"/>
      <c r="C32" s="886"/>
      <c r="D32" s="861"/>
      <c r="E32" s="861"/>
      <c r="F32" s="861"/>
      <c r="G32" s="861"/>
      <c r="H32" s="861"/>
      <c r="I32" s="861"/>
      <c r="J32" s="861"/>
      <c r="K32" s="861"/>
      <c r="L32" s="861"/>
      <c r="M32" s="861"/>
      <c r="N32" s="861"/>
      <c r="O32" s="861"/>
      <c r="P32" s="861"/>
      <c r="Q32" s="124" t="s">
        <v>1802</v>
      </c>
      <c r="R32" s="861"/>
      <c r="S32" s="861"/>
      <c r="T32" s="869"/>
      <c r="U32" s="868"/>
      <c r="V32" s="868"/>
      <c r="W32" s="868"/>
      <c r="X32" s="868"/>
      <c r="Y32" s="868"/>
      <c r="Z32" s="868"/>
      <c r="AA32" s="868"/>
      <c r="AB32" s="861"/>
      <c r="AC32" s="861"/>
      <c r="AD32" s="861"/>
      <c r="AE32" s="861"/>
      <c r="AF32" s="861"/>
    </row>
    <row r="33" spans="2:32" x14ac:dyDescent="0.3">
      <c r="B33" s="1533"/>
      <c r="C33" s="886"/>
      <c r="D33" s="861"/>
      <c r="E33" s="861"/>
      <c r="F33" s="861"/>
      <c r="G33" s="861"/>
      <c r="H33" s="861"/>
      <c r="I33" s="861"/>
      <c r="J33" s="861"/>
      <c r="K33" s="861"/>
      <c r="L33" s="861"/>
      <c r="M33" s="861"/>
      <c r="N33" s="861"/>
      <c r="O33" s="861"/>
      <c r="P33" s="861"/>
      <c r="Q33" s="712" t="s">
        <v>1726</v>
      </c>
      <c r="R33" s="861"/>
      <c r="S33" s="861"/>
      <c r="T33" s="891">
        <v>3.8778201417324798E-2</v>
      </c>
      <c r="U33" s="861">
        <v>3.4770037870923476E-2</v>
      </c>
      <c r="V33" s="861">
        <v>3.2439960780993538E-2</v>
      </c>
      <c r="W33" s="861">
        <v>3.4971806389749727E-2</v>
      </c>
      <c r="X33" s="861">
        <v>3.4409055377128128E-2</v>
      </c>
      <c r="Y33" s="861">
        <v>3.1280978879036248E-2</v>
      </c>
      <c r="Z33" s="861">
        <v>2.8069377631034564E-2</v>
      </c>
      <c r="AA33" s="861">
        <v>2.7079936500734814E-2</v>
      </c>
      <c r="AB33" s="861"/>
      <c r="AC33" s="861"/>
      <c r="AD33" s="861"/>
      <c r="AE33" s="861"/>
      <c r="AF33" s="861"/>
    </row>
    <row r="34" spans="2:32" x14ac:dyDescent="0.3">
      <c r="B34" s="1533"/>
      <c r="C34" s="886"/>
      <c r="D34" s="861"/>
      <c r="E34" s="861"/>
      <c r="F34" s="861"/>
      <c r="G34" s="861"/>
      <c r="H34" s="861"/>
      <c r="I34" s="861"/>
      <c r="J34" s="861"/>
      <c r="K34" s="861"/>
      <c r="L34" s="861"/>
      <c r="M34" s="861"/>
      <c r="N34" s="861"/>
      <c r="O34" s="861"/>
      <c r="P34" s="861"/>
      <c r="Q34" s="124" t="s">
        <v>1803</v>
      </c>
      <c r="R34" s="861"/>
      <c r="S34" s="861"/>
      <c r="T34" s="869"/>
      <c r="U34" s="868"/>
      <c r="V34" s="868"/>
      <c r="W34" s="868"/>
      <c r="X34" s="868"/>
      <c r="Y34" s="868"/>
      <c r="Z34" s="868"/>
      <c r="AA34" s="868"/>
      <c r="AB34" s="861"/>
      <c r="AC34" s="861"/>
      <c r="AD34" s="861"/>
      <c r="AE34" s="861"/>
      <c r="AF34" s="861"/>
    </row>
    <row r="35" spans="2:32" x14ac:dyDescent="0.3">
      <c r="B35" s="1533"/>
      <c r="C35" s="886"/>
      <c r="D35" s="861"/>
      <c r="E35" s="861"/>
      <c r="F35" s="861"/>
      <c r="G35" s="861"/>
      <c r="H35" s="861"/>
      <c r="I35" s="861"/>
      <c r="J35" s="861"/>
      <c r="K35" s="861"/>
      <c r="L35" s="861"/>
      <c r="M35" s="861"/>
      <c r="N35" s="861"/>
      <c r="O35" s="861"/>
      <c r="P35" s="861"/>
      <c r="Q35" s="712" t="s">
        <v>1727</v>
      </c>
      <c r="R35" s="861"/>
      <c r="S35" s="861"/>
      <c r="T35" s="891">
        <v>3.6078451145617141E-2</v>
      </c>
      <c r="U35" s="861">
        <v>3.4770037870923476E-2</v>
      </c>
      <c r="V35" s="861">
        <v>3.2439960780993538E-2</v>
      </c>
      <c r="W35" s="861">
        <v>3.4971806389749727E-2</v>
      </c>
      <c r="X35" s="861">
        <v>3.4409055377128128E-2</v>
      </c>
      <c r="Y35" s="861">
        <v>3.1280978879036248E-2</v>
      </c>
      <c r="Z35" s="861">
        <v>2.8069377631034564E-2</v>
      </c>
      <c r="AA35" s="861">
        <v>2.7079936500734814E-2</v>
      </c>
      <c r="AB35" s="861"/>
      <c r="AC35" s="861"/>
      <c r="AD35" s="861"/>
      <c r="AE35" s="861"/>
      <c r="AF35" s="861"/>
    </row>
    <row r="36" spans="2:32" x14ac:dyDescent="0.3">
      <c r="B36" s="1533"/>
      <c r="C36" s="886"/>
      <c r="D36" s="861"/>
      <c r="E36" s="861"/>
      <c r="F36" s="861"/>
      <c r="G36" s="861"/>
      <c r="H36" s="861"/>
      <c r="I36" s="861"/>
      <c r="J36" s="861"/>
      <c r="K36" s="861"/>
      <c r="L36" s="861"/>
      <c r="M36" s="861"/>
      <c r="N36" s="861"/>
      <c r="O36" s="861"/>
      <c r="P36" s="861"/>
      <c r="Q36" s="124" t="s">
        <v>1804</v>
      </c>
      <c r="R36" s="861"/>
      <c r="S36" s="861"/>
      <c r="T36" s="869"/>
      <c r="U36" s="868"/>
      <c r="V36" s="868"/>
      <c r="W36" s="868"/>
      <c r="X36" s="868"/>
      <c r="Y36" s="868"/>
      <c r="Z36" s="868"/>
      <c r="AA36" s="868"/>
      <c r="AB36" s="861"/>
      <c r="AC36" s="861"/>
      <c r="AD36" s="861"/>
      <c r="AE36" s="861"/>
      <c r="AF36" s="861"/>
    </row>
    <row r="37" spans="2:32" x14ac:dyDescent="0.3">
      <c r="B37" s="35"/>
      <c r="C37" s="886"/>
      <c r="D37" s="861"/>
      <c r="E37" s="861"/>
      <c r="F37" s="861"/>
      <c r="G37" s="861"/>
      <c r="H37" s="861"/>
      <c r="I37" s="861"/>
      <c r="J37" s="861"/>
      <c r="K37" s="861"/>
      <c r="L37" s="861"/>
      <c r="M37" s="861"/>
      <c r="N37" s="861"/>
      <c r="O37" s="861"/>
      <c r="P37" s="861"/>
      <c r="Q37" s="712" t="s">
        <v>1728</v>
      </c>
      <c r="R37" s="861"/>
      <c r="S37" s="861"/>
      <c r="T37" s="891">
        <v>5.1634147747456671E-2</v>
      </c>
      <c r="U37" s="861">
        <v>3.4770037870923476E-2</v>
      </c>
      <c r="V37" s="861">
        <v>3.2439960780993538E-2</v>
      </c>
      <c r="W37" s="861">
        <v>3.4971806389749727E-2</v>
      </c>
      <c r="X37" s="861">
        <v>3.4409055377128128E-2</v>
      </c>
      <c r="Y37" s="861">
        <v>3.1280978879036248E-2</v>
      </c>
      <c r="Z37" s="861">
        <v>2.8069377631034564E-2</v>
      </c>
      <c r="AA37" s="861">
        <v>2.7079936500734814E-2</v>
      </c>
      <c r="AB37" s="861"/>
      <c r="AC37" s="861"/>
      <c r="AD37" s="861"/>
      <c r="AE37" s="861"/>
      <c r="AF37" s="861"/>
    </row>
    <row r="38" spans="2:32" x14ac:dyDescent="0.3">
      <c r="B38" s="35"/>
      <c r="C38" s="886"/>
      <c r="D38" s="861"/>
      <c r="E38" s="861"/>
      <c r="F38" s="861"/>
      <c r="G38" s="861"/>
      <c r="H38" s="861"/>
      <c r="I38" s="861"/>
      <c r="J38" s="861"/>
      <c r="K38" s="861"/>
      <c r="L38" s="861"/>
      <c r="M38" s="861"/>
      <c r="N38" s="861"/>
      <c r="O38" s="861"/>
      <c r="P38" s="861"/>
      <c r="Q38" s="124" t="s">
        <v>1805</v>
      </c>
      <c r="R38" s="861"/>
      <c r="S38" s="861"/>
      <c r="T38" s="894"/>
      <c r="U38" s="893"/>
      <c r="V38" s="893"/>
      <c r="W38" s="893"/>
      <c r="X38" s="893"/>
      <c r="Y38" s="893"/>
      <c r="Z38" s="893"/>
      <c r="AA38" s="893"/>
      <c r="AB38" s="861"/>
      <c r="AC38" s="861"/>
      <c r="AD38" s="861"/>
      <c r="AE38" s="861"/>
      <c r="AF38" s="861"/>
    </row>
    <row r="39" spans="2:32" x14ac:dyDescent="0.3">
      <c r="B39" s="35"/>
      <c r="C39" s="886"/>
      <c r="D39" s="861"/>
      <c r="E39" s="861"/>
      <c r="F39" s="861"/>
      <c r="G39" s="861"/>
      <c r="H39" s="861"/>
      <c r="I39" s="861"/>
      <c r="J39" s="861"/>
      <c r="K39" s="861"/>
      <c r="L39" s="861"/>
      <c r="M39" s="861"/>
      <c r="N39" s="861"/>
      <c r="O39" s="861"/>
      <c r="P39" s="861"/>
      <c r="Q39" s="861"/>
      <c r="R39" s="861"/>
      <c r="S39" s="861"/>
      <c r="T39" s="861"/>
      <c r="U39" s="861"/>
      <c r="V39" s="861"/>
      <c r="W39" s="861"/>
      <c r="X39" s="861"/>
      <c r="Y39" s="861"/>
      <c r="Z39" s="861"/>
      <c r="AA39" s="861"/>
      <c r="AB39" s="861"/>
      <c r="AC39" s="861"/>
      <c r="AD39" s="861"/>
      <c r="AE39" s="861"/>
      <c r="AF39" s="861"/>
    </row>
    <row r="40" spans="2:32" x14ac:dyDescent="0.3">
      <c r="B40" s="35"/>
      <c r="C40" s="886"/>
      <c r="D40" s="861"/>
      <c r="E40" s="861"/>
      <c r="F40" s="861"/>
      <c r="G40" s="861"/>
      <c r="H40" s="861"/>
      <c r="I40" s="861"/>
      <c r="J40" s="861"/>
      <c r="K40" s="861"/>
      <c r="L40" s="861"/>
      <c r="M40" s="861"/>
      <c r="N40" s="861"/>
      <c r="O40" s="861"/>
      <c r="P40" s="861"/>
      <c r="Q40" s="861"/>
      <c r="R40" s="861"/>
      <c r="S40" s="861"/>
      <c r="T40" s="861"/>
      <c r="U40" s="861"/>
      <c r="V40" s="861"/>
      <c r="W40" s="861"/>
      <c r="X40" s="861"/>
      <c r="Y40" s="861"/>
      <c r="Z40" s="861"/>
      <c r="AA40" s="861"/>
      <c r="AB40" s="861"/>
      <c r="AC40" s="861"/>
      <c r="AD40" s="861"/>
      <c r="AE40" s="861"/>
      <c r="AF40" s="861"/>
    </row>
    <row r="41" spans="2:32" x14ac:dyDescent="0.3">
      <c r="B41" s="1217" t="s">
        <v>2223</v>
      </c>
      <c r="C41" s="1217"/>
      <c r="D41" s="1142"/>
      <c r="E41" s="1142"/>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row>
    <row r="42" spans="2:32" x14ac:dyDescent="0.3">
      <c r="B42" s="1629" t="s">
        <v>1723</v>
      </c>
      <c r="C42" s="1630"/>
      <c r="D42" s="1631" t="s">
        <v>1747</v>
      </c>
      <c r="E42" s="1632"/>
      <c r="F42" s="1632"/>
      <c r="G42" s="1632"/>
      <c r="H42" s="1632"/>
      <c r="I42" s="1632"/>
      <c r="J42" s="1632"/>
      <c r="K42" s="1632"/>
      <c r="L42" s="1632"/>
      <c r="M42" s="1632"/>
      <c r="N42" s="1632"/>
      <c r="O42" s="1632"/>
      <c r="P42" s="1632"/>
      <c r="Q42" s="1659"/>
      <c r="R42" s="1659"/>
      <c r="S42" s="1659"/>
      <c r="T42" s="1659"/>
      <c r="U42" s="1491"/>
      <c r="V42" s="1489" t="s">
        <v>1798</v>
      </c>
      <c r="W42" s="1489"/>
      <c r="X42" s="1489"/>
      <c r="Y42" s="1489"/>
      <c r="Z42" s="1489"/>
      <c r="AA42" s="1489"/>
      <c r="AB42" s="1489"/>
      <c r="AC42" s="1489"/>
      <c r="AD42" s="1489"/>
      <c r="AE42" s="1489"/>
      <c r="AF42" s="1490"/>
    </row>
    <row r="43" spans="2:32" x14ac:dyDescent="0.3">
      <c r="B43" s="1617"/>
      <c r="C43" s="1618"/>
      <c r="D43" s="118">
        <v>2018</v>
      </c>
      <c r="E43" s="1612">
        <v>2019</v>
      </c>
      <c r="F43" s="1642"/>
      <c r="G43" s="1642"/>
      <c r="H43" s="1614"/>
      <c r="I43" s="1612">
        <v>2020</v>
      </c>
      <c r="J43" s="1642"/>
      <c r="K43" s="1642"/>
      <c r="L43" s="1642"/>
      <c r="M43" s="1612">
        <v>2021</v>
      </c>
      <c r="N43" s="1642"/>
      <c r="O43" s="1642"/>
      <c r="P43" s="1642"/>
      <c r="Q43" s="1600">
        <v>2022</v>
      </c>
      <c r="R43" s="1601"/>
      <c r="S43" s="1601"/>
      <c r="T43" s="1637"/>
      <c r="U43" s="1486"/>
      <c r="V43" s="1243">
        <v>2023</v>
      </c>
      <c r="W43" s="1485"/>
      <c r="X43" s="1485"/>
      <c r="Y43" s="1628">
        <v>2024</v>
      </c>
      <c r="Z43" s="1640"/>
      <c r="AA43" s="1640"/>
      <c r="AB43" s="1641"/>
      <c r="AC43" s="1628">
        <v>2025</v>
      </c>
      <c r="AD43" s="1640"/>
      <c r="AE43" s="1640"/>
      <c r="AF43" s="1641"/>
    </row>
    <row r="44" spans="2:32" x14ac:dyDescent="0.3">
      <c r="B44" s="1619"/>
      <c r="C44" s="1620"/>
      <c r="D44" s="118" t="s">
        <v>282</v>
      </c>
      <c r="E44" s="118" t="s">
        <v>283</v>
      </c>
      <c r="F44" s="132" t="s">
        <v>284</v>
      </c>
      <c r="G44" s="132" t="s">
        <v>238</v>
      </c>
      <c r="H44" s="115" t="s">
        <v>282</v>
      </c>
      <c r="I44" s="132" t="s">
        <v>283</v>
      </c>
      <c r="J44" s="132" t="s">
        <v>284</v>
      </c>
      <c r="K44" s="132" t="s">
        <v>238</v>
      </c>
      <c r="L44" s="132" t="s">
        <v>282</v>
      </c>
      <c r="M44" s="118" t="s">
        <v>283</v>
      </c>
      <c r="N44" s="132" t="s">
        <v>284</v>
      </c>
      <c r="O44" s="132" t="s">
        <v>238</v>
      </c>
      <c r="P44" s="132" t="s">
        <v>282</v>
      </c>
      <c r="Q44" s="118" t="s">
        <v>283</v>
      </c>
      <c r="R44" s="132" t="s">
        <v>284</v>
      </c>
      <c r="S44" s="132" t="s">
        <v>238</v>
      </c>
      <c r="T44" s="115" t="s">
        <v>282</v>
      </c>
      <c r="U44" s="1315" t="s">
        <v>283</v>
      </c>
      <c r="V44" s="1287" t="s">
        <v>284</v>
      </c>
      <c r="W44" s="1146" t="s">
        <v>238</v>
      </c>
      <c r="X44" s="1146" t="s">
        <v>282</v>
      </c>
      <c r="Y44" s="301" t="s">
        <v>283</v>
      </c>
      <c r="Z44" s="226" t="s">
        <v>284</v>
      </c>
      <c r="AA44" s="1146" t="s">
        <v>238</v>
      </c>
      <c r="AB44" s="241" t="s">
        <v>282</v>
      </c>
      <c r="AC44" s="324" t="s">
        <v>283</v>
      </c>
      <c r="AD44" s="1146" t="s">
        <v>284</v>
      </c>
      <c r="AE44" s="1146" t="s">
        <v>238</v>
      </c>
      <c r="AF44" s="241" t="s">
        <v>282</v>
      </c>
    </row>
    <row r="45" spans="2:32" x14ac:dyDescent="0.3">
      <c r="B45" s="864" t="s">
        <v>1724</v>
      </c>
      <c r="C45" s="885" t="s">
        <v>1712</v>
      </c>
      <c r="D45" s="876">
        <f>('Haver Pivoted'!GO76+1)^4-1</f>
        <v>1.5156509117148609E-2</v>
      </c>
      <c r="E45" s="862">
        <f>('Haver Pivoted'!GP76+1)^4-1</f>
        <v>8.3593342288621475E-3</v>
      </c>
      <c r="F45" s="862">
        <f>('Haver Pivoted'!GQ76+1)^4-1</f>
        <v>2.4734353401225873E-2</v>
      </c>
      <c r="G45" s="862">
        <f>('Haver Pivoted'!GR76+1)^4-1</f>
        <v>1.0490970472330163E-2</v>
      </c>
      <c r="H45" s="862">
        <f>('Haver Pivoted'!GS76+1)^4-1</f>
        <v>1.4569048707785859E-2</v>
      </c>
      <c r="I45" s="862">
        <f>('Haver Pivoted'!GT76+1)^4-1</f>
        <v>1.4662498774455912E-2</v>
      </c>
      <c r="J45" s="862">
        <f>('Haver Pivoted'!GU76+1)^4-1</f>
        <v>-1.794085945788193E-2</v>
      </c>
      <c r="K45" s="862">
        <f>('Haver Pivoted'!GV76+1)^4-1</f>
        <v>3.3775526155126689E-2</v>
      </c>
      <c r="L45" s="862">
        <f>('Haver Pivoted'!GW76+1)^4-1</f>
        <v>1.6442937470855457E-2</v>
      </c>
      <c r="M45" s="862">
        <f>('Haver Pivoted'!GX76+1)^4-1</f>
        <v>4.5025943450949013E-2</v>
      </c>
      <c r="N45" s="862">
        <f>('Haver Pivoted'!GY76+1)^4-1</f>
        <v>6.444180274366329E-2</v>
      </c>
      <c r="O45" s="862">
        <f>('Haver Pivoted'!GZ76+1)^4-1</f>
        <v>5.5998846943190017E-2</v>
      </c>
      <c r="P45" s="862">
        <f>('Haver Pivoted'!HA76+1)^4-1</f>
        <v>6.1859650545573519E-2</v>
      </c>
      <c r="Q45" s="862">
        <f>('Haver Pivoted'!HB76+1)^4-1</f>
        <v>7.4784916271317448E-2</v>
      </c>
      <c r="R45" s="862">
        <f>('Haver Pivoted'!HC76+1)^4-1</f>
        <v>7.2922192171477107E-2</v>
      </c>
      <c r="S45" s="877">
        <f>('Haver Pivoted'!HD76+1)^4-1</f>
        <v>4.3177876601944165E-2</v>
      </c>
      <c r="T45" s="1492">
        <f>('Haver Pivoted'!HE76+1)^4-1</f>
        <v>3.7424183382891885E-2</v>
      </c>
      <c r="U45" s="878">
        <f>('Haver Pivoted'!HF76+1)^4-1</f>
        <v>4.1626587212286736E-2</v>
      </c>
      <c r="V45" s="889">
        <f t="shared" ref="V45:AF45" si="15">(V61/U61)^4-1</f>
        <v>3.3692799617050628E-2</v>
      </c>
      <c r="W45" s="889">
        <f t="shared" si="15"/>
        <v>3.3167790258204821E-2</v>
      </c>
      <c r="X45" s="889">
        <f t="shared" si="15"/>
        <v>2.9707222134434552E-2</v>
      </c>
      <c r="Y45" s="889">
        <f t="shared" si="15"/>
        <v>2.6454849931970781E-2</v>
      </c>
      <c r="Z45" s="889">
        <f t="shared" si="15"/>
        <v>2.4178630417615032E-2</v>
      </c>
      <c r="AA45" s="889">
        <f t="shared" si="15"/>
        <v>2.3052401549803703E-2</v>
      </c>
      <c r="AB45" s="889">
        <f t="shared" si="15"/>
        <v>2.2407286089961342E-2</v>
      </c>
      <c r="AC45" s="889">
        <f t="shared" si="15"/>
        <v>2.2473232090692186E-2</v>
      </c>
      <c r="AD45" s="889">
        <f t="shared" si="15"/>
        <v>2.2071462401670683E-2</v>
      </c>
      <c r="AE45" s="889">
        <f t="shared" si="15"/>
        <v>2.1752174739111618E-2</v>
      </c>
      <c r="AF45" s="863">
        <f t="shared" si="15"/>
        <v>2.1591374086621817E-2</v>
      </c>
    </row>
    <row r="46" spans="2:32" x14ac:dyDescent="0.3">
      <c r="B46" s="47" t="s">
        <v>1725</v>
      </c>
      <c r="C46" s="886" t="s">
        <v>1713</v>
      </c>
      <c r="D46" s="890">
        <f>('Haver Pivoted'!GO77+1)^4-1</f>
        <v>2.9652502701153827E-2</v>
      </c>
      <c r="E46" s="861">
        <f>('Haver Pivoted'!GP77+1)^4-1</f>
        <v>4.3357912415273203E-2</v>
      </c>
      <c r="F46" s="861">
        <f>('Haver Pivoted'!GQ77+1)^4-1</f>
        <v>-2.634393397263235E-2</v>
      </c>
      <c r="G46" s="861">
        <f>('Haver Pivoted'!GR77+1)^4-1</f>
        <v>1.0018821110834297E-2</v>
      </c>
      <c r="H46" s="861">
        <f>('Haver Pivoted'!GS77+1)^4-1</f>
        <v>1.6245763277308534E-2</v>
      </c>
      <c r="I46" s="861">
        <f>('Haver Pivoted'!GT77+1)^4-1</f>
        <v>1.3591255249431944E-2</v>
      </c>
      <c r="J46" s="861">
        <f>('Haver Pivoted'!GU77+1)^4-1</f>
        <v>3.3104511883148557E-3</v>
      </c>
      <c r="K46" s="861">
        <f>('Haver Pivoted'!GV77+1)^4-1</f>
        <v>2.5959727144998501E-2</v>
      </c>
      <c r="L46" s="861">
        <f>('Haver Pivoted'!GW77+1)^4-1</f>
        <v>2.4447407360365325E-2</v>
      </c>
      <c r="M46" s="861">
        <f>('Haver Pivoted'!GX77+1)^4-1</f>
        <v>4.0827649049088865E-2</v>
      </c>
      <c r="N46" s="861">
        <f>('Haver Pivoted'!GY77+1)^4-1</f>
        <v>4.1247362410053112E-2</v>
      </c>
      <c r="O46" s="861">
        <f>('Haver Pivoted'!GZ77+1)^4-1</f>
        <v>4.4017858095279694E-2</v>
      </c>
      <c r="P46" s="861">
        <f>('Haver Pivoted'!HA77+1)^4-1</f>
        <v>4.3432299825096221E-2</v>
      </c>
      <c r="Q46" s="861">
        <f>('Haver Pivoted'!HB77+1)^4-1</f>
        <v>5.6798579453040565E-2</v>
      </c>
      <c r="R46" s="861">
        <f>('Haver Pivoted'!HC77+1)^4-1</f>
        <v>5.9959109255099508E-2</v>
      </c>
      <c r="S46" s="875">
        <f>('Haver Pivoted'!HD77+1)^4-1</f>
        <v>4.8205722331254197E-2</v>
      </c>
      <c r="T46" s="1493">
        <f>('Haver Pivoted'!HE77+1)^4-1</f>
        <v>3.1513836354732261E-2</v>
      </c>
      <c r="U46" s="879">
        <f>('Haver Pivoted'!HF77+1)^4-1</f>
        <v>3.2429632619026538E-2</v>
      </c>
      <c r="V46" s="861">
        <f t="shared" ref="V46:AF46" si="16">(V62/U62)^4-1</f>
        <v>2.3505953506363975E-2</v>
      </c>
      <c r="W46" s="861">
        <f t="shared" si="16"/>
        <v>2.5343185973087934E-2</v>
      </c>
      <c r="X46" s="861">
        <f t="shared" si="16"/>
        <v>2.5512101094298911E-2</v>
      </c>
      <c r="Y46" s="861">
        <f t="shared" si="16"/>
        <v>2.940897202642212E-2</v>
      </c>
      <c r="Z46" s="861">
        <f t="shared" si="16"/>
        <v>2.823164052632654E-2</v>
      </c>
      <c r="AA46" s="861">
        <f t="shared" si="16"/>
        <v>2.7484808362226332E-2</v>
      </c>
      <c r="AB46" s="861">
        <f t="shared" si="16"/>
        <v>2.6738284169484539E-2</v>
      </c>
      <c r="AC46" s="861">
        <f t="shared" si="16"/>
        <v>2.4037894596453224E-2</v>
      </c>
      <c r="AD46" s="861">
        <f t="shared" si="16"/>
        <v>2.4492235467838519E-2</v>
      </c>
      <c r="AE46" s="861">
        <f t="shared" si="16"/>
        <v>2.4419305134427693E-2</v>
      </c>
      <c r="AF46" s="891">
        <f t="shared" si="16"/>
        <v>2.4121029556380291E-2</v>
      </c>
    </row>
    <row r="47" spans="2:32" x14ac:dyDescent="0.3">
      <c r="B47" s="47" t="s">
        <v>1726</v>
      </c>
      <c r="C47" s="886" t="s">
        <v>1714</v>
      </c>
      <c r="D47" s="890">
        <f>('Haver Pivoted'!GO78+1)^4-1</f>
        <v>2.0739486303195998E-2</v>
      </c>
      <c r="E47" s="861">
        <f>('Haver Pivoted'!GP78+1)^4-1</f>
        <v>-1.0909955372547464E-2</v>
      </c>
      <c r="F47" s="861">
        <f>('Haver Pivoted'!GQ78+1)^4-1</f>
        <v>2.9915559028399707E-2</v>
      </c>
      <c r="G47" s="861">
        <f>('Haver Pivoted'!GR78+1)^4-1</f>
        <v>1.0527559706478895E-2</v>
      </c>
      <c r="H47" s="861">
        <f>('Haver Pivoted'!GS78+1)^4-1</f>
        <v>1.4919704890896002E-2</v>
      </c>
      <c r="I47" s="861">
        <f>('Haver Pivoted'!GT78+1)^4-1</f>
        <v>4.3158369252632278E-2</v>
      </c>
      <c r="J47" s="861">
        <f>('Haver Pivoted'!GU78+1)^4-1</f>
        <v>-2.2930962354547058E-3</v>
      </c>
      <c r="K47" s="861">
        <f>('Haver Pivoted'!GV78+1)^4-1</f>
        <v>3.587837095953339E-2</v>
      </c>
      <c r="L47" s="861">
        <f>('Haver Pivoted'!GW78+1)^4-1</f>
        <v>4.5534894387470937E-2</v>
      </c>
      <c r="M47" s="861">
        <f>('Haver Pivoted'!GX78+1)^4-1</f>
        <v>8.7714323909891423E-2</v>
      </c>
      <c r="N47" s="861">
        <f>('Haver Pivoted'!GY78+1)^4-1</f>
        <v>8.4888593948209357E-2</v>
      </c>
      <c r="O47" s="861">
        <f>('Haver Pivoted'!GZ78+1)^4-1</f>
        <v>6.9703587118332688E-2</v>
      </c>
      <c r="P47" s="861">
        <f>('Haver Pivoted'!HA78+1)^4-1</f>
        <v>9.0463399615994478E-2</v>
      </c>
      <c r="Q47" s="861">
        <f>('Haver Pivoted'!HB78+1)^4-1</f>
        <v>0.10558682780244433</v>
      </c>
      <c r="R47" s="861">
        <f>('Haver Pivoted'!HC78+1)^4-1</f>
        <v>0.14979890704557142</v>
      </c>
      <c r="S47" s="875">
        <f>('Haver Pivoted'!HD78+1)^4-1</f>
        <v>2.9055945911607095E-2</v>
      </c>
      <c r="T47" s="1493">
        <f>('Haver Pivoted'!HE78+1)^4-1</f>
        <v>3.8778201417324798E-2</v>
      </c>
      <c r="U47" s="879">
        <f>('Haver Pivoted'!HF78+1)^4-1</f>
        <v>5.7581977776326454E-3</v>
      </c>
      <c r="V47" s="861">
        <f t="shared" ref="V47:AF47" si="17">(V63/U63)^4-1</f>
        <v>3.2439960780993538E-2</v>
      </c>
      <c r="W47" s="861">
        <f t="shared" si="17"/>
        <v>3.4971806389749727E-2</v>
      </c>
      <c r="X47" s="861">
        <f t="shared" si="17"/>
        <v>3.4409055377128128E-2</v>
      </c>
      <c r="Y47" s="861">
        <f t="shared" si="17"/>
        <v>3.1280978879036248E-2</v>
      </c>
      <c r="Z47" s="861">
        <f t="shared" si="17"/>
        <v>2.8069377631034564E-2</v>
      </c>
      <c r="AA47" s="861">
        <f t="shared" si="17"/>
        <v>2.7079936500734814E-2</v>
      </c>
      <c r="AB47" s="861">
        <f t="shared" si="17"/>
        <v>2.6642026237504224E-2</v>
      </c>
      <c r="AC47" s="861">
        <f t="shared" si="17"/>
        <v>2.7649904239910983E-2</v>
      </c>
      <c r="AD47" s="861">
        <f t="shared" si="17"/>
        <v>2.7332985680263322E-2</v>
      </c>
      <c r="AE47" s="861">
        <f t="shared" si="17"/>
        <v>2.7468596479684804E-2</v>
      </c>
      <c r="AF47" s="891">
        <f t="shared" si="17"/>
        <v>2.7135528596684111E-2</v>
      </c>
    </row>
    <row r="48" spans="2:32" x14ac:dyDescent="0.3">
      <c r="B48" s="47" t="s">
        <v>1727</v>
      </c>
      <c r="C48" s="886" t="s">
        <v>1715</v>
      </c>
      <c r="D48" s="890">
        <f>('Haver Pivoted'!GO79+1)^4-1</f>
        <v>1.6036274889288604E-2</v>
      </c>
      <c r="E48" s="861">
        <f>('Haver Pivoted'!GP79+1)^4-1</f>
        <v>-1.6750426853228473E-2</v>
      </c>
      <c r="F48" s="861">
        <f>('Haver Pivoted'!GQ79+1)^4-1</f>
        <v>2.5813818283004775E-2</v>
      </c>
      <c r="G48" s="861">
        <f>('Haver Pivoted'!GR79+1)^4-1</f>
        <v>8.6124156242581851E-3</v>
      </c>
      <c r="H48" s="861">
        <f>('Haver Pivoted'!GS79+1)^4-1</f>
        <v>1.6996215944869331E-2</v>
      </c>
      <c r="I48" s="861">
        <f>('Haver Pivoted'!GT79+1)^4-1</f>
        <v>5.0660572456327158E-2</v>
      </c>
      <c r="J48" s="861">
        <f>('Haver Pivoted'!GU79+1)^4-1</f>
        <v>-1.0613393340251909E-3</v>
      </c>
      <c r="K48" s="861">
        <f>('Haver Pivoted'!GV79+1)^4-1</f>
        <v>3.4596703938156059E-2</v>
      </c>
      <c r="L48" s="861">
        <f>('Haver Pivoted'!GW79+1)^4-1</f>
        <v>5.1547958936444926E-2</v>
      </c>
      <c r="M48" s="861">
        <f>('Haver Pivoted'!GX79+1)^4-1</f>
        <v>9.2834286401326738E-2</v>
      </c>
      <c r="N48" s="861">
        <f>('Haver Pivoted'!GY79+1)^4-1</f>
        <v>8.057551462066237E-2</v>
      </c>
      <c r="O48" s="861">
        <f>('Haver Pivoted'!GZ79+1)^4-1</f>
        <v>6.4680375979367932E-2</v>
      </c>
      <c r="P48" s="861">
        <f>('Haver Pivoted'!HA79+1)^4-1</f>
        <v>8.4136934840179034E-2</v>
      </c>
      <c r="Q48" s="861">
        <f>('Haver Pivoted'!HB79+1)^4-1</f>
        <v>0.10120576467409093</v>
      </c>
      <c r="R48" s="861">
        <f>('Haver Pivoted'!HC79+1)^4-1</f>
        <v>0.15221841372862355</v>
      </c>
      <c r="S48" s="875">
        <f>('Haver Pivoted'!HD79+1)^4-1</f>
        <v>1.6422651906601304E-2</v>
      </c>
      <c r="T48" s="1493">
        <f>('Haver Pivoted'!HE79+1)^4-1</f>
        <v>3.6078451145617141E-2</v>
      </c>
      <c r="U48" s="879">
        <f>('Haver Pivoted'!HF79+1)^4-1</f>
        <v>-2.3368941769098539E-3</v>
      </c>
      <c r="V48" s="861">
        <f t="shared" ref="V48:AF49" si="18">V47</f>
        <v>3.2439960780993538E-2</v>
      </c>
      <c r="W48" s="861">
        <f t="shared" si="18"/>
        <v>3.4971806389749727E-2</v>
      </c>
      <c r="X48" s="861">
        <f t="shared" si="18"/>
        <v>3.4409055377128128E-2</v>
      </c>
      <c r="Y48" s="861">
        <f t="shared" si="18"/>
        <v>3.1280978879036248E-2</v>
      </c>
      <c r="Z48" s="861">
        <f t="shared" si="18"/>
        <v>2.8069377631034564E-2</v>
      </c>
      <c r="AA48" s="861">
        <f t="shared" si="18"/>
        <v>2.7079936500734814E-2</v>
      </c>
      <c r="AB48" s="861">
        <f t="shared" si="18"/>
        <v>2.6642026237504224E-2</v>
      </c>
      <c r="AC48" s="861">
        <f t="shared" si="18"/>
        <v>2.7649904239910983E-2</v>
      </c>
      <c r="AD48" s="861">
        <f t="shared" si="18"/>
        <v>2.7332985680263322E-2</v>
      </c>
      <c r="AE48" s="861">
        <f t="shared" si="18"/>
        <v>2.7468596479684804E-2</v>
      </c>
      <c r="AF48" s="891">
        <f t="shared" si="18"/>
        <v>2.7135528596684111E-2</v>
      </c>
    </row>
    <row r="49" spans="2:48" x14ac:dyDescent="0.3">
      <c r="B49" s="124" t="s">
        <v>1728</v>
      </c>
      <c r="C49" s="887" t="s">
        <v>1716</v>
      </c>
      <c r="D49" s="892">
        <f>('Haver Pivoted'!GO80+1)^4-1</f>
        <v>4.1912016313215839E-2</v>
      </c>
      <c r="E49" s="893">
        <f>('Haver Pivoted'!GP80+1)^4-1</f>
        <v>1.5721372171975556E-2</v>
      </c>
      <c r="F49" s="893">
        <f>('Haver Pivoted'!GQ80+1)^4-1</f>
        <v>4.8037769815769016E-2</v>
      </c>
      <c r="G49" s="893">
        <f>('Haver Pivoted'!GR80+1)^4-1</f>
        <v>1.9083730667159404E-2</v>
      </c>
      <c r="H49" s="893">
        <f>('Haver Pivoted'!GS80+1)^4-1</f>
        <v>5.8979339636944239E-3</v>
      </c>
      <c r="I49" s="893">
        <f>('Haver Pivoted'!GT80+1)^4-1</f>
        <v>1.0418465412080913E-2</v>
      </c>
      <c r="J49" s="893">
        <f>('Haver Pivoted'!GU80+1)^4-1</f>
        <v>-7.6555980249765065E-3</v>
      </c>
      <c r="K49" s="893">
        <f>('Haver Pivoted'!GV80+1)^4-1</f>
        <v>4.135501545294451E-2</v>
      </c>
      <c r="L49" s="893">
        <f>('Haver Pivoted'!GW80+1)^4-1</f>
        <v>1.8415186976738607E-2</v>
      </c>
      <c r="M49" s="893">
        <f>('Haver Pivoted'!GX80+1)^4-1</f>
        <v>6.4160755006020143E-2</v>
      </c>
      <c r="N49" s="893">
        <f>('Haver Pivoted'!GY80+1)^4-1</f>
        <v>0.10458990215743946</v>
      </c>
      <c r="O49" s="893">
        <f>('Haver Pivoted'!GZ80+1)^4-1</f>
        <v>9.3631239224950313E-2</v>
      </c>
      <c r="P49" s="893">
        <f>('Haver Pivoted'!HA80+1)^4-1</f>
        <v>0.12124821634027616</v>
      </c>
      <c r="Q49" s="893">
        <f>('Haver Pivoted'!HB80+1)^4-1</f>
        <v>0.12687792670398412</v>
      </c>
      <c r="R49" s="893">
        <f>('Haver Pivoted'!HC80+1)^4-1</f>
        <v>0.13796693794697101</v>
      </c>
      <c r="S49" s="874">
        <f>('Haver Pivoted'!HD80+1)^4-1</f>
        <v>9.3268944702830758E-2</v>
      </c>
      <c r="T49" s="874">
        <f>('Haver Pivoted'!HE80+1)^4-1</f>
        <v>5.1634147747456671E-2</v>
      </c>
      <c r="U49" s="880">
        <f>('Haver Pivoted'!HF80+1)^4-1</f>
        <v>4.4851105874934127E-2</v>
      </c>
      <c r="V49" s="893">
        <f t="shared" si="18"/>
        <v>3.2439960780993538E-2</v>
      </c>
      <c r="W49" s="893">
        <f t="shared" si="18"/>
        <v>3.4971806389749727E-2</v>
      </c>
      <c r="X49" s="893">
        <f t="shared" si="18"/>
        <v>3.4409055377128128E-2</v>
      </c>
      <c r="Y49" s="893">
        <f t="shared" si="18"/>
        <v>3.1280978879036248E-2</v>
      </c>
      <c r="Z49" s="893">
        <f t="shared" si="18"/>
        <v>2.8069377631034564E-2</v>
      </c>
      <c r="AA49" s="893">
        <f t="shared" si="18"/>
        <v>2.7079936500734814E-2</v>
      </c>
      <c r="AB49" s="893">
        <f t="shared" si="18"/>
        <v>2.6642026237504224E-2</v>
      </c>
      <c r="AC49" s="893">
        <f t="shared" si="18"/>
        <v>2.7649904239910983E-2</v>
      </c>
      <c r="AD49" s="893">
        <f t="shared" si="18"/>
        <v>2.7332985680263322E-2</v>
      </c>
      <c r="AE49" s="893">
        <f t="shared" si="18"/>
        <v>2.7468596479684804E-2</v>
      </c>
      <c r="AF49" s="894">
        <f t="shared" si="18"/>
        <v>2.7135528596684111E-2</v>
      </c>
    </row>
    <row r="50" spans="2:48" x14ac:dyDescent="0.3">
      <c r="B50" s="35"/>
      <c r="C50" s="886"/>
      <c r="D50" s="861"/>
      <c r="E50" s="861"/>
      <c r="F50" s="861"/>
      <c r="G50" s="861"/>
      <c r="H50" s="861"/>
      <c r="I50" s="861"/>
      <c r="J50" s="861"/>
      <c r="K50" s="861"/>
      <c r="L50" s="861"/>
      <c r="M50" s="861"/>
      <c r="N50" s="861"/>
      <c r="O50" s="861"/>
      <c r="P50" s="861"/>
      <c r="Q50" s="861"/>
      <c r="R50" s="861"/>
      <c r="S50" s="861"/>
      <c r="T50" s="861"/>
      <c r="U50" s="861"/>
      <c r="V50" s="861"/>
      <c r="W50" s="861"/>
      <c r="X50" s="861"/>
      <c r="Y50" s="861"/>
      <c r="Z50" s="861"/>
      <c r="AA50" s="861"/>
      <c r="AB50" s="861"/>
      <c r="AC50" s="861"/>
      <c r="AD50" s="861"/>
      <c r="AE50" s="861"/>
      <c r="AF50" s="861"/>
    </row>
    <row r="51" spans="2:48" ht="14.55" customHeight="1" x14ac:dyDescent="0.3">
      <c r="B51" s="1705" t="s">
        <v>1748</v>
      </c>
      <c r="C51" s="1705"/>
      <c r="D51" s="1705"/>
      <c r="E51" s="1705"/>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row>
    <row r="52" spans="2:48" ht="30" customHeight="1" x14ac:dyDescent="0.3">
      <c r="B52" s="906" t="s">
        <v>2229</v>
      </c>
      <c r="C52" s="872"/>
      <c r="D52" s="127">
        <v>2018</v>
      </c>
      <c r="E52" s="1600">
        <v>2019</v>
      </c>
      <c r="F52" s="1601"/>
      <c r="G52" s="1601"/>
      <c r="H52" s="1637"/>
      <c r="I52" s="1600">
        <v>2020</v>
      </c>
      <c r="J52" s="1601"/>
      <c r="K52" s="1601"/>
      <c r="L52" s="1601"/>
      <c r="M52" s="1600">
        <v>2021</v>
      </c>
      <c r="N52" s="1601"/>
      <c r="O52" s="1601"/>
      <c r="P52" s="1601"/>
      <c r="Q52" s="1638">
        <v>2022</v>
      </c>
      <c r="R52" s="1639"/>
      <c r="S52" s="158"/>
      <c r="T52" s="168"/>
      <c r="U52" s="1486"/>
      <c r="V52" s="1243">
        <v>2023</v>
      </c>
      <c r="W52" s="1485"/>
      <c r="X52" s="1485"/>
      <c r="Y52" s="1628">
        <v>2024</v>
      </c>
      <c r="Z52" s="1640"/>
      <c r="AA52" s="1640"/>
      <c r="AB52" s="1641"/>
      <c r="AC52" s="1628">
        <v>2025</v>
      </c>
      <c r="AD52" s="1640"/>
      <c r="AE52" s="1640"/>
      <c r="AF52" s="1641"/>
    </row>
    <row r="53" spans="2:48" x14ac:dyDescent="0.3">
      <c r="B53" s="895"/>
      <c r="C53" s="163"/>
      <c r="D53" s="118" t="s">
        <v>282</v>
      </c>
      <c r="E53" s="118" t="s">
        <v>283</v>
      </c>
      <c r="F53" s="132" t="s">
        <v>284</v>
      </c>
      <c r="G53" s="132" t="s">
        <v>238</v>
      </c>
      <c r="H53" s="115" t="s">
        <v>282</v>
      </c>
      <c r="I53" s="132" t="s">
        <v>283</v>
      </c>
      <c r="J53" s="132" t="s">
        <v>284</v>
      </c>
      <c r="K53" s="132" t="s">
        <v>238</v>
      </c>
      <c r="L53" s="132" t="s">
        <v>282</v>
      </c>
      <c r="M53" s="118" t="s">
        <v>283</v>
      </c>
      <c r="N53" s="132" t="s">
        <v>284</v>
      </c>
      <c r="O53" s="132" t="s">
        <v>238</v>
      </c>
      <c r="P53" s="132" t="s">
        <v>282</v>
      </c>
      <c r="Q53" s="118" t="s">
        <v>283</v>
      </c>
      <c r="R53" s="132" t="s">
        <v>284</v>
      </c>
      <c r="S53" s="132" t="s">
        <v>238</v>
      </c>
      <c r="T53" s="115" t="s">
        <v>282</v>
      </c>
      <c r="U53" s="1315" t="s">
        <v>283</v>
      </c>
      <c r="V53" s="1287" t="s">
        <v>284</v>
      </c>
      <c r="W53" s="1146" t="s">
        <v>238</v>
      </c>
      <c r="X53" s="1146" t="s">
        <v>282</v>
      </c>
      <c r="Y53" s="301" t="s">
        <v>283</v>
      </c>
      <c r="Z53" s="226" t="s">
        <v>284</v>
      </c>
      <c r="AA53" s="1146" t="s">
        <v>238</v>
      </c>
      <c r="AB53" s="241" t="s">
        <v>282</v>
      </c>
      <c r="AC53" s="324" t="s">
        <v>283</v>
      </c>
      <c r="AD53" s="1146" t="s">
        <v>284</v>
      </c>
      <c r="AE53" s="1146" t="s">
        <v>238</v>
      </c>
      <c r="AF53" s="241" t="s">
        <v>282</v>
      </c>
    </row>
    <row r="54" spans="2:48" ht="28.5" customHeight="1" x14ac:dyDescent="0.3">
      <c r="B54" s="392" t="s">
        <v>1827</v>
      </c>
      <c r="C54" s="1137" t="s">
        <v>1730</v>
      </c>
      <c r="D54" s="159"/>
      <c r="E54" s="159"/>
      <c r="F54" s="159"/>
      <c r="G54" s="159"/>
      <c r="H54" s="159"/>
      <c r="I54" s="159"/>
      <c r="J54" s="159"/>
      <c r="K54" s="159"/>
      <c r="L54" s="159"/>
      <c r="M54" s="159"/>
      <c r="N54" s="159"/>
      <c r="O54" s="159"/>
      <c r="P54" s="159"/>
      <c r="Q54" s="159"/>
      <c r="R54" s="159"/>
      <c r="S54" s="1216">
        <v>17517.099999999999</v>
      </c>
      <c r="T54" s="1216">
        <v>17851.099999999999</v>
      </c>
      <c r="U54" s="1216">
        <v>18063.900000000001</v>
      </c>
      <c r="V54" s="1216">
        <v>18252.3</v>
      </c>
      <c r="W54" s="1216">
        <v>18452.8</v>
      </c>
      <c r="X54" s="1216">
        <v>18649.400000000001</v>
      </c>
      <c r="Y54" s="1216">
        <v>18836.5</v>
      </c>
      <c r="Z54" s="1216">
        <v>19019.400000000001</v>
      </c>
      <c r="AA54" s="1216">
        <v>19200.900000000001</v>
      </c>
      <c r="AB54" s="1216">
        <v>19391.900000000001</v>
      </c>
      <c r="AC54" s="1216">
        <v>19588.599999999999</v>
      </c>
      <c r="AD54" s="1216">
        <v>19779.599999999999</v>
      </c>
      <c r="AE54" s="1216">
        <v>19973.5</v>
      </c>
      <c r="AF54" s="1216">
        <v>20163.8</v>
      </c>
    </row>
    <row r="55" spans="2:48" ht="26.25" customHeight="1" x14ac:dyDescent="0.3">
      <c r="B55" s="896" t="s">
        <v>1828</v>
      </c>
      <c r="C55" s="1137" t="s">
        <v>1731</v>
      </c>
      <c r="D55" s="47"/>
      <c r="E55" s="35"/>
      <c r="F55" s="35"/>
      <c r="G55" s="35"/>
      <c r="H55" s="35"/>
      <c r="I55" s="35"/>
      <c r="J55" s="35"/>
      <c r="K55" s="35"/>
      <c r="L55" s="35"/>
      <c r="M55" s="35"/>
      <c r="N55" s="35"/>
      <c r="O55" s="35"/>
      <c r="P55" s="35"/>
      <c r="Q55" s="35"/>
      <c r="R55" s="35"/>
      <c r="S55" s="1216">
        <v>1656.9</v>
      </c>
      <c r="T55" s="1216">
        <v>1665.8</v>
      </c>
      <c r="U55" s="1216">
        <v>1683.2</v>
      </c>
      <c r="V55" s="1216">
        <v>1699</v>
      </c>
      <c r="W55" s="1216">
        <v>1721.1</v>
      </c>
      <c r="X55" s="1216">
        <v>1740.7</v>
      </c>
      <c r="Y55" s="1216">
        <v>1758.2</v>
      </c>
      <c r="Z55" s="1216">
        <v>1774.2</v>
      </c>
      <c r="AA55" s="1216">
        <v>1790.4</v>
      </c>
      <c r="AB55" s="1216">
        <v>1805.5</v>
      </c>
      <c r="AC55" s="1216">
        <v>1819</v>
      </c>
      <c r="AD55" s="1216">
        <v>1832.8</v>
      </c>
      <c r="AE55" s="1216">
        <v>1846.8</v>
      </c>
      <c r="AF55" s="1216">
        <v>1860.9</v>
      </c>
      <c r="AG55" s="899"/>
      <c r="AH55" s="899"/>
      <c r="AI55" s="899"/>
      <c r="AJ55" s="899"/>
      <c r="AK55" s="899"/>
      <c r="AL55" s="899"/>
      <c r="AM55" s="899"/>
      <c r="AN55" s="899"/>
      <c r="AO55" s="899"/>
    </row>
    <row r="56" spans="2:48" ht="26.25" customHeight="1" x14ac:dyDescent="0.3">
      <c r="B56" s="896" t="s">
        <v>1829</v>
      </c>
      <c r="C56" s="1137" t="s">
        <v>1731</v>
      </c>
      <c r="D56" s="47"/>
      <c r="E56" s="35"/>
      <c r="F56" s="35"/>
      <c r="G56" s="35"/>
      <c r="H56" s="35"/>
      <c r="I56" s="35"/>
      <c r="J56" s="35"/>
      <c r="K56" s="35"/>
      <c r="L56" s="35"/>
      <c r="M56" s="35"/>
      <c r="N56" s="35"/>
      <c r="O56" s="35"/>
      <c r="P56" s="35"/>
      <c r="Q56" s="35"/>
      <c r="R56" s="35"/>
      <c r="S56" s="1216">
        <v>2829.6</v>
      </c>
      <c r="T56" s="1216">
        <v>2871.1</v>
      </c>
      <c r="U56" s="1216">
        <v>2900.1</v>
      </c>
      <c r="V56" s="1216">
        <v>2932.7</v>
      </c>
      <c r="W56" s="1216">
        <v>2970.6</v>
      </c>
      <c r="X56" s="1216">
        <v>3002.9</v>
      </c>
      <c r="Y56" s="1216">
        <v>3034.4</v>
      </c>
      <c r="Z56" s="1216">
        <v>3062.5</v>
      </c>
      <c r="AA56" s="1216">
        <v>3090.1</v>
      </c>
      <c r="AB56" s="1216">
        <v>3117.6</v>
      </c>
      <c r="AC56" s="1216">
        <v>3146.1</v>
      </c>
      <c r="AD56" s="1216">
        <v>3174.9</v>
      </c>
      <c r="AE56" s="1216">
        <v>3203.9</v>
      </c>
      <c r="AF56" s="1216">
        <v>3233.8</v>
      </c>
      <c r="AG56" s="901"/>
      <c r="AH56" s="901"/>
      <c r="AI56" s="901"/>
      <c r="AJ56" s="901"/>
      <c r="AK56" s="901"/>
      <c r="AL56" s="901"/>
      <c r="AM56" s="901"/>
      <c r="AN56" s="901"/>
      <c r="AO56" s="901"/>
    </row>
    <row r="57" spans="2:48" ht="26.25" customHeight="1" x14ac:dyDescent="0.3">
      <c r="B57" s="896" t="s">
        <v>1830</v>
      </c>
      <c r="C57" s="1137" t="s">
        <v>1732</v>
      </c>
      <c r="D57" s="47"/>
      <c r="E57" s="35"/>
      <c r="F57" s="35"/>
      <c r="G57" s="35"/>
      <c r="H57" s="35"/>
      <c r="I57" s="35"/>
      <c r="J57" s="35"/>
      <c r="K57" s="35"/>
      <c r="L57" s="35"/>
      <c r="M57" s="35"/>
      <c r="N57" s="35"/>
      <c r="O57" s="35"/>
      <c r="P57" s="35"/>
      <c r="Q57" s="35"/>
      <c r="R57" s="35"/>
      <c r="S57" s="1216">
        <v>14159.9</v>
      </c>
      <c r="T57" s="1216">
        <v>14286.7</v>
      </c>
      <c r="U57" s="1216">
        <v>14330.7</v>
      </c>
      <c r="V57" s="1216">
        <v>14360.7</v>
      </c>
      <c r="W57" s="1216">
        <v>14400.5</v>
      </c>
      <c r="X57" s="1216">
        <v>14447.8</v>
      </c>
      <c r="Y57" s="1216">
        <v>14497.8</v>
      </c>
      <c r="Z57" s="1216">
        <v>14551.4</v>
      </c>
      <c r="AA57" s="1216">
        <v>14606.8</v>
      </c>
      <c r="AB57" s="1216">
        <v>14670.6</v>
      </c>
      <c r="AC57" s="1216">
        <v>14737.3</v>
      </c>
      <c r="AD57" s="1216">
        <v>14800</v>
      </c>
      <c r="AE57" s="1216">
        <v>14864.9</v>
      </c>
      <c r="AF57" s="1216">
        <v>14926.6</v>
      </c>
      <c r="AG57" s="901"/>
      <c r="AH57" s="901"/>
      <c r="AI57" s="901"/>
      <c r="AJ57" s="901"/>
      <c r="AK57" s="901"/>
      <c r="AL57" s="901"/>
      <c r="AM57" s="901"/>
      <c r="AN57" s="901"/>
      <c r="AO57" s="901"/>
    </row>
    <row r="58" spans="2:48" ht="26.25" customHeight="1" x14ac:dyDescent="0.3">
      <c r="B58" s="896" t="s">
        <v>1828</v>
      </c>
      <c r="C58" s="1137" t="s">
        <v>1733</v>
      </c>
      <c r="D58" s="47"/>
      <c r="E58" s="35"/>
      <c r="F58" s="35"/>
      <c r="G58" s="35"/>
      <c r="H58" s="35"/>
      <c r="I58" s="35"/>
      <c r="J58" s="35"/>
      <c r="K58" s="35"/>
      <c r="L58" s="35"/>
      <c r="M58" s="35"/>
      <c r="N58" s="35"/>
      <c r="O58" s="35"/>
      <c r="P58" s="35"/>
      <c r="Q58" s="35"/>
      <c r="R58" s="35"/>
      <c r="S58" s="1216">
        <v>1352.6</v>
      </c>
      <c r="T58" s="1216">
        <v>1350.2</v>
      </c>
      <c r="U58" s="1216">
        <v>1355.6</v>
      </c>
      <c r="V58" s="1216">
        <v>1360.4</v>
      </c>
      <c r="W58" s="1216">
        <v>1369.5</v>
      </c>
      <c r="X58" s="1216">
        <v>1376.4</v>
      </c>
      <c r="Y58" s="1216">
        <v>1380.2</v>
      </c>
      <c r="Z58" s="1216">
        <v>1383.1</v>
      </c>
      <c r="AA58" s="1216">
        <v>1386.3</v>
      </c>
      <c r="AB58" s="1216">
        <v>1388.8</v>
      </c>
      <c r="AC58" s="1216">
        <v>1390.9</v>
      </c>
      <c r="AD58" s="1216">
        <v>1393</v>
      </c>
      <c r="AE58" s="1216">
        <v>1395.2</v>
      </c>
      <c r="AF58" s="1216">
        <v>1397.5</v>
      </c>
      <c r="AG58" s="901"/>
      <c r="AH58" s="901"/>
      <c r="AI58" s="901"/>
      <c r="AJ58" s="901"/>
      <c r="AK58" s="901"/>
      <c r="AL58" s="901"/>
      <c r="AM58" s="901"/>
      <c r="AN58" s="901"/>
      <c r="AO58" s="901"/>
    </row>
    <row r="59" spans="2:48" ht="26.1" customHeight="1" x14ac:dyDescent="0.3">
      <c r="B59" s="896" t="s">
        <v>1831</v>
      </c>
      <c r="C59" s="36" t="s">
        <v>1734</v>
      </c>
      <c r="D59" s="47"/>
      <c r="E59" s="35"/>
      <c r="F59" s="35"/>
      <c r="G59" s="35"/>
      <c r="H59" s="35"/>
      <c r="I59" s="35"/>
      <c r="J59" s="35"/>
      <c r="K59" s="35"/>
      <c r="L59" s="35"/>
      <c r="M59" s="35"/>
      <c r="N59" s="35"/>
      <c r="O59" s="35"/>
      <c r="P59" s="35"/>
      <c r="Q59" s="35"/>
      <c r="R59" s="35"/>
      <c r="S59" s="1216">
        <v>2052.1</v>
      </c>
      <c r="T59" s="1216">
        <v>2058</v>
      </c>
      <c r="U59" s="1216">
        <v>2061.1</v>
      </c>
      <c r="V59" s="1216">
        <v>2067.6999999999998</v>
      </c>
      <c r="W59" s="1216">
        <v>2076.5</v>
      </c>
      <c r="X59" s="1216">
        <v>2081.4</v>
      </c>
      <c r="Y59" s="1216">
        <v>2087.1</v>
      </c>
      <c r="Z59" s="1216">
        <v>2091.9</v>
      </c>
      <c r="AA59" s="1216">
        <v>2096.6999999999998</v>
      </c>
      <c r="AB59" s="1216">
        <v>2101.5</v>
      </c>
      <c r="AC59" s="1216">
        <v>2106.3000000000002</v>
      </c>
      <c r="AD59" s="1216">
        <v>2111.3000000000002</v>
      </c>
      <c r="AE59" s="1216">
        <v>2116.1999999999998</v>
      </c>
      <c r="AF59" s="1216">
        <v>2121.6999999999998</v>
      </c>
      <c r="AG59" s="901"/>
      <c r="AH59" s="901"/>
      <c r="AI59" s="901"/>
      <c r="AJ59" s="901"/>
      <c r="AK59" s="901"/>
      <c r="AL59" s="901"/>
      <c r="AM59" s="901"/>
      <c r="AN59" s="901"/>
      <c r="AO59" s="901"/>
    </row>
    <row r="60" spans="2:48" x14ac:dyDescent="0.3">
      <c r="B60" s="907"/>
      <c r="C60" s="908"/>
      <c r="D60" s="881"/>
      <c r="E60" s="881"/>
      <c r="F60" s="881"/>
      <c r="G60" s="881"/>
      <c r="H60" s="881"/>
      <c r="I60" s="881"/>
      <c r="J60" s="881"/>
      <c r="K60" s="881"/>
      <c r="L60" s="881"/>
      <c r="M60" s="881"/>
      <c r="N60" s="881"/>
      <c r="O60" s="881"/>
      <c r="P60" s="881"/>
      <c r="Q60" s="881"/>
      <c r="R60" s="881"/>
      <c r="S60" s="881"/>
      <c r="T60" s="882" t="s">
        <v>1720</v>
      </c>
      <c r="U60" s="909"/>
      <c r="V60" s="909"/>
      <c r="W60" s="909"/>
      <c r="X60" s="909"/>
      <c r="Y60" s="909"/>
      <c r="Z60" s="909"/>
      <c r="AA60" s="909"/>
      <c r="AB60" s="909"/>
      <c r="AC60" s="909"/>
      <c r="AD60" s="909"/>
      <c r="AE60" s="909"/>
      <c r="AF60" s="910"/>
      <c r="AG60" s="163"/>
      <c r="AH60" s="163"/>
      <c r="AI60" s="163"/>
      <c r="AJ60" s="163"/>
      <c r="AK60" s="163"/>
      <c r="AL60" s="163"/>
      <c r="AM60" s="163"/>
      <c r="AN60" s="163"/>
      <c r="AO60" s="163"/>
      <c r="AP60" s="35"/>
      <c r="AQ60" s="35"/>
      <c r="AR60" s="35"/>
      <c r="AS60" s="35"/>
      <c r="AT60" s="35"/>
      <c r="AU60" s="35"/>
      <c r="AV60" s="35"/>
    </row>
    <row r="61" spans="2:48" x14ac:dyDescent="0.3">
      <c r="B61" s="864" t="s">
        <v>1724</v>
      </c>
      <c r="C61" s="78"/>
      <c r="D61" s="873"/>
      <c r="E61" s="873"/>
      <c r="F61" s="873"/>
      <c r="G61" s="873"/>
      <c r="H61" s="873"/>
      <c r="I61" s="873"/>
      <c r="J61" s="873"/>
      <c r="K61" s="873"/>
      <c r="L61" s="873"/>
      <c r="M61" s="873"/>
      <c r="N61" s="873"/>
      <c r="O61" s="873"/>
      <c r="P61" s="873"/>
      <c r="Q61" s="873"/>
      <c r="R61" s="873"/>
      <c r="S61" s="903">
        <f t="shared" ref="S61:AF61" si="19">S54/S57</f>
        <v>1.2370920698592502</v>
      </c>
      <c r="T61" s="903">
        <f t="shared" si="19"/>
        <v>1.2494907851358255</v>
      </c>
      <c r="U61" s="903">
        <f t="shared" si="19"/>
        <v>1.260503673930792</v>
      </c>
      <c r="V61" s="903">
        <f t="shared" si="19"/>
        <v>1.2709895757170611</v>
      </c>
      <c r="W61" s="903">
        <f t="shared" si="19"/>
        <v>1.2813999513905767</v>
      </c>
      <c r="X61" s="903">
        <f t="shared" si="19"/>
        <v>1.2908124420326972</v>
      </c>
      <c r="Y61" s="903">
        <f t="shared" si="19"/>
        <v>1.2992660955455311</v>
      </c>
      <c r="Z61" s="903">
        <f t="shared" si="19"/>
        <v>1.307049493519524</v>
      </c>
      <c r="AA61" s="903">
        <f t="shared" si="19"/>
        <v>1.3145178957745709</v>
      </c>
      <c r="AB61" s="903">
        <f t="shared" si="19"/>
        <v>1.3218205117718431</v>
      </c>
      <c r="AC61" s="903">
        <f t="shared" si="19"/>
        <v>1.329185128890638</v>
      </c>
      <c r="AD61" s="903">
        <f t="shared" si="19"/>
        <v>1.3364594594594594</v>
      </c>
      <c r="AE61" s="903">
        <f t="shared" si="19"/>
        <v>1.3436686422377548</v>
      </c>
      <c r="AF61" s="883">
        <f t="shared" si="19"/>
        <v>1.3508635590154487</v>
      </c>
      <c r="AG61" s="899"/>
      <c r="AH61" s="899"/>
      <c r="AI61" s="899"/>
      <c r="AJ61" s="899"/>
      <c r="AK61" s="899"/>
      <c r="AL61" s="899"/>
      <c r="AM61" s="899"/>
      <c r="AN61" s="899"/>
      <c r="AO61" s="899"/>
    </row>
    <row r="62" spans="2:48" x14ac:dyDescent="0.3">
      <c r="B62" s="47" t="s">
        <v>1725</v>
      </c>
      <c r="C62" s="123"/>
      <c r="D62" s="35"/>
      <c r="E62" s="35"/>
      <c r="F62" s="35"/>
      <c r="G62" s="35"/>
      <c r="H62" s="35"/>
      <c r="I62" s="35"/>
      <c r="J62" s="35"/>
      <c r="K62" s="35"/>
      <c r="L62" s="35"/>
      <c r="M62" s="35"/>
      <c r="N62" s="35"/>
      <c r="O62" s="35"/>
      <c r="P62" s="35"/>
      <c r="Q62" s="35"/>
      <c r="R62" s="35"/>
      <c r="S62" s="898">
        <f t="shared" ref="S62:AF62" si="20">S55/S58</f>
        <v>1.2249741239095078</v>
      </c>
      <c r="T62" s="898">
        <f t="shared" si="20"/>
        <v>1.2337431491630868</v>
      </c>
      <c r="U62" s="898">
        <f t="shared" si="20"/>
        <v>1.2416642077308941</v>
      </c>
      <c r="V62" s="898">
        <f t="shared" si="20"/>
        <v>1.2488973831226109</v>
      </c>
      <c r="W62" s="898">
        <f t="shared" si="20"/>
        <v>1.256736035049288</v>
      </c>
      <c r="X62" s="898">
        <f t="shared" si="20"/>
        <v>1.2646759662888694</v>
      </c>
      <c r="Y62" s="898">
        <f t="shared" si="20"/>
        <v>1.2738733516881611</v>
      </c>
      <c r="Z62" s="898">
        <f t="shared" si="20"/>
        <v>1.2827705878099922</v>
      </c>
      <c r="AA62" s="898">
        <f t="shared" si="20"/>
        <v>1.2914953473274184</v>
      </c>
      <c r="AB62" s="898">
        <f t="shared" si="20"/>
        <v>1.3000432027649771</v>
      </c>
      <c r="AC62" s="898">
        <f t="shared" si="20"/>
        <v>1.3077863254008195</v>
      </c>
      <c r="AD62" s="898">
        <f t="shared" si="20"/>
        <v>1.3157214644651831</v>
      </c>
      <c r="AE62" s="898">
        <f t="shared" si="20"/>
        <v>1.3236811926605503</v>
      </c>
      <c r="AF62" s="904">
        <f t="shared" si="20"/>
        <v>1.3315921288014312</v>
      </c>
      <c r="AG62" s="901"/>
      <c r="AH62" s="901"/>
      <c r="AI62" s="901"/>
      <c r="AJ62" s="901"/>
      <c r="AK62" s="901"/>
      <c r="AL62" s="901"/>
      <c r="AM62" s="901"/>
      <c r="AN62" s="901"/>
      <c r="AO62" s="901"/>
    </row>
    <row r="63" spans="2:48" x14ac:dyDescent="0.3">
      <c r="B63" s="124" t="s">
        <v>1726</v>
      </c>
      <c r="C63" s="125"/>
      <c r="D63" s="36"/>
      <c r="E63" s="36"/>
      <c r="F63" s="36"/>
      <c r="G63" s="36"/>
      <c r="H63" s="36"/>
      <c r="I63" s="36"/>
      <c r="J63" s="36"/>
      <c r="K63" s="36"/>
      <c r="L63" s="36"/>
      <c r="M63" s="36"/>
      <c r="N63" s="36"/>
      <c r="O63" s="36"/>
      <c r="P63" s="36"/>
      <c r="Q63" s="36"/>
      <c r="R63" s="36"/>
      <c r="S63" s="902">
        <f t="shared" ref="S63:AF63" si="21">S56/S59</f>
        <v>1.3788801715316017</v>
      </c>
      <c r="T63" s="902">
        <f t="shared" si="21"/>
        <v>1.3950923226433429</v>
      </c>
      <c r="U63" s="902">
        <f t="shared" si="21"/>
        <v>1.4070641890252777</v>
      </c>
      <c r="V63" s="902">
        <f t="shared" si="21"/>
        <v>1.4183392174880303</v>
      </c>
      <c r="W63" s="902">
        <f t="shared" si="21"/>
        <v>1.4305803033951361</v>
      </c>
      <c r="X63" s="902">
        <f t="shared" si="21"/>
        <v>1.442730854232728</v>
      </c>
      <c r="Y63" s="902">
        <f t="shared" si="21"/>
        <v>1.4538833788510375</v>
      </c>
      <c r="Z63" s="902">
        <f t="shared" si="21"/>
        <v>1.4639801137721689</v>
      </c>
      <c r="AA63" s="902">
        <f t="shared" si="21"/>
        <v>1.4737921495683695</v>
      </c>
      <c r="AB63" s="902">
        <f t="shared" si="21"/>
        <v>1.4835117773019271</v>
      </c>
      <c r="AC63" s="902">
        <f t="shared" si="21"/>
        <v>1.4936618715282721</v>
      </c>
      <c r="AD63" s="902">
        <f t="shared" si="21"/>
        <v>1.5037654525647703</v>
      </c>
      <c r="AE63" s="902">
        <f t="shared" si="21"/>
        <v>1.5139873357905682</v>
      </c>
      <c r="AF63" s="905">
        <f t="shared" si="21"/>
        <v>1.5241551585992368</v>
      </c>
      <c r="AG63" s="901"/>
      <c r="AH63" s="901"/>
      <c r="AI63" s="901"/>
      <c r="AJ63" s="901"/>
      <c r="AK63" s="901"/>
      <c r="AL63" s="901"/>
      <c r="AM63" s="901"/>
      <c r="AN63" s="901"/>
      <c r="AO63" s="901"/>
    </row>
    <row r="64" spans="2:48" x14ac:dyDescent="0.3">
      <c r="B64" s="897"/>
      <c r="C64" s="897"/>
      <c r="D64" s="163"/>
      <c r="E64" s="163"/>
      <c r="F64" s="163"/>
      <c r="G64" s="163"/>
      <c r="H64" s="163"/>
      <c r="I64" s="163"/>
      <c r="J64" s="163"/>
      <c r="K64" s="163"/>
      <c r="L64" s="163"/>
      <c r="M64" s="163"/>
      <c r="N64" s="163"/>
      <c r="O64" s="163"/>
      <c r="P64" s="163"/>
      <c r="Q64" s="163"/>
      <c r="R64" s="163"/>
      <c r="S64" s="163"/>
      <c r="T64" s="163"/>
      <c r="U64" s="163"/>
      <c r="V64" s="163"/>
      <c r="W64" s="163"/>
      <c r="X64" s="163"/>
      <c r="Y64" s="163"/>
      <c r="Z64" s="35"/>
      <c r="AA64" s="35"/>
      <c r="AB64" s="35"/>
      <c r="AC64" s="35"/>
      <c r="AD64" s="35"/>
      <c r="AE64" s="35"/>
      <c r="AF64" s="35"/>
    </row>
    <row r="65" spans="2:32" x14ac:dyDescent="0.3">
      <c r="B65" s="897"/>
      <c r="C65" s="897"/>
      <c r="D65" s="163"/>
      <c r="E65" s="163"/>
      <c r="F65" s="163"/>
      <c r="G65" s="163"/>
      <c r="H65" s="163"/>
      <c r="I65" s="163"/>
      <c r="J65" s="163"/>
      <c r="K65" s="163"/>
      <c r="L65" s="163"/>
      <c r="M65" s="163"/>
      <c r="N65" s="163"/>
      <c r="O65" s="163"/>
      <c r="P65" s="163"/>
      <c r="Q65" s="163"/>
      <c r="R65" s="163"/>
      <c r="S65" s="163"/>
      <c r="T65" s="700"/>
      <c r="U65" s="700"/>
      <c r="V65" s="700"/>
      <c r="W65" s="700"/>
      <c r="X65" s="700"/>
      <c r="Y65" s="700"/>
      <c r="Z65" s="700"/>
      <c r="AA65" s="700"/>
      <c r="AB65" s="700"/>
      <c r="AC65" s="700"/>
      <c r="AD65" s="700"/>
      <c r="AE65" s="700"/>
      <c r="AF65" s="700"/>
    </row>
    <row r="67" spans="2:32" x14ac:dyDescent="0.3">
      <c r="C67" s="30"/>
      <c r="D67" s="884"/>
      <c r="E67" s="884"/>
      <c r="F67" s="884"/>
      <c r="G67" s="884"/>
    </row>
    <row r="71" spans="2:32" x14ac:dyDescent="0.3">
      <c r="C71" s="14"/>
      <c r="D71" s="70"/>
      <c r="E71" s="70"/>
      <c r="F71" s="70"/>
      <c r="G71" s="70"/>
      <c r="H71" s="70"/>
      <c r="I71" s="70"/>
      <c r="J71" s="70"/>
      <c r="K71" s="70"/>
      <c r="L71" s="70"/>
      <c r="M71" s="70"/>
    </row>
    <row r="72" spans="2:32" x14ac:dyDescent="0.3">
      <c r="C72" s="30"/>
      <c r="D72" s="888"/>
      <c r="E72" s="888"/>
      <c r="F72" s="888"/>
      <c r="G72" s="888"/>
      <c r="H72" s="888"/>
      <c r="I72" s="888"/>
      <c r="J72" s="888"/>
      <c r="K72" s="888"/>
      <c r="L72" s="888"/>
      <c r="M72" s="888"/>
    </row>
    <row r="73" spans="2:32" x14ac:dyDescent="0.3">
      <c r="C73" s="884"/>
      <c r="D73" s="888"/>
      <c r="E73" s="888"/>
      <c r="F73" s="888"/>
      <c r="G73" s="888"/>
      <c r="H73" s="888"/>
      <c r="I73" s="888"/>
      <c r="J73" s="888"/>
      <c r="K73" s="888"/>
      <c r="L73" s="888"/>
      <c r="M73" s="888"/>
    </row>
    <row r="74" spans="2:32" x14ac:dyDescent="0.3">
      <c r="C74" s="884"/>
      <c r="D74" s="888"/>
      <c r="E74" s="888"/>
      <c r="F74" s="888"/>
      <c r="G74" s="888"/>
      <c r="H74" s="888"/>
      <c r="I74" s="888"/>
      <c r="J74" s="888"/>
      <c r="K74" s="888"/>
      <c r="L74" s="888"/>
      <c r="M74" s="888"/>
    </row>
    <row r="75" spans="2:32" x14ac:dyDescent="0.3">
      <c r="C75" s="884"/>
      <c r="D75" s="888"/>
      <c r="E75" s="888"/>
      <c r="F75" s="888"/>
      <c r="G75" s="888"/>
      <c r="H75" s="888"/>
      <c r="I75" s="888"/>
      <c r="J75" s="888"/>
      <c r="K75" s="888"/>
      <c r="L75" s="888"/>
      <c r="M75" s="888"/>
    </row>
    <row r="76" spans="2:32" x14ac:dyDescent="0.3">
      <c r="C76" s="884"/>
      <c r="D76" s="888"/>
      <c r="E76" s="888"/>
      <c r="F76" s="888"/>
      <c r="G76" s="888"/>
      <c r="H76" s="888"/>
      <c r="I76" s="888"/>
      <c r="J76" s="888"/>
      <c r="K76" s="888"/>
      <c r="L76" s="888"/>
      <c r="M76" s="888"/>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F8" activePane="bottomRight" state="frozen"/>
      <selection activeCell="C4" sqref="C4"/>
      <selection pane="topRight" activeCell="F4" sqref="F4"/>
      <selection pane="bottomLeft" activeCell="C8" sqref="C8"/>
      <selection pane="bottomRight" activeCell="D183" sqref="D183:T191"/>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 min="31" max="31" width="17.77734375" bestFit="1" customWidth="1"/>
  </cols>
  <sheetData>
    <row r="1" spans="4:56" x14ac:dyDescent="0.3">
      <c r="D1" s="1610" t="s">
        <v>58</v>
      </c>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4:56" ht="14.25" customHeight="1" x14ac:dyDescent="0.3">
      <c r="D2" s="1650" t="s">
        <v>921</v>
      </c>
      <c r="E2" s="1650"/>
      <c r="F2" s="1650"/>
      <c r="G2" s="1650"/>
      <c r="H2" s="1650"/>
      <c r="I2" s="1650"/>
      <c r="J2" s="1650"/>
      <c r="K2" s="1650"/>
      <c r="L2" s="1650"/>
      <c r="M2" s="1650"/>
      <c r="N2" s="1650"/>
      <c r="O2" s="1650"/>
      <c r="P2" s="1650"/>
      <c r="Q2" s="1650"/>
      <c r="R2" s="1650"/>
      <c r="S2" s="1650"/>
      <c r="T2" s="1650"/>
      <c r="U2" s="1650"/>
      <c r="V2" s="1650"/>
      <c r="W2" s="1650"/>
      <c r="X2" s="1650"/>
      <c r="Y2" s="1650"/>
      <c r="Z2" s="1650"/>
      <c r="AA2" s="1650"/>
      <c r="AB2" s="1650"/>
      <c r="AC2" s="1650"/>
    </row>
    <row r="3" spans="4:56" ht="84.75" customHeight="1" x14ac:dyDescent="0.3">
      <c r="D3" s="1650"/>
      <c r="E3" s="1650"/>
      <c r="F3" s="1650"/>
      <c r="G3" s="1650"/>
      <c r="H3" s="1650"/>
      <c r="I3" s="1650"/>
      <c r="J3" s="1650"/>
      <c r="K3" s="1650"/>
      <c r="L3" s="1650"/>
      <c r="M3" s="1650"/>
      <c r="N3" s="1650"/>
      <c r="O3" s="1650"/>
      <c r="P3" s="1650"/>
      <c r="Q3" s="1650"/>
      <c r="R3" s="1650"/>
      <c r="S3" s="1650"/>
      <c r="T3" s="1650"/>
      <c r="U3" s="1650"/>
      <c r="V3" s="1650"/>
      <c r="W3" s="1650"/>
      <c r="X3" s="1650"/>
      <c r="Y3" s="1650"/>
      <c r="Z3" s="1650"/>
      <c r="AA3" s="1650"/>
      <c r="AB3" s="1650"/>
      <c r="AC3" s="1650"/>
    </row>
    <row r="4" spans="4:56" x14ac:dyDescent="0.3">
      <c r="D4" s="793" t="s">
        <v>333</v>
      </c>
      <c r="W4" s="35"/>
    </row>
    <row r="5" spans="4:56" x14ac:dyDescent="0.3">
      <c r="D5" s="1629" t="s">
        <v>406</v>
      </c>
      <c r="E5" s="1630"/>
      <c r="F5" s="1725" t="s">
        <v>280</v>
      </c>
      <c r="G5" s="1726"/>
      <c r="H5" s="1726"/>
      <c r="I5" s="1726"/>
      <c r="J5" s="1726"/>
      <c r="K5" s="1726"/>
      <c r="L5" s="1726"/>
      <c r="M5" s="1726"/>
      <c r="N5" s="1726"/>
      <c r="O5" s="1726"/>
      <c r="P5" s="1726"/>
      <c r="Q5" s="1726"/>
      <c r="R5" s="1726"/>
      <c r="S5" s="1726"/>
      <c r="T5" s="1726"/>
      <c r="U5" s="1246"/>
      <c r="V5" s="1627" t="s">
        <v>281</v>
      </c>
      <c r="W5" s="1605"/>
      <c r="X5" s="1605"/>
      <c r="Y5" s="1605"/>
      <c r="Z5" s="1605"/>
      <c r="AA5" s="1605"/>
      <c r="AB5" s="1605"/>
      <c r="AC5" s="1606"/>
      <c r="AD5" s="752"/>
      <c r="AE5" s="752"/>
      <c r="AF5" s="752"/>
      <c r="AG5" s="752"/>
      <c r="AH5" s="752"/>
      <c r="AI5" s="752"/>
      <c r="AJ5" s="752"/>
      <c r="AK5" s="752"/>
      <c r="AL5" s="752"/>
      <c r="AM5" s="752"/>
      <c r="AN5" s="752"/>
      <c r="AO5" s="752"/>
      <c r="AP5" s="752"/>
      <c r="AQ5" s="752"/>
      <c r="AR5" s="752"/>
      <c r="AS5" s="752"/>
      <c r="AT5" s="752"/>
      <c r="AU5" s="752"/>
      <c r="AV5" s="752"/>
      <c r="AW5" s="752"/>
      <c r="AX5" s="752"/>
      <c r="AY5" s="752"/>
      <c r="AZ5" s="752"/>
      <c r="BA5" s="752"/>
      <c r="BB5" s="752"/>
      <c r="BC5" s="752"/>
      <c r="BD5" s="752"/>
    </row>
    <row r="6" spans="4:56" x14ac:dyDescent="0.3">
      <c r="D6" s="1617"/>
      <c r="E6" s="1673"/>
      <c r="F6" s="1612">
        <v>2019</v>
      </c>
      <c r="G6" s="1642"/>
      <c r="H6" s="1614"/>
      <c r="I6" s="1642">
        <v>2020</v>
      </c>
      <c r="J6" s="1642"/>
      <c r="K6" s="1642"/>
      <c r="L6" s="1642"/>
      <c r="M6" s="1600">
        <v>2021</v>
      </c>
      <c r="N6" s="1622"/>
      <c r="O6" s="1622"/>
      <c r="P6" s="1622"/>
      <c r="Q6" s="1600">
        <v>2022</v>
      </c>
      <c r="R6" s="1601"/>
      <c r="S6" s="1601"/>
      <c r="T6" s="1637"/>
      <c r="U6" s="1242"/>
      <c r="V6" s="1243">
        <v>2023</v>
      </c>
      <c r="W6" s="1243"/>
      <c r="X6" s="1244"/>
      <c r="Y6" s="1609">
        <v>2024</v>
      </c>
      <c r="Z6" s="1607"/>
      <c r="AA6" s="1607"/>
      <c r="AB6" s="1608"/>
      <c r="AC6" s="178">
        <v>2025</v>
      </c>
      <c r="AD6" s="750"/>
      <c r="AE6" s="750"/>
      <c r="AF6" s="750"/>
      <c r="AG6" s="753"/>
      <c r="AH6" s="753"/>
      <c r="AI6" s="753"/>
      <c r="AJ6" s="753"/>
      <c r="AK6" s="753"/>
      <c r="AL6" s="753"/>
      <c r="AM6" s="753"/>
      <c r="AN6" s="753"/>
      <c r="AO6" s="753"/>
      <c r="AP6" s="753"/>
      <c r="AQ6" s="753"/>
      <c r="AR6" s="753"/>
      <c r="AS6" s="753"/>
      <c r="AT6" s="753"/>
      <c r="AU6" s="753"/>
      <c r="AV6" s="753"/>
      <c r="AW6" s="753"/>
      <c r="AX6" s="753"/>
      <c r="AY6" s="753"/>
      <c r="AZ6" s="753"/>
      <c r="BA6" s="753"/>
      <c r="BB6" s="753"/>
      <c r="BC6" s="753"/>
    </row>
    <row r="7" spans="4:56" x14ac:dyDescent="0.3">
      <c r="D7" s="1619"/>
      <c r="E7" s="1674"/>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40" t="s">
        <v>283</v>
      </c>
      <c r="V7" s="1287" t="s">
        <v>284</v>
      </c>
      <c r="W7" s="1287" t="s">
        <v>238</v>
      </c>
      <c r="X7" s="241" t="s">
        <v>282</v>
      </c>
      <c r="Y7" s="301" t="s">
        <v>283</v>
      </c>
      <c r="Z7" s="1156" t="s">
        <v>284</v>
      </c>
      <c r="AA7" s="1287" t="s">
        <v>238</v>
      </c>
      <c r="AB7" s="1287" t="s">
        <v>282</v>
      </c>
      <c r="AC7" s="324" t="s">
        <v>283</v>
      </c>
      <c r="AD7" s="700"/>
      <c r="AE7" s="700"/>
      <c r="AF7" s="700"/>
      <c r="AG7" s="700"/>
      <c r="AH7" s="700"/>
      <c r="AI7" s="700"/>
      <c r="AJ7" s="700"/>
      <c r="AK7" s="700"/>
      <c r="AL7" s="700"/>
      <c r="AM7" s="700"/>
      <c r="AN7" s="700"/>
      <c r="AO7" s="700"/>
      <c r="AP7" s="700"/>
      <c r="AQ7" s="700"/>
      <c r="AR7" s="700"/>
      <c r="AS7" s="700"/>
      <c r="AT7" s="700"/>
      <c r="AU7" s="700"/>
      <c r="AV7" s="700"/>
      <c r="AW7" s="700"/>
      <c r="AX7" s="700"/>
      <c r="AY7" s="700"/>
      <c r="AZ7" s="700"/>
      <c r="BA7" s="700"/>
      <c r="BB7" s="700"/>
      <c r="BC7" s="700"/>
    </row>
    <row r="8" spans="4:56" x14ac:dyDescent="0.3">
      <c r="D8" s="1430" t="s">
        <v>468</v>
      </c>
      <c r="E8" s="69"/>
      <c r="F8" s="1405"/>
      <c r="G8" s="1406"/>
      <c r="H8" s="1406"/>
      <c r="I8" s="1406"/>
      <c r="J8" s="1406"/>
      <c r="K8" s="1406"/>
      <c r="L8" s="1406"/>
      <c r="M8" s="1406"/>
      <c r="N8" s="1406"/>
      <c r="O8" s="1406"/>
      <c r="P8" s="1406"/>
      <c r="Q8" s="1406"/>
      <c r="R8" s="1406"/>
      <c r="S8" s="1406"/>
      <c r="T8" s="1406"/>
      <c r="U8" s="1411"/>
      <c r="V8" s="1407"/>
      <c r="W8" s="1407"/>
      <c r="X8" s="1407"/>
      <c r="Y8" s="1407"/>
      <c r="Z8" s="1407"/>
      <c r="AA8" s="1407"/>
      <c r="AB8" s="1407"/>
      <c r="AC8" s="1408"/>
      <c r="AD8" s="677"/>
      <c r="AE8" s="677"/>
      <c r="AF8" s="677"/>
      <c r="AG8" s="677"/>
      <c r="AH8" s="677"/>
      <c r="AI8" s="677"/>
      <c r="AJ8" s="677"/>
      <c r="AK8" s="677"/>
      <c r="AL8" s="677"/>
      <c r="AM8" s="677"/>
      <c r="AN8" s="677"/>
      <c r="AO8" s="677"/>
      <c r="AP8" s="677"/>
      <c r="AQ8" s="677"/>
      <c r="AR8" s="677"/>
      <c r="AS8" s="677"/>
      <c r="AT8" s="677"/>
      <c r="AU8" s="677"/>
      <c r="AV8" s="677"/>
      <c r="AW8" s="677"/>
      <c r="AX8" s="677"/>
      <c r="AY8" s="677"/>
      <c r="AZ8" s="677"/>
      <c r="BA8" s="677"/>
      <c r="BB8" s="677"/>
      <c r="BC8" s="677"/>
    </row>
    <row r="9" spans="4:56" ht="14.85" customHeight="1" x14ac:dyDescent="0.3">
      <c r="D9" s="414" t="s">
        <v>484</v>
      </c>
      <c r="E9" s="1429"/>
      <c r="F9" s="1392">
        <f t="shared" ref="F9:P9" si="0">SUM(F10:F16)</f>
        <v>3266.5</v>
      </c>
      <c r="G9" s="1392">
        <f t="shared" si="0"/>
        <v>3286.9</v>
      </c>
      <c r="H9" s="1392">
        <f t="shared" si="0"/>
        <v>3332.3</v>
      </c>
      <c r="I9" s="1392">
        <f t="shared" si="0"/>
        <v>3393.2999999999997</v>
      </c>
      <c r="J9" s="1392">
        <f t="shared" si="0"/>
        <v>3128.1</v>
      </c>
      <c r="K9" s="1392">
        <f t="shared" si="0"/>
        <v>3303.4</v>
      </c>
      <c r="L9" s="1392">
        <f t="shared" si="0"/>
        <v>3457.8</v>
      </c>
      <c r="M9" s="1392">
        <f>SUM(M10:M16)</f>
        <v>3596.7999999999997</v>
      </c>
      <c r="N9" s="1392">
        <f t="shared" si="0"/>
        <v>3753.5</v>
      </c>
      <c r="O9" s="1392">
        <f t="shared" si="0"/>
        <v>3871.9000000000005</v>
      </c>
      <c r="P9" s="1392">
        <f t="shared" si="0"/>
        <v>4000.8999999999996</v>
      </c>
      <c r="Q9" s="1392">
        <f t="shared" ref="Q9:S9" si="1">SUM(Q10:Q16)</f>
        <v>4383.5999999999995</v>
      </c>
      <c r="R9" s="1392">
        <f t="shared" si="1"/>
        <v>4444.7999999999993</v>
      </c>
      <c r="S9" s="1431">
        <f t="shared" si="1"/>
        <v>4522.2</v>
      </c>
      <c r="T9" s="1392">
        <f t="shared" ref="T9:AC9" si="2">SUM(T10,T13,T16)</f>
        <v>4545.2</v>
      </c>
      <c r="U9" s="1412">
        <f t="shared" si="2"/>
        <v>4343.7</v>
      </c>
      <c r="V9" s="1393">
        <f t="shared" si="2"/>
        <v>4344.3221711136493</v>
      </c>
      <c r="W9" s="1393">
        <f t="shared" si="2"/>
        <v>4342.4004049354362</v>
      </c>
      <c r="X9" s="1393">
        <f t="shared" si="2"/>
        <v>4355.9943010426095</v>
      </c>
      <c r="Y9" s="1393">
        <f t="shared" si="2"/>
        <v>4364.9024259584885</v>
      </c>
      <c r="Z9" s="1393">
        <f t="shared" si="2"/>
        <v>4374.1270302789117</v>
      </c>
      <c r="AA9" s="1393">
        <f t="shared" si="2"/>
        <v>4383.6703962694774</v>
      </c>
      <c r="AB9" s="1393">
        <f t="shared" si="2"/>
        <v>4413.5303912630416</v>
      </c>
      <c r="AC9" s="678">
        <f t="shared" si="2"/>
        <v>4443.6421523439622</v>
      </c>
      <c r="AD9" s="757"/>
      <c r="AF9" s="668"/>
      <c r="AG9" s="668"/>
      <c r="AH9" s="668"/>
      <c r="AI9" s="668"/>
      <c r="AJ9" s="668"/>
      <c r="AK9" s="668"/>
      <c r="AL9" s="668"/>
      <c r="AM9" s="668"/>
      <c r="AN9" s="668"/>
      <c r="AO9" s="668"/>
      <c r="AU9" s="757"/>
      <c r="AV9" s="757"/>
      <c r="AW9" s="757"/>
      <c r="AX9" s="757"/>
      <c r="AY9" s="757"/>
      <c r="AZ9" s="757"/>
      <c r="BA9" s="757"/>
      <c r="BB9" s="757"/>
      <c r="BC9" s="757"/>
    </row>
    <row r="10" spans="4:56" x14ac:dyDescent="0.3">
      <c r="D10" s="421" t="s">
        <v>485</v>
      </c>
      <c r="E10" s="1296" t="s">
        <v>115</v>
      </c>
      <c r="F10" s="1394">
        <f>'Haver Pivoted'!GQ27</f>
        <v>1692.6</v>
      </c>
      <c r="G10" s="1394">
        <f>'Haver Pivoted'!GR27</f>
        <v>1700.6</v>
      </c>
      <c r="H10" s="1394">
        <f>'Haver Pivoted'!GS27</f>
        <v>1726.4</v>
      </c>
      <c r="I10" s="1394">
        <f>'Haver Pivoted'!GT27</f>
        <v>1751.6</v>
      </c>
      <c r="J10" s="1394">
        <f>'Haver Pivoted'!GU27</f>
        <v>1610.2</v>
      </c>
      <c r="K10" s="1394">
        <f>'Haver Pivoted'!GV27</f>
        <v>1722.1</v>
      </c>
      <c r="L10" s="1394">
        <f>'Haver Pivoted'!GW27</f>
        <v>1837.8</v>
      </c>
      <c r="M10" s="1394">
        <f>'Haver Pivoted'!GX27</f>
        <v>1965.4</v>
      </c>
      <c r="N10" s="1394">
        <f>'Haver Pivoted'!GY27</f>
        <v>2071.9</v>
      </c>
      <c r="O10" s="1394">
        <f>'Haver Pivoted'!GZ27</f>
        <v>2158.8000000000002</v>
      </c>
      <c r="P10" s="1394">
        <f>'Haver Pivoted'!HA27</f>
        <v>2235.1999999999998</v>
      </c>
      <c r="Q10" s="1394">
        <f>'Haver Pivoted'!HB27</f>
        <v>2564.1</v>
      </c>
      <c r="R10" s="1394">
        <f>'Haver Pivoted'!HC27</f>
        <v>2598.6</v>
      </c>
      <c r="S10" s="1400">
        <f>'Haver Pivoted'!HD27</f>
        <v>2641.7</v>
      </c>
      <c r="T10" s="1395">
        <f>'Haver Pivoted'!HE27</f>
        <v>2650.1</v>
      </c>
      <c r="U10" s="725">
        <f>'Haver Pivoted'!HF27</f>
        <v>2418.6</v>
      </c>
      <c r="V10" s="1396">
        <f t="shared" ref="V10:AC10" si="3">SUM(V11:V12)</f>
        <v>2393.0084595066037</v>
      </c>
      <c r="W10" s="1396">
        <f t="shared" si="3"/>
        <v>2367.6871479886263</v>
      </c>
      <c r="X10" s="1396">
        <f t="shared" si="3"/>
        <v>2359.482116280567</v>
      </c>
      <c r="Y10" s="1396">
        <f t="shared" si="3"/>
        <v>2346.3505762937225</v>
      </c>
      <c r="Z10" s="1396">
        <f t="shared" si="3"/>
        <v>2333.2921190148318</v>
      </c>
      <c r="AA10" s="1396">
        <f t="shared" si="3"/>
        <v>2320.3063377069693</v>
      </c>
      <c r="AB10" s="1396">
        <f t="shared" si="3"/>
        <v>2330.5662560212481</v>
      </c>
      <c r="AC10" s="734">
        <f t="shared" si="3"/>
        <v>2340.8715415881629</v>
      </c>
      <c r="AD10" s="677"/>
      <c r="AF10" s="668"/>
      <c r="AG10" s="668"/>
      <c r="AH10" s="668"/>
      <c r="AI10" s="668"/>
      <c r="AJ10" s="668"/>
      <c r="AK10" s="668"/>
      <c r="AL10" s="668"/>
      <c r="AM10" s="668"/>
      <c r="AN10" s="668"/>
      <c r="AO10" s="668"/>
      <c r="AU10" s="677"/>
      <c r="AV10" s="677"/>
      <c r="AW10" s="677"/>
      <c r="AX10" s="677"/>
      <c r="AY10" s="677"/>
      <c r="AZ10" s="677"/>
      <c r="BA10" s="677"/>
      <c r="BB10" s="677"/>
      <c r="BC10" s="677"/>
    </row>
    <row r="11" spans="4:56" ht="15.6" customHeight="1" x14ac:dyDescent="0.3">
      <c r="D11" s="421" t="s">
        <v>1390</v>
      </c>
      <c r="E11" s="1296"/>
      <c r="F11" s="1394"/>
      <c r="G11" s="1394"/>
      <c r="H11" s="1394"/>
      <c r="I11" s="1394"/>
      <c r="J11" s="1394"/>
      <c r="K11" s="1394"/>
      <c r="L11" s="1394"/>
      <c r="M11" s="1394"/>
      <c r="N11" s="1394"/>
      <c r="O11" s="1394"/>
      <c r="P11" s="1394"/>
      <c r="Q11" s="1394"/>
      <c r="R11" s="1394"/>
      <c r="S11" s="1399"/>
      <c r="T11" s="1398">
        <f>T10-T12</f>
        <v>2604.1</v>
      </c>
      <c r="U11" s="1413">
        <f>U10-U12</f>
        <v>2423.6</v>
      </c>
      <c r="V11" s="1396">
        <f>U11*(1+$J67)^0.25</f>
        <v>2398.0084595066037</v>
      </c>
      <c r="W11" s="1396">
        <f>V11*(1+$J67)^0.25</f>
        <v>2372.6871479886263</v>
      </c>
      <c r="X11" s="1396">
        <f>W11*(1+$K67)^0.25</f>
        <v>2359.482116280567</v>
      </c>
      <c r="Y11" s="1396">
        <f>X11*(1+$K67)^0.25</f>
        <v>2346.3505762937225</v>
      </c>
      <c r="Z11" s="1396">
        <f>Y11*(1+$K67)^0.25</f>
        <v>2333.2921190148318</v>
      </c>
      <c r="AA11" s="1396">
        <f>Z11*(1+$K67)^0.25</f>
        <v>2320.3063377069693</v>
      </c>
      <c r="AB11" s="1396">
        <f>AA11*(1+$L67)^0.25</f>
        <v>2330.5662560212481</v>
      </c>
      <c r="AC11" s="734">
        <f>AB11*(1+$L67)^0.25</f>
        <v>2340.8715415881629</v>
      </c>
      <c r="AD11" s="677"/>
      <c r="AF11" s="668"/>
      <c r="AG11" s="668"/>
      <c r="AH11" s="668"/>
      <c r="AI11" s="668"/>
      <c r="AJ11" s="668"/>
      <c r="AK11" s="668"/>
      <c r="AL11" s="668"/>
      <c r="AM11" s="668"/>
      <c r="AN11" s="668"/>
      <c r="AO11" s="668"/>
      <c r="AU11" s="677"/>
      <c r="AV11" s="677"/>
      <c r="AW11" s="677"/>
      <c r="AX11" s="677"/>
      <c r="AY11" s="677"/>
      <c r="AZ11" s="677"/>
      <c r="BA11" s="677"/>
      <c r="BB11" s="677"/>
      <c r="BC11" s="677"/>
    </row>
    <row r="12" spans="4:56" x14ac:dyDescent="0.3">
      <c r="D12" s="421" t="s">
        <v>1835</v>
      </c>
      <c r="E12" s="1296"/>
      <c r="F12" s="1420"/>
      <c r="G12" s="1420"/>
      <c r="H12" s="1420"/>
      <c r="I12" s="1420"/>
      <c r="J12" s="1420"/>
      <c r="K12" s="1420"/>
      <c r="L12" s="1420"/>
      <c r="M12" s="1420"/>
      <c r="N12" s="1420"/>
      <c r="O12" s="1420"/>
      <c r="P12" s="1420"/>
      <c r="Q12" s="1420"/>
      <c r="R12" s="1420"/>
      <c r="S12" s="1214"/>
      <c r="T12" s="1214">
        <v>46</v>
      </c>
      <c r="U12" s="1422">
        <v>-5</v>
      </c>
      <c r="V12" s="1404">
        <v>-5</v>
      </c>
      <c r="W12" s="1404">
        <v>-5</v>
      </c>
      <c r="X12" s="1404"/>
      <c r="Y12" s="1404"/>
      <c r="Z12" s="1404"/>
      <c r="AA12" s="1404"/>
      <c r="AB12" s="1404"/>
      <c r="AC12" s="1423"/>
      <c r="AD12" s="677"/>
      <c r="AF12" s="668"/>
      <c r="AG12" s="668"/>
      <c r="AH12" s="668"/>
      <c r="AI12" s="668"/>
      <c r="AJ12" s="668"/>
      <c r="AK12" s="668"/>
      <c r="AL12" s="668"/>
      <c r="AM12" s="668"/>
      <c r="AN12" s="668"/>
      <c r="AO12" s="668"/>
      <c r="AU12" s="677"/>
      <c r="AV12" s="677"/>
      <c r="AW12" s="677"/>
      <c r="AX12" s="677"/>
      <c r="AY12" s="677"/>
      <c r="AZ12" s="677"/>
      <c r="BA12" s="677"/>
      <c r="BB12" s="677"/>
      <c r="BC12" s="677"/>
    </row>
    <row r="13" spans="4:56" x14ac:dyDescent="0.3">
      <c r="D13" s="421" t="s">
        <v>486</v>
      </c>
      <c r="E13" s="1154" t="s">
        <v>121</v>
      </c>
      <c r="F13" s="1394">
        <f>'Haver Pivoted'!GQ30</f>
        <v>1402.6</v>
      </c>
      <c r="G13" s="1394">
        <f>'Haver Pivoted'!GR30</f>
        <v>1410</v>
      </c>
      <c r="H13" s="1394">
        <f>'Haver Pivoted'!GS30</f>
        <v>1429</v>
      </c>
      <c r="I13" s="1394">
        <f>'Haver Pivoted'!GT30</f>
        <v>1455.1</v>
      </c>
      <c r="J13" s="1394">
        <f>'Haver Pivoted'!GU30</f>
        <v>1385.3</v>
      </c>
      <c r="K13" s="1394">
        <f>'Haver Pivoted'!GV30</f>
        <v>1432.2</v>
      </c>
      <c r="L13" s="1394">
        <f>'Haver Pivoted'!GW30</f>
        <v>1465</v>
      </c>
      <c r="M13" s="1394">
        <f>'Haver Pivoted'!GX30</f>
        <v>1474.8</v>
      </c>
      <c r="N13" s="1394">
        <f>'Haver Pivoted'!GY30</f>
        <v>1504.3</v>
      </c>
      <c r="O13" s="1394">
        <f>'Haver Pivoted'!GZ30</f>
        <v>1536.3</v>
      </c>
      <c r="P13" s="1394">
        <f>'Haver Pivoted'!HA30</f>
        <v>1578.1</v>
      </c>
      <c r="Q13" s="1394">
        <f>'Haver Pivoted'!HB30</f>
        <v>1617.1</v>
      </c>
      <c r="R13" s="1394">
        <f>'Haver Pivoted'!HC30</f>
        <v>1636.8</v>
      </c>
      <c r="S13" s="1400">
        <f>'Haver Pivoted'!HD30</f>
        <v>1677.7</v>
      </c>
      <c r="T13" s="1395">
        <f>'Haver Pivoted'!HE30</f>
        <v>1702.7</v>
      </c>
      <c r="U13" s="725">
        <f>'Haver Pivoted'!HF30</f>
        <v>1735.3</v>
      </c>
      <c r="V13" s="1396">
        <f>U13*(1+$J68)^0.25</f>
        <v>1757.8930147893395</v>
      </c>
      <c r="W13" s="1396">
        <f>V13*(1+$J68)^0.25</f>
        <v>1780.7801829338748</v>
      </c>
      <c r="X13" s="1396">
        <f>W13*(1+$K68)^0.25</f>
        <v>1800.5691731515767</v>
      </c>
      <c r="Y13" s="1396">
        <f>X13*(1+$K68)^0.25</f>
        <v>1820.5780693057827</v>
      </c>
      <c r="Z13" s="1396">
        <f>Y13*(1+$K68)^0.25</f>
        <v>1840.8093151099104</v>
      </c>
      <c r="AA13" s="1396">
        <f>Z13*(1+$K68)^0.25</f>
        <v>1861.2653814332389</v>
      </c>
      <c r="AB13" s="1396">
        <f>AA13*(1+$L68)^0.25</f>
        <v>1880.8654581125243</v>
      </c>
      <c r="AC13" s="734">
        <f>AB13*(1+$L68)^0.25</f>
        <v>1900.6719336265303</v>
      </c>
      <c r="AD13" s="677"/>
      <c r="AF13" s="668"/>
      <c r="AG13" s="668"/>
      <c r="AH13" s="668"/>
      <c r="AI13" s="668"/>
      <c r="AJ13" s="668"/>
      <c r="AK13" s="668"/>
      <c r="AL13" s="668"/>
      <c r="AM13" s="668"/>
      <c r="AN13" s="668"/>
      <c r="AO13" s="668"/>
      <c r="AU13" s="677"/>
      <c r="AV13" s="677"/>
      <c r="AW13" s="677"/>
      <c r="AX13" s="677"/>
      <c r="AY13" s="677"/>
      <c r="AZ13" s="677"/>
      <c r="BA13" s="677"/>
      <c r="BB13" s="677"/>
      <c r="BC13" s="677"/>
    </row>
    <row r="14" spans="4:56" x14ac:dyDescent="0.3">
      <c r="D14" s="421" t="s">
        <v>1897</v>
      </c>
      <c r="E14" s="1154"/>
      <c r="F14" s="1394"/>
      <c r="G14" s="1394"/>
      <c r="H14" s="1394"/>
      <c r="I14" s="1394"/>
      <c r="J14" s="1394"/>
      <c r="K14" s="1394"/>
      <c r="L14" s="1394"/>
      <c r="M14" s="1394"/>
      <c r="N14" s="1394"/>
      <c r="O14" s="1394"/>
      <c r="P14" s="1394"/>
      <c r="Q14" s="1394"/>
      <c r="R14" s="1394"/>
      <c r="S14" s="1400"/>
      <c r="T14" s="1400"/>
      <c r="U14" s="1415"/>
      <c r="V14" s="1396"/>
      <c r="W14" s="1396"/>
      <c r="X14" s="1396"/>
      <c r="Y14" s="1396"/>
      <c r="Z14" s="1396"/>
      <c r="AA14" s="1396"/>
      <c r="AB14" s="1396"/>
      <c r="AC14" s="734"/>
      <c r="AD14" s="677"/>
      <c r="AF14" s="668"/>
      <c r="AG14" s="668"/>
      <c r="AH14" s="668"/>
      <c r="AI14" s="668"/>
      <c r="AJ14" s="668"/>
      <c r="AK14" s="668"/>
      <c r="AL14" s="668"/>
      <c r="AM14" s="668"/>
      <c r="AN14" s="668"/>
      <c r="AO14" s="668"/>
      <c r="AU14" s="677"/>
      <c r="AV14" s="677"/>
      <c r="AW14" s="677"/>
      <c r="AX14" s="677"/>
      <c r="AY14" s="677"/>
      <c r="AZ14" s="677"/>
      <c r="BA14" s="677"/>
      <c r="BB14" s="677"/>
      <c r="BC14" s="677"/>
    </row>
    <row r="15" spans="4:56" x14ac:dyDescent="0.3">
      <c r="D15" s="421" t="s">
        <v>1750</v>
      </c>
      <c r="E15" s="1154"/>
      <c r="F15" s="1420"/>
      <c r="G15" s="1420"/>
      <c r="H15" s="1420"/>
      <c r="I15" s="1420"/>
      <c r="J15" s="1420"/>
      <c r="K15" s="1420"/>
      <c r="L15" s="1420"/>
      <c r="M15" s="1420"/>
      <c r="N15" s="1420"/>
      <c r="O15" s="1420"/>
      <c r="P15" s="1420"/>
      <c r="Q15" s="1420"/>
      <c r="R15" s="1420"/>
      <c r="S15" s="1424"/>
      <c r="T15" s="1214"/>
      <c r="U15" s="1422">
        <v>8</v>
      </c>
      <c r="V15" s="1404"/>
      <c r="W15" s="1404"/>
      <c r="X15" s="1404"/>
      <c r="Y15" s="1404"/>
      <c r="Z15" s="1404"/>
      <c r="AA15" s="1404"/>
      <c r="AB15" s="1404"/>
      <c r="AC15" s="1423"/>
      <c r="AD15" s="677"/>
      <c r="AF15" s="668"/>
      <c r="AG15" s="668"/>
      <c r="AH15" s="668"/>
      <c r="AI15" s="668"/>
      <c r="AJ15" s="668"/>
      <c r="AK15" s="668"/>
      <c r="AL15" s="668"/>
      <c r="AM15" s="668"/>
      <c r="AN15" s="668"/>
      <c r="AO15" s="668"/>
      <c r="AU15" s="677"/>
      <c r="AV15" s="677"/>
      <c r="AW15" s="677"/>
      <c r="AX15" s="677"/>
      <c r="AY15" s="677"/>
      <c r="AZ15" s="677"/>
      <c r="BA15" s="677"/>
      <c r="BB15" s="677"/>
      <c r="BC15" s="677"/>
    </row>
    <row r="16" spans="4:56" x14ac:dyDescent="0.3">
      <c r="D16" s="421" t="s">
        <v>487</v>
      </c>
      <c r="E16" s="1296" t="s">
        <v>117</v>
      </c>
      <c r="F16" s="1394">
        <f>'Haver Pivoted'!GQ28</f>
        <v>171.3</v>
      </c>
      <c r="G16" s="1394">
        <f>'Haver Pivoted'!GR28</f>
        <v>176.3</v>
      </c>
      <c r="H16" s="1394">
        <f>'Haver Pivoted'!GS28</f>
        <v>176.9</v>
      </c>
      <c r="I16" s="1394">
        <f>'Haver Pivoted'!GT28</f>
        <v>186.6</v>
      </c>
      <c r="J16" s="1394">
        <f>'Haver Pivoted'!GU28</f>
        <v>132.6</v>
      </c>
      <c r="K16" s="1394">
        <f>'Haver Pivoted'!GV28</f>
        <v>149.1</v>
      </c>
      <c r="L16" s="1394">
        <f>'Haver Pivoted'!GW28</f>
        <v>155</v>
      </c>
      <c r="M16" s="1394">
        <f>'Haver Pivoted'!GX28</f>
        <v>156.6</v>
      </c>
      <c r="N16" s="1394">
        <f>'Haver Pivoted'!GY28</f>
        <v>177.3</v>
      </c>
      <c r="O16" s="1394">
        <f>'Haver Pivoted'!GZ28</f>
        <v>176.8</v>
      </c>
      <c r="P16" s="1394">
        <f>'Haver Pivoted'!HA28</f>
        <v>187.6</v>
      </c>
      <c r="Q16" s="1394">
        <f>'Haver Pivoted'!HB28</f>
        <v>202.4</v>
      </c>
      <c r="R16" s="1394">
        <f>'Haver Pivoted'!HC28</f>
        <v>209.4</v>
      </c>
      <c r="S16" s="1400">
        <f>'Haver Pivoted'!HD28</f>
        <v>202.8</v>
      </c>
      <c r="T16" s="1395">
        <f>'Haver Pivoted'!HE28</f>
        <v>192.4</v>
      </c>
      <c r="U16" s="725">
        <f>'Haver Pivoted'!HF28</f>
        <v>189.8</v>
      </c>
      <c r="V16" s="1396">
        <f t="shared" ref="V16:AC16" si="4">SUM(V17:V18)</f>
        <v>193.42069681770565</v>
      </c>
      <c r="W16" s="1396">
        <f t="shared" si="4"/>
        <v>193.93307401293529</v>
      </c>
      <c r="X16" s="1396">
        <f t="shared" si="4"/>
        <v>195.94301161046616</v>
      </c>
      <c r="Y16" s="1396">
        <f t="shared" si="4"/>
        <v>197.97378035898313</v>
      </c>
      <c r="Z16" s="1396">
        <f t="shared" si="4"/>
        <v>200.02559615416976</v>
      </c>
      <c r="AA16" s="1396">
        <f t="shared" si="4"/>
        <v>202.0986771292693</v>
      </c>
      <c r="AB16" s="1396">
        <f t="shared" si="4"/>
        <v>202.0986771292693</v>
      </c>
      <c r="AC16" s="734">
        <f t="shared" si="4"/>
        <v>202.0986771292693</v>
      </c>
      <c r="AD16" s="677"/>
      <c r="AF16" s="668"/>
      <c r="AG16" s="668"/>
      <c r="AH16" s="668"/>
      <c r="AI16" s="668"/>
      <c r="AJ16" s="668"/>
      <c r="AK16" s="668"/>
      <c r="AL16" s="668"/>
      <c r="AM16" s="668"/>
      <c r="AN16" s="668"/>
      <c r="AO16" s="668"/>
      <c r="AU16" s="677"/>
      <c r="AV16" s="677"/>
      <c r="AW16" s="677"/>
      <c r="AX16" s="677"/>
      <c r="AY16" s="677"/>
      <c r="AZ16" s="677"/>
      <c r="BA16" s="677"/>
      <c r="BB16" s="677"/>
      <c r="BC16" s="677"/>
    </row>
    <row r="17" spans="4:55" x14ac:dyDescent="0.3">
      <c r="D17" s="421" t="s">
        <v>1442</v>
      </c>
      <c r="E17" s="1296"/>
      <c r="F17" s="1394"/>
      <c r="G17" s="1394"/>
      <c r="H17" s="1394"/>
      <c r="I17" s="1394"/>
      <c r="J17" s="1394"/>
      <c r="K17" s="1394"/>
      <c r="L17" s="1394"/>
      <c r="M17" s="1394"/>
      <c r="N17" s="1394"/>
      <c r="O17" s="1394"/>
      <c r="P17" s="1394"/>
      <c r="Q17" s="1394"/>
      <c r="R17" s="1394"/>
      <c r="S17" s="1399"/>
      <c r="T17" s="1397"/>
      <c r="U17" s="1414">
        <f>T16*(1+$J69)^0.25</f>
        <v>192.90967333891416</v>
      </c>
      <c r="V17" s="1396">
        <f>U17*(1+$J69)^0.25</f>
        <v>193.42069681770565</v>
      </c>
      <c r="W17" s="1396">
        <f>V17*(1+$J69)^0.25</f>
        <v>193.93307401293529</v>
      </c>
      <c r="X17" s="1396">
        <f>W17*(1+$K69)^0.25</f>
        <v>195.94301161046616</v>
      </c>
      <c r="Y17" s="1396">
        <f>X17*(1+$K69)^0.25</f>
        <v>197.97378035898313</v>
      </c>
      <c r="Z17" s="1396">
        <f>Y17*(1+$K69)^0.25</f>
        <v>200.02559615416976</v>
      </c>
      <c r="AA17" s="1396">
        <f>Z17*(1+$K69)^0.25</f>
        <v>202.0986771292693</v>
      </c>
      <c r="AB17" s="1396">
        <f>AA17*(1+$L69)^0.25</f>
        <v>202.0986771292693</v>
      </c>
      <c r="AC17" s="734">
        <f>AB17*(1+$L69)^0.25</f>
        <v>202.0986771292693</v>
      </c>
      <c r="AD17" s="677"/>
      <c r="AF17" s="668"/>
      <c r="AG17" s="668"/>
      <c r="AH17" s="668"/>
      <c r="AI17" s="668"/>
      <c r="AJ17" s="668"/>
      <c r="AK17" s="668"/>
      <c r="AL17" s="668"/>
      <c r="AM17" s="668"/>
      <c r="AN17" s="668"/>
      <c r="AO17" s="668"/>
      <c r="AU17" s="677"/>
      <c r="AV17" s="677"/>
      <c r="AW17" s="677"/>
      <c r="AX17" s="677"/>
      <c r="AY17" s="677"/>
      <c r="AZ17" s="677"/>
      <c r="BA17" s="677"/>
      <c r="BB17" s="677"/>
      <c r="BC17" s="677"/>
    </row>
    <row r="18" spans="4:55" x14ac:dyDescent="0.3">
      <c r="D18" s="745" t="s">
        <v>1443</v>
      </c>
      <c r="E18" s="746"/>
      <c r="F18" s="1421"/>
      <c r="G18" s="1420"/>
      <c r="H18" s="1420"/>
      <c r="I18" s="1420"/>
      <c r="J18" s="1420"/>
      <c r="K18" s="1420"/>
      <c r="L18" s="1420"/>
      <c r="M18" s="1420"/>
      <c r="N18" s="1420"/>
      <c r="O18" s="1420"/>
      <c r="P18" s="1420"/>
      <c r="Q18" s="1420"/>
      <c r="R18" s="1420"/>
      <c r="S18" s="1214"/>
      <c r="T18" s="1403"/>
      <c r="U18" s="1422">
        <v>0</v>
      </c>
      <c r="V18" s="1404">
        <v>0</v>
      </c>
      <c r="W18" s="1404">
        <v>0</v>
      </c>
      <c r="X18" s="1404">
        <v>0</v>
      </c>
      <c r="Y18" s="1404">
        <v>0</v>
      </c>
      <c r="Z18" s="1404">
        <v>0</v>
      </c>
      <c r="AA18" s="1404">
        <v>0</v>
      </c>
      <c r="AB18" s="1404">
        <v>0</v>
      </c>
      <c r="AC18" s="1423">
        <v>0</v>
      </c>
      <c r="AD18" s="677"/>
      <c r="AF18" s="668"/>
      <c r="AG18" s="668"/>
      <c r="AH18" s="668"/>
      <c r="AI18" s="668"/>
      <c r="AJ18" s="668"/>
      <c r="AK18" s="668"/>
      <c r="AL18" s="668"/>
      <c r="AM18" s="668"/>
      <c r="AN18" s="668"/>
      <c r="AO18" s="668"/>
      <c r="AU18" s="677"/>
      <c r="AV18" s="677"/>
      <c r="AW18" s="677"/>
      <c r="AX18" s="677"/>
      <c r="AY18" s="677"/>
      <c r="AZ18" s="677"/>
      <c r="BA18" s="677"/>
      <c r="BB18" s="677"/>
      <c r="BC18" s="677"/>
    </row>
    <row r="19" spans="4:55" ht="14.85" customHeight="1" x14ac:dyDescent="0.3">
      <c r="D19" s="414" t="s">
        <v>488</v>
      </c>
      <c r="E19" s="736" t="s">
        <v>119</v>
      </c>
      <c r="F19" s="794">
        <f>'Haver Pivoted'!GQ29</f>
        <v>215.9</v>
      </c>
      <c r="G19" s="1401">
        <f>'Haver Pivoted'!GR29</f>
        <v>196.9</v>
      </c>
      <c r="H19" s="1401">
        <f>'Haver Pivoted'!GS29</f>
        <v>226.2</v>
      </c>
      <c r="I19" s="1401">
        <f>'Haver Pivoted'!GT29</f>
        <v>183.1</v>
      </c>
      <c r="J19" s="1401">
        <f>'Haver Pivoted'!GU29</f>
        <v>177.8</v>
      </c>
      <c r="K19" s="1401">
        <f>'Haver Pivoted'!GV29</f>
        <v>218.4</v>
      </c>
      <c r="L19" s="1401">
        <f>'Haver Pivoted'!GW29</f>
        <v>226.5</v>
      </c>
      <c r="M19" s="1401">
        <f>'Haver Pivoted'!GX29</f>
        <v>249.6</v>
      </c>
      <c r="N19" s="1401">
        <f>'Haver Pivoted'!GY29</f>
        <v>281.39999999999998</v>
      </c>
      <c r="O19" s="1401">
        <f>'Haver Pivoted'!GZ29</f>
        <v>278.39999999999998</v>
      </c>
      <c r="P19" s="1401">
        <f>'Haver Pivoted'!HA29</f>
        <v>304.8</v>
      </c>
      <c r="Q19" s="1401">
        <f>'Haver Pivoted'!HB29</f>
        <v>313.8</v>
      </c>
      <c r="R19" s="1401">
        <f>'Haver Pivoted'!HC29</f>
        <v>353.2</v>
      </c>
      <c r="S19" s="1432">
        <f>'Haver Pivoted'!HD29</f>
        <v>340.6</v>
      </c>
      <c r="T19" s="1416">
        <f>'Haver Pivoted'!HE29</f>
        <v>332.2</v>
      </c>
      <c r="U19" s="1396">
        <f t="shared" ref="U19:AC19" si="5">U21+U20</f>
        <v>341.66194166567766</v>
      </c>
      <c r="V19" s="1396">
        <f t="shared" si="5"/>
        <v>351.3933846561136</v>
      </c>
      <c r="W19" s="1396">
        <f t="shared" si="5"/>
        <v>361.40200508754401</v>
      </c>
      <c r="X19" s="1396">
        <f t="shared" si="5"/>
        <v>361.99675210186376</v>
      </c>
      <c r="Y19" s="1396">
        <f t="shared" si="5"/>
        <v>362.5924778711601</v>
      </c>
      <c r="Z19" s="1396">
        <f t="shared" si="5"/>
        <v>363.18918400613694</v>
      </c>
      <c r="AA19" s="1396">
        <f t="shared" si="5"/>
        <v>363.78687212014876</v>
      </c>
      <c r="AB19" s="1396">
        <f t="shared" si="5"/>
        <v>365.68659917925123</v>
      </c>
      <c r="AC19" s="734">
        <f t="shared" si="5"/>
        <v>379.83030278112079</v>
      </c>
      <c r="AD19" s="757"/>
      <c r="AF19" s="668"/>
      <c r="AG19" s="668"/>
      <c r="AH19" s="668"/>
      <c r="AI19" s="668"/>
      <c r="AJ19" s="668"/>
      <c r="AK19" s="668"/>
      <c r="AL19" s="668"/>
      <c r="AM19" s="668"/>
      <c r="AN19" s="668"/>
      <c r="AO19" s="668"/>
      <c r="AU19" s="757"/>
      <c r="AV19" s="757"/>
      <c r="AW19" s="757"/>
      <c r="AX19" s="757"/>
      <c r="AY19" s="757"/>
      <c r="AZ19" s="757"/>
      <c r="BA19" s="757"/>
      <c r="BB19" s="757"/>
      <c r="BC19" s="757"/>
    </row>
    <row r="20" spans="4:55" x14ac:dyDescent="0.3">
      <c r="D20" s="181" t="s">
        <v>1391</v>
      </c>
      <c r="E20" s="69"/>
      <c r="F20" s="774"/>
      <c r="G20" s="1390"/>
      <c r="H20" s="1390"/>
      <c r="I20" s="1390"/>
      <c r="J20" s="1390"/>
      <c r="K20" s="1390"/>
      <c r="L20" s="1390"/>
      <c r="M20" s="1390"/>
      <c r="N20" s="1390"/>
      <c r="O20" s="1390"/>
      <c r="P20" s="1390"/>
      <c r="Q20" s="1402"/>
      <c r="R20" s="1390"/>
      <c r="S20" s="1399"/>
      <c r="T20" s="1417"/>
      <c r="U20" s="1396">
        <f>T19*(1+$J70)^0.25</f>
        <v>341.66194166567766</v>
      </c>
      <c r="V20" s="1396">
        <f>U20*(1+$J70)^0.25</f>
        <v>351.3933846561136</v>
      </c>
      <c r="W20" s="1396">
        <f>V20*(1+$J70)^0.25</f>
        <v>361.40200508754401</v>
      </c>
      <c r="X20" s="1396">
        <f>W20*(1+$K70)^0.25</f>
        <v>361.99675210186376</v>
      </c>
      <c r="Y20" s="1396">
        <f>X20*(1+$K70)^0.25</f>
        <v>362.5924778711601</v>
      </c>
      <c r="Z20" s="1396">
        <f>Y20*(1+$K70)^0.25</f>
        <v>363.18918400613694</v>
      </c>
      <c r="AA20" s="1396">
        <f>Z20*(1+$K70)^0.25</f>
        <v>363.78687212014876</v>
      </c>
      <c r="AB20" s="1396">
        <f>AA20*(1+$L70)^0.25</f>
        <v>365.68659917925123</v>
      </c>
      <c r="AC20" s="734">
        <f>AB20*(1+$I70)^0.25</f>
        <v>379.83030278112079</v>
      </c>
      <c r="AD20" s="677"/>
      <c r="AF20" s="668"/>
      <c r="AG20" s="668"/>
      <c r="AH20" s="668"/>
      <c r="AI20" s="668"/>
      <c r="AJ20" s="668"/>
      <c r="AK20" s="668"/>
      <c r="AL20" s="668"/>
      <c r="AM20" s="668"/>
      <c r="AN20" s="668"/>
      <c r="AO20" s="668"/>
      <c r="AU20" s="677"/>
      <c r="AV20" s="677"/>
      <c r="AW20" s="677"/>
      <c r="AX20" s="677"/>
      <c r="AY20" s="677"/>
      <c r="AZ20" s="677"/>
      <c r="BA20" s="677"/>
      <c r="BB20" s="677"/>
      <c r="BC20" s="677"/>
    </row>
    <row r="21" spans="4:55" ht="14.85" customHeight="1" x14ac:dyDescent="0.3">
      <c r="D21" s="181" t="s">
        <v>1389</v>
      </c>
      <c r="E21" s="736"/>
      <c r="F21" s="795"/>
      <c r="G21" s="729"/>
      <c r="H21" s="729"/>
      <c r="I21" s="729"/>
      <c r="J21" s="729"/>
      <c r="K21" s="729"/>
      <c r="L21" s="729"/>
      <c r="M21" s="729"/>
      <c r="N21" s="729"/>
      <c r="O21" s="729"/>
      <c r="P21" s="729"/>
      <c r="Q21" s="729"/>
      <c r="R21" s="729"/>
      <c r="S21" s="1433"/>
      <c r="T21" s="1418">
        <v>0</v>
      </c>
      <c r="U21" s="1409">
        <v>0</v>
      </c>
      <c r="V21" s="1409">
        <v>0</v>
      </c>
      <c r="W21" s="1409">
        <v>0</v>
      </c>
      <c r="X21" s="1409">
        <v>0</v>
      </c>
      <c r="Y21" s="1409">
        <v>0</v>
      </c>
      <c r="Z21" s="1409">
        <v>0</v>
      </c>
      <c r="AA21" s="1409">
        <v>0</v>
      </c>
      <c r="AB21" s="1409">
        <v>0</v>
      </c>
      <c r="AC21" s="1410">
        <v>0</v>
      </c>
      <c r="AD21" s="757"/>
      <c r="AF21" s="668"/>
      <c r="AG21" s="668"/>
      <c r="AH21" s="668"/>
      <c r="AI21" s="668"/>
      <c r="AJ21" s="668"/>
      <c r="AK21" s="668"/>
      <c r="AL21" s="668"/>
      <c r="AM21" s="668"/>
      <c r="AN21" s="668"/>
      <c r="AO21" s="668"/>
      <c r="AU21" s="757"/>
      <c r="AV21" s="757"/>
      <c r="AW21" s="757"/>
      <c r="AX21" s="757"/>
      <c r="AY21" s="757"/>
      <c r="AZ21" s="757"/>
      <c r="BA21" s="757"/>
      <c r="BB21" s="757"/>
      <c r="BC21" s="757"/>
    </row>
    <row r="22" spans="4:55" x14ac:dyDescent="0.3">
      <c r="D22" s="743" t="s">
        <v>476</v>
      </c>
      <c r="E22" s="328"/>
      <c r="F22" s="774"/>
      <c r="G22" s="1390"/>
      <c r="H22" s="1390"/>
      <c r="I22" s="1390"/>
      <c r="J22" s="1390"/>
      <c r="K22" s="1390"/>
      <c r="L22" s="1390"/>
      <c r="M22" s="1390"/>
      <c r="N22" s="1390"/>
      <c r="O22" s="1390"/>
      <c r="P22" s="1390"/>
      <c r="Q22" s="1390"/>
      <c r="R22" s="1390"/>
      <c r="S22" s="1391"/>
      <c r="T22" s="1391"/>
      <c r="U22" s="1438"/>
      <c r="V22" s="1391"/>
      <c r="W22" s="1391"/>
      <c r="X22" s="1391"/>
      <c r="Y22" s="1391"/>
      <c r="Z22" s="1391"/>
      <c r="AA22" s="1391"/>
      <c r="AB22" s="1391"/>
      <c r="AC22" s="1419"/>
      <c r="AF22" s="668"/>
      <c r="AG22" s="668"/>
      <c r="AH22" s="668"/>
      <c r="AI22" s="668"/>
      <c r="AJ22" s="668"/>
      <c r="AK22" s="668"/>
      <c r="AL22" s="668"/>
      <c r="AM22" s="668"/>
      <c r="AN22" s="668"/>
      <c r="AO22" s="668"/>
    </row>
    <row r="23" spans="4:55" ht="14.85" customHeight="1" x14ac:dyDescent="0.3">
      <c r="D23" s="755" t="s">
        <v>484</v>
      </c>
      <c r="E23" s="737"/>
      <c r="F23" s="794">
        <f t="shared" ref="F23:P23" si="6">SUM(F25:F27)</f>
        <v>1894.6</v>
      </c>
      <c r="G23" s="683">
        <f t="shared" si="6"/>
        <v>1889.1999999999998</v>
      </c>
      <c r="H23" s="683">
        <f t="shared" si="6"/>
        <v>1883</v>
      </c>
      <c r="I23" s="683">
        <f t="shared" si="6"/>
        <v>1897.5</v>
      </c>
      <c r="J23" s="683">
        <f t="shared" si="6"/>
        <v>1801.6</v>
      </c>
      <c r="K23" s="683">
        <f t="shared" si="6"/>
        <v>1933.3000000000002</v>
      </c>
      <c r="L23" s="683">
        <f t="shared" si="6"/>
        <v>1955.6</v>
      </c>
      <c r="M23" s="683">
        <f t="shared" si="6"/>
        <v>1992.6</v>
      </c>
      <c r="N23" s="683">
        <f t="shared" si="6"/>
        <v>2088.7000000000003</v>
      </c>
      <c r="O23" s="683">
        <f t="shared" si="6"/>
        <v>2060.8000000000002</v>
      </c>
      <c r="P23" s="683">
        <f t="shared" si="6"/>
        <v>2119.9</v>
      </c>
      <c r="Q23" s="683">
        <f>SUM(Q24:Q27)</f>
        <v>2152.4</v>
      </c>
      <c r="R23" s="683">
        <f t="shared" ref="R23:AC23" si="7">SUM(R24:R27)</f>
        <v>2179.5</v>
      </c>
      <c r="S23" s="1434">
        <f t="shared" si="7"/>
        <v>2201</v>
      </c>
      <c r="T23" s="1401">
        <f t="shared" si="7"/>
        <v>2193.3000000000002</v>
      </c>
      <c r="U23" s="1439">
        <f>SUM(U25:U27)</f>
        <v>2150.1999999999998</v>
      </c>
      <c r="V23" s="685">
        <f t="shared" si="7"/>
        <v>2174.0594223129824</v>
      </c>
      <c r="W23" s="685">
        <f t="shared" si="7"/>
        <v>2198.5904721057186</v>
      </c>
      <c r="X23" s="685">
        <f t="shared" si="7"/>
        <v>2223.2147075075595</v>
      </c>
      <c r="Y23" s="685">
        <f t="shared" si="7"/>
        <v>2246.0489453882765</v>
      </c>
      <c r="Z23" s="685">
        <f t="shared" si="7"/>
        <v>2268.1787888141489</v>
      </c>
      <c r="AA23" s="685">
        <f t="shared" si="7"/>
        <v>2290.2143240761566</v>
      </c>
      <c r="AB23" s="685">
        <f t="shared" si="7"/>
        <v>2313.1893770781808</v>
      </c>
      <c r="AC23" s="744">
        <f t="shared" si="7"/>
        <v>2336.8784658517761</v>
      </c>
      <c r="AF23" s="668"/>
      <c r="AG23" s="668"/>
      <c r="AH23" s="668"/>
      <c r="AI23" s="668"/>
      <c r="AJ23" s="668"/>
      <c r="AK23" s="668"/>
      <c r="AL23" s="668"/>
      <c r="AM23" s="668"/>
      <c r="AN23" s="668"/>
      <c r="AO23" s="668"/>
    </row>
    <row r="24" spans="4:55" ht="42" customHeight="1" x14ac:dyDescent="0.3">
      <c r="D24" s="749" t="s">
        <v>834</v>
      </c>
      <c r="E24" s="737"/>
      <c r="F24" s="794"/>
      <c r="G24" s="683"/>
      <c r="H24" s="683"/>
      <c r="I24" s="683"/>
      <c r="J24" s="683"/>
      <c r="K24" s="683"/>
      <c r="L24" s="683"/>
      <c r="M24" s="683"/>
      <c r="N24" s="683"/>
      <c r="O24" s="683"/>
      <c r="P24" s="683"/>
      <c r="Q24" s="303"/>
      <c r="R24" s="303"/>
      <c r="S24" s="1435"/>
      <c r="T24" s="1321"/>
      <c r="U24" s="1325">
        <v>0</v>
      </c>
      <c r="V24" s="330"/>
      <c r="W24" s="330"/>
      <c r="X24" s="330"/>
      <c r="Y24" s="330"/>
      <c r="Z24" s="330"/>
      <c r="AA24" s="330"/>
      <c r="AB24" s="330"/>
      <c r="AC24" s="331"/>
      <c r="AF24" s="668"/>
      <c r="AG24" s="668"/>
      <c r="AH24" s="668"/>
      <c r="AI24" s="668"/>
      <c r="AJ24" s="668"/>
      <c r="AK24" s="668"/>
      <c r="AL24" s="668"/>
      <c r="AM24" s="668"/>
      <c r="AN24" s="668"/>
      <c r="AO24" s="668"/>
    </row>
    <row r="25" spans="4:55" x14ac:dyDescent="0.3">
      <c r="D25" s="421" t="s">
        <v>489</v>
      </c>
      <c r="E25" s="49" t="s">
        <v>490</v>
      </c>
      <c r="F25" s="675">
        <f>'Haver Pivoted'!GQ33</f>
        <v>529</v>
      </c>
      <c r="G25" s="676">
        <f>'Haver Pivoted'!GR33</f>
        <v>495.2</v>
      </c>
      <c r="H25" s="676">
        <f>'Haver Pivoted'!GS33</f>
        <v>489.6</v>
      </c>
      <c r="I25" s="676">
        <f>'Haver Pivoted'!GT33</f>
        <v>497.5</v>
      </c>
      <c r="J25" s="676">
        <f>'Haver Pivoted'!GU33</f>
        <v>488</v>
      </c>
      <c r="K25" s="676">
        <f>'Haver Pivoted'!GV33</f>
        <v>515.4</v>
      </c>
      <c r="L25" s="676">
        <f>'Haver Pivoted'!GW33</f>
        <v>522.9</v>
      </c>
      <c r="M25" s="676">
        <f>'Haver Pivoted'!GX33</f>
        <v>543.6</v>
      </c>
      <c r="N25" s="676">
        <f>'Haver Pivoted'!GY33</f>
        <v>566.6</v>
      </c>
      <c r="O25" s="676">
        <f>'Haver Pivoted'!GZ33</f>
        <v>534.4</v>
      </c>
      <c r="P25" s="676">
        <f>'Haver Pivoted'!HA33</f>
        <v>570.79999999999995</v>
      </c>
      <c r="Q25" s="676">
        <f>'Haver Pivoted'!HB33</f>
        <v>581.29999999999995</v>
      </c>
      <c r="R25" s="676">
        <f>'Haver Pivoted'!HC33</f>
        <v>589.79999999999995</v>
      </c>
      <c r="S25" s="1215">
        <f>'Haver Pivoted'!HD33</f>
        <v>594.79999999999995</v>
      </c>
      <c r="T25" s="1395">
        <f>'Haver Pivoted'!HE33</f>
        <v>582.20000000000005</v>
      </c>
      <c r="U25" s="725">
        <f>'Haver Pivoted'!HF33</f>
        <v>521.4</v>
      </c>
      <c r="V25" s="1441">
        <f>$U140*V149*(V122/$U122)+V24</f>
        <v>528.29260082530334</v>
      </c>
      <c r="W25" s="1441">
        <f t="shared" ref="W25:AC25" si="8">$U140*W149*(W122/$U122)+W24</f>
        <v>534.75021752397811</v>
      </c>
      <c r="X25" s="1441">
        <f t="shared" si="8"/>
        <v>541.60778607062673</v>
      </c>
      <c r="Y25" s="1441">
        <f t="shared" si="8"/>
        <v>547.51948309359977</v>
      </c>
      <c r="Z25" s="1441">
        <f t="shared" si="8"/>
        <v>553.10421218246256</v>
      </c>
      <c r="AA25" s="1441">
        <f t="shared" si="8"/>
        <v>558.71229612376192</v>
      </c>
      <c r="AB25" s="1441">
        <f t="shared" si="8"/>
        <v>564.40212204858869</v>
      </c>
      <c r="AC25" s="1442">
        <f t="shared" si="8"/>
        <v>570.28462550601614</v>
      </c>
      <c r="AF25" s="668"/>
      <c r="AG25" s="668"/>
      <c r="AH25" s="668"/>
      <c r="AI25" s="668"/>
      <c r="AJ25" s="668"/>
      <c r="AK25" s="668"/>
      <c r="AL25" s="668"/>
      <c r="AM25" s="668"/>
      <c r="AN25" s="668"/>
      <c r="AO25" s="668"/>
    </row>
    <row r="26" spans="4:55" x14ac:dyDescent="0.3">
      <c r="D26" s="421" t="s">
        <v>486</v>
      </c>
      <c r="E26" s="49" t="s">
        <v>491</v>
      </c>
      <c r="F26" s="675">
        <f>'Haver Pivoted'!GQ36</f>
        <v>20.8</v>
      </c>
      <c r="G26" s="676">
        <f>'Haver Pivoted'!GR36</f>
        <v>20.7</v>
      </c>
      <c r="H26" s="676">
        <f>'Haver Pivoted'!GS36</f>
        <v>20.7</v>
      </c>
      <c r="I26" s="676">
        <f>'Haver Pivoted'!GT36</f>
        <v>20.7</v>
      </c>
      <c r="J26" s="676">
        <f>'Haver Pivoted'!GU36</f>
        <v>19.8</v>
      </c>
      <c r="K26" s="676">
        <f>'Haver Pivoted'!GV36</f>
        <v>20.5</v>
      </c>
      <c r="L26" s="676">
        <f>'Haver Pivoted'!GW36</f>
        <v>21.3</v>
      </c>
      <c r="M26" s="676">
        <f>'Haver Pivoted'!GX36</f>
        <v>22</v>
      </c>
      <c r="N26" s="676">
        <f>'Haver Pivoted'!GY36</f>
        <v>22.7</v>
      </c>
      <c r="O26" s="676">
        <f>'Haver Pivoted'!GZ36</f>
        <v>23.2</v>
      </c>
      <c r="P26" s="676">
        <f>'Haver Pivoted'!HA36</f>
        <v>23.4</v>
      </c>
      <c r="Q26" s="676">
        <f>'Haver Pivoted'!HB36</f>
        <v>23.4</v>
      </c>
      <c r="R26" s="676">
        <f>'Haver Pivoted'!HC36</f>
        <v>23.6</v>
      </c>
      <c r="S26" s="1215">
        <f>'Haver Pivoted'!HD36</f>
        <v>23.9</v>
      </c>
      <c r="T26" s="1395">
        <f>'Haver Pivoted'!HE36</f>
        <v>24.5</v>
      </c>
      <c r="U26" s="725">
        <f>'Haver Pivoted'!HF36</f>
        <v>25.4</v>
      </c>
      <c r="V26" s="1441">
        <f>$U141*V150*(V123/$U123)</f>
        <v>25.643934403494782</v>
      </c>
      <c r="W26" s="1441">
        <f t="shared" ref="W26:AC26" si="9">$U141*W150*(W123/$U123)</f>
        <v>25.920452102763232</v>
      </c>
      <c r="X26" s="1441">
        <f t="shared" si="9"/>
        <v>26.236377977325517</v>
      </c>
      <c r="Y26" s="1441">
        <f t="shared" si="9"/>
        <v>26.551423222272298</v>
      </c>
      <c r="Z26" s="1441">
        <f t="shared" si="9"/>
        <v>26.861845161737683</v>
      </c>
      <c r="AA26" s="1441">
        <f t="shared" si="9"/>
        <v>27.178871823319348</v>
      </c>
      <c r="AB26" s="1441">
        <f t="shared" si="9"/>
        <v>27.510428873556837</v>
      </c>
      <c r="AC26" s="1442">
        <f t="shared" si="9"/>
        <v>27.857396942065662</v>
      </c>
      <c r="AF26" s="668"/>
      <c r="AG26" s="668"/>
      <c r="AH26" s="668"/>
      <c r="AI26" s="668"/>
      <c r="AJ26" s="668"/>
      <c r="AK26" s="668"/>
      <c r="AL26" s="668"/>
      <c r="AM26" s="668"/>
      <c r="AN26" s="668"/>
      <c r="AO26" s="668"/>
    </row>
    <row r="27" spans="4:55" x14ac:dyDescent="0.3">
      <c r="D27" s="421" t="s">
        <v>487</v>
      </c>
      <c r="E27" s="49" t="s">
        <v>492</v>
      </c>
      <c r="F27" s="675">
        <f>'Haver Pivoted'!GQ34</f>
        <v>1344.8</v>
      </c>
      <c r="G27" s="676">
        <f>'Haver Pivoted'!GR34</f>
        <v>1373.3</v>
      </c>
      <c r="H27" s="676">
        <f>'Haver Pivoted'!GS34</f>
        <v>1372.7</v>
      </c>
      <c r="I27" s="676">
        <f>'Haver Pivoted'!GT34</f>
        <v>1379.3</v>
      </c>
      <c r="J27" s="676">
        <f>'Haver Pivoted'!GU34</f>
        <v>1293.8</v>
      </c>
      <c r="K27" s="676">
        <f>'Haver Pivoted'!GV34</f>
        <v>1397.4</v>
      </c>
      <c r="L27" s="676">
        <f>'Haver Pivoted'!GW34</f>
        <v>1411.4</v>
      </c>
      <c r="M27" s="676">
        <f>'Haver Pivoted'!GX34</f>
        <v>1427</v>
      </c>
      <c r="N27" s="676">
        <f>'Haver Pivoted'!GY34</f>
        <v>1499.4</v>
      </c>
      <c r="O27" s="676">
        <f>'Haver Pivoted'!GZ34</f>
        <v>1503.2</v>
      </c>
      <c r="P27" s="676">
        <f>'Haver Pivoted'!HA34</f>
        <v>1525.7</v>
      </c>
      <c r="Q27" s="676">
        <f>'Haver Pivoted'!HB34</f>
        <v>1547.7</v>
      </c>
      <c r="R27" s="676">
        <f>'Haver Pivoted'!HC34</f>
        <v>1566.1</v>
      </c>
      <c r="S27" s="1215">
        <f>'Haver Pivoted'!HD34</f>
        <v>1582.3</v>
      </c>
      <c r="T27" s="1395">
        <f>'Haver Pivoted'!HE34</f>
        <v>1586.6</v>
      </c>
      <c r="U27" s="725">
        <f>'Haver Pivoted'!HF34</f>
        <v>1603.4</v>
      </c>
      <c r="V27" s="1441">
        <f>$U146*V151*(V125/$U125)</f>
        <v>1620.1228870841844</v>
      </c>
      <c r="W27" s="1441">
        <f t="shared" ref="W27:AC27" si="10">$U146*W151*(W125/$U125)</f>
        <v>1637.9198024789773</v>
      </c>
      <c r="X27" s="1441">
        <f t="shared" si="10"/>
        <v>1655.3705434596072</v>
      </c>
      <c r="Y27" s="1441">
        <f t="shared" si="10"/>
        <v>1671.9780390724043</v>
      </c>
      <c r="Z27" s="1441">
        <f t="shared" si="10"/>
        <v>1688.2127314699485</v>
      </c>
      <c r="AA27" s="1441">
        <f t="shared" si="10"/>
        <v>1704.3231561290752</v>
      </c>
      <c r="AB27" s="1441">
        <f t="shared" si="10"/>
        <v>1721.276826156035</v>
      </c>
      <c r="AC27" s="1442">
        <f t="shared" si="10"/>
        <v>1738.7364434036945</v>
      </c>
      <c r="AF27" s="668"/>
      <c r="AG27" s="668"/>
      <c r="AH27" s="668"/>
      <c r="AI27" s="668"/>
      <c r="AJ27" s="668"/>
      <c r="AK27" s="668"/>
      <c r="AL27" s="668"/>
      <c r="AM27" s="668"/>
      <c r="AN27" s="668"/>
      <c r="AO27" s="668"/>
    </row>
    <row r="28" spans="4:55" ht="14.85" customHeight="1" x14ac:dyDescent="0.3">
      <c r="D28" s="758" t="s">
        <v>488</v>
      </c>
      <c r="E28" s="775" t="s">
        <v>493</v>
      </c>
      <c r="F28" s="795">
        <f>'Haver Pivoted'!GQ35</f>
        <v>74.5</v>
      </c>
      <c r="G28" s="729">
        <f>'Haver Pivoted'!GR35</f>
        <v>73.400000000000006</v>
      </c>
      <c r="H28" s="729">
        <f>'Haver Pivoted'!GS35</f>
        <v>72.099999999999994</v>
      </c>
      <c r="I28" s="729">
        <f>'Haver Pivoted'!GT35</f>
        <v>67.7</v>
      </c>
      <c r="J28" s="729">
        <f>'Haver Pivoted'!GU35</f>
        <v>65</v>
      </c>
      <c r="K28" s="729">
        <f>'Haver Pivoted'!GV35</f>
        <v>80.900000000000006</v>
      </c>
      <c r="L28" s="729">
        <f>'Haver Pivoted'!GW35</f>
        <v>84.8</v>
      </c>
      <c r="M28" s="729">
        <f>'Haver Pivoted'!GX35</f>
        <v>88</v>
      </c>
      <c r="N28" s="729">
        <f>'Haver Pivoted'!GY35</f>
        <v>90.3</v>
      </c>
      <c r="O28" s="729">
        <f>'Haver Pivoted'!GZ35</f>
        <v>94.4</v>
      </c>
      <c r="P28" s="729">
        <f>'Haver Pivoted'!HA35</f>
        <v>110.5</v>
      </c>
      <c r="Q28" s="729">
        <f>'Haver Pivoted'!HB35</f>
        <v>165.9</v>
      </c>
      <c r="R28" s="729">
        <f>'Haver Pivoted'!HC35</f>
        <v>109.8</v>
      </c>
      <c r="S28" s="1436">
        <f>'Haver Pivoted'!HD35</f>
        <v>100.7</v>
      </c>
      <c r="T28" s="1440">
        <f>'Haver Pivoted'!HE35</f>
        <v>117.1</v>
      </c>
      <c r="U28" s="1437">
        <f t="shared" ref="U28:AC28" si="11">$T147*U152*(U126/$T126)</f>
        <v>109.238858295851</v>
      </c>
      <c r="V28" s="1437">
        <f t="shared" si="11"/>
        <v>103.04642481819329</v>
      </c>
      <c r="W28" s="1437">
        <f t="shared" si="11"/>
        <v>99.556412627685063</v>
      </c>
      <c r="X28" s="1437">
        <f t="shared" si="11"/>
        <v>97.006587078061287</v>
      </c>
      <c r="Y28" s="1437">
        <f t="shared" si="11"/>
        <v>98.104291899617465</v>
      </c>
      <c r="Z28" s="1437">
        <f t="shared" si="11"/>
        <v>99.86160410273655</v>
      </c>
      <c r="AA28" s="1437">
        <f t="shared" si="11"/>
        <v>102.34743789146242</v>
      </c>
      <c r="AB28" s="1437">
        <f t="shared" si="11"/>
        <v>105.88667451343056</v>
      </c>
      <c r="AC28" s="1443">
        <f t="shared" si="11"/>
        <v>109.30285005674891</v>
      </c>
      <c r="AF28" s="668"/>
      <c r="AG28" s="668"/>
      <c r="AH28" s="668"/>
      <c r="AI28" s="668"/>
      <c r="AJ28" s="668"/>
      <c r="AK28" s="668"/>
      <c r="AL28" s="668"/>
      <c r="AM28" s="668"/>
      <c r="AN28" s="668"/>
      <c r="AO28" s="668"/>
    </row>
    <row r="29" spans="4:55" ht="14.85" customHeight="1" x14ac:dyDescent="0.3">
      <c r="D29" s="742"/>
      <c r="E29" s="737"/>
    </row>
    <row r="30" spans="4:55" ht="14.85" customHeight="1" x14ac:dyDescent="0.3">
      <c r="D30" s="742"/>
      <c r="E30" s="737"/>
      <c r="AD30" t="s">
        <v>2226</v>
      </c>
    </row>
    <row r="31" spans="4:55" ht="14.85" customHeight="1" x14ac:dyDescent="0.3">
      <c r="D31" s="742"/>
      <c r="E31" s="737"/>
      <c r="P31" s="414" t="s">
        <v>484</v>
      </c>
      <c r="T31" s="135"/>
      <c r="U31" s="688">
        <v>4497.3807515265707</v>
      </c>
      <c r="V31" s="684">
        <v>4493.2459922916623</v>
      </c>
      <c r="W31" s="684">
        <v>4489.6936165752168</v>
      </c>
      <c r="X31" s="684">
        <v>4502.4261481003277</v>
      </c>
      <c r="Y31" s="684">
        <v>4510.4772398632649</v>
      </c>
      <c r="Z31" s="684">
        <v>4518.8491132147274</v>
      </c>
      <c r="AA31" s="684">
        <v>4527.5440212808317</v>
      </c>
      <c r="AB31" s="684">
        <v>4558.0242648450767</v>
      </c>
      <c r="AC31" s="678">
        <v>4588.7588493462708</v>
      </c>
      <c r="AD31" s="1165">
        <f>U9-U31</f>
        <v>-153.68075152657093</v>
      </c>
    </row>
    <row r="32" spans="4:55" ht="14.85" customHeight="1" x14ac:dyDescent="0.3">
      <c r="D32" s="742"/>
      <c r="E32" s="737"/>
      <c r="P32" s="421" t="s">
        <v>485</v>
      </c>
      <c r="R32">
        <v>2598.6</v>
      </c>
      <c r="S32">
        <v>2641.7</v>
      </c>
      <c r="T32" s="510">
        <v>2650.1</v>
      </c>
      <c r="U32" s="689">
        <v>2571.6025042916103</v>
      </c>
      <c r="V32" s="682">
        <v>2544.3953631280665</v>
      </c>
      <c r="W32" s="682">
        <v>2517.4755105661056</v>
      </c>
      <c r="X32" s="682">
        <v>2508.4368417394694</v>
      </c>
      <c r="Y32" s="682">
        <v>2494.4763041857032</v>
      </c>
      <c r="Z32" s="682">
        <v>2480.5934630704305</v>
      </c>
      <c r="AA32" s="682">
        <v>2466.7878859793177</v>
      </c>
      <c r="AB32" s="682">
        <v>2477.6955156304143</v>
      </c>
      <c r="AC32" s="734">
        <v>2488.6513765807167</v>
      </c>
      <c r="AD32" s="1167">
        <f t="shared" ref="AD32:AD50" si="12">U10-U32</f>
        <v>-153.00250429161042</v>
      </c>
    </row>
    <row r="33" spans="4:30" ht="14.85" customHeight="1" x14ac:dyDescent="0.3">
      <c r="D33" s="742"/>
      <c r="E33" s="737"/>
      <c r="F33" s="683"/>
      <c r="G33" s="683"/>
      <c r="H33" s="683"/>
      <c r="I33" s="683"/>
      <c r="J33" s="683"/>
      <c r="K33" s="683"/>
      <c r="L33" s="683"/>
      <c r="M33" s="683"/>
      <c r="N33" s="683"/>
      <c r="P33" s="421" t="s">
        <v>1390</v>
      </c>
      <c r="T33" s="135"/>
      <c r="U33" s="689">
        <v>2576.6025042916103</v>
      </c>
      <c r="V33" s="682">
        <v>2549.3953631280665</v>
      </c>
      <c r="W33" s="682">
        <v>2522.4755105661056</v>
      </c>
      <c r="X33" s="682">
        <v>2508.4368417394694</v>
      </c>
      <c r="Y33" s="682">
        <v>2494.4763041857032</v>
      </c>
      <c r="Z33" s="682">
        <v>2480.5934630704305</v>
      </c>
      <c r="AA33" s="682">
        <v>2466.7878859793177</v>
      </c>
      <c r="AB33" s="682">
        <v>2477.6955156304143</v>
      </c>
      <c r="AC33" s="734">
        <v>2488.6513765807167</v>
      </c>
      <c r="AD33" s="1165">
        <f t="shared" si="12"/>
        <v>-153.00250429161042</v>
      </c>
    </row>
    <row r="34" spans="4:30" ht="14.85" customHeight="1" x14ac:dyDescent="0.3">
      <c r="D34" s="742"/>
      <c r="E34" s="737"/>
      <c r="F34" s="683"/>
      <c r="G34" s="683"/>
      <c r="H34" s="683"/>
      <c r="I34" s="683"/>
      <c r="J34" s="683"/>
      <c r="K34" s="683"/>
      <c r="L34" s="683"/>
      <c r="M34" s="683"/>
      <c r="N34" s="683"/>
      <c r="P34" s="745" t="s">
        <v>1835</v>
      </c>
      <c r="T34" s="135"/>
      <c r="U34" s="689">
        <v>-5</v>
      </c>
      <c r="V34" s="682">
        <v>-5</v>
      </c>
      <c r="W34" s="682">
        <v>-5</v>
      </c>
      <c r="X34" s="682"/>
      <c r="Y34" s="682"/>
      <c r="Z34" s="682"/>
      <c r="AA34" s="682"/>
      <c r="AB34" s="682"/>
      <c r="AC34" s="734"/>
      <c r="AD34" s="1165">
        <f t="shared" si="12"/>
        <v>0</v>
      </c>
    </row>
    <row r="35" spans="4:30" ht="14.85" customHeight="1" x14ac:dyDescent="0.3">
      <c r="D35" s="742"/>
      <c r="E35" s="737"/>
      <c r="F35" s="683"/>
      <c r="G35" s="683"/>
      <c r="H35" s="683"/>
      <c r="I35" s="683"/>
      <c r="J35" s="683"/>
      <c r="K35" s="683"/>
      <c r="L35" s="683"/>
      <c r="M35" s="683"/>
      <c r="N35" s="683"/>
      <c r="P35" s="735" t="s">
        <v>486</v>
      </c>
      <c r="T35" s="510"/>
      <c r="U35" s="689">
        <v>1732.868573896046</v>
      </c>
      <c r="V35" s="682">
        <v>1755.4299323458904</v>
      </c>
      <c r="W35" s="682">
        <v>1778.2850319961756</v>
      </c>
      <c r="X35" s="682">
        <v>1798.046294750392</v>
      </c>
      <c r="Y35" s="682">
        <v>1818.027155318578</v>
      </c>
      <c r="Z35" s="682">
        <v>1838.2300539901271</v>
      </c>
      <c r="AA35" s="682">
        <v>1858.657458172245</v>
      </c>
      <c r="AB35" s="682">
        <v>1878.2300720853934</v>
      </c>
      <c r="AC35" s="734">
        <v>1898.0087956362854</v>
      </c>
      <c r="AD35" s="1167">
        <f t="shared" si="12"/>
        <v>2.4314261039539815</v>
      </c>
    </row>
    <row r="36" spans="4:30" ht="14.85" customHeight="1" x14ac:dyDescent="0.3">
      <c r="D36" s="742"/>
      <c r="E36" s="737"/>
      <c r="F36" s="683"/>
      <c r="G36" s="683"/>
      <c r="H36" s="683"/>
      <c r="I36" s="683"/>
      <c r="J36" s="683"/>
      <c r="K36" s="683"/>
      <c r="L36" s="683"/>
      <c r="M36" s="683"/>
      <c r="N36" s="683"/>
      <c r="P36" s="421" t="s">
        <v>1897</v>
      </c>
      <c r="T36" s="135"/>
      <c r="U36" s="689">
        <v>1724.868573896046</v>
      </c>
      <c r="V36" s="682"/>
      <c r="W36" s="682"/>
      <c r="X36" s="682"/>
      <c r="Y36" s="682"/>
      <c r="Z36" s="682"/>
      <c r="AA36" s="682"/>
      <c r="AB36" s="682"/>
      <c r="AC36" s="734"/>
      <c r="AD36" s="1165">
        <f t="shared" si="12"/>
        <v>-1724.868573896046</v>
      </c>
    </row>
    <row r="37" spans="4:30" ht="14.85" customHeight="1" x14ac:dyDescent="0.3">
      <c r="D37" s="742"/>
      <c r="E37" s="737"/>
      <c r="F37" s="683"/>
      <c r="G37" s="683"/>
      <c r="H37" s="683"/>
      <c r="I37" s="683"/>
      <c r="J37" s="683"/>
      <c r="K37" s="683"/>
      <c r="L37" s="683"/>
      <c r="M37" s="683"/>
      <c r="N37" s="683"/>
      <c r="P37" s="421" t="s">
        <v>1750</v>
      </c>
      <c r="T37" s="510"/>
      <c r="U37" s="689">
        <v>8</v>
      </c>
      <c r="V37" s="682"/>
      <c r="W37" s="682"/>
      <c r="X37" s="682"/>
      <c r="Y37" s="682"/>
      <c r="Z37" s="682"/>
      <c r="AA37" s="682"/>
      <c r="AB37" s="682"/>
      <c r="AC37" s="734"/>
      <c r="AD37" s="1165">
        <f t="shared" si="12"/>
        <v>0</v>
      </c>
    </row>
    <row r="38" spans="4:30" ht="14.85" customHeight="1" x14ac:dyDescent="0.3">
      <c r="D38" s="742"/>
      <c r="E38" s="737"/>
      <c r="F38" s="683"/>
      <c r="G38" s="683"/>
      <c r="H38" s="683"/>
      <c r="I38" s="683"/>
      <c r="J38" s="683"/>
      <c r="K38" s="683"/>
      <c r="L38" s="683"/>
      <c r="M38" s="683"/>
      <c r="N38" s="683"/>
      <c r="P38" s="421" t="s">
        <v>487</v>
      </c>
      <c r="T38" s="135"/>
      <c r="U38" s="689">
        <v>192.90967333891416</v>
      </c>
      <c r="V38" s="682">
        <v>193.42069681770565</v>
      </c>
      <c r="W38" s="682">
        <v>193.93307401293529</v>
      </c>
      <c r="X38" s="682">
        <v>195.94301161046616</v>
      </c>
      <c r="Y38" s="682">
        <v>197.97378035898313</v>
      </c>
      <c r="Z38" s="682">
        <v>200.02559615416976</v>
      </c>
      <c r="AA38" s="682">
        <v>202.0986771292693</v>
      </c>
      <c r="AB38" s="682">
        <v>202.0986771292693</v>
      </c>
      <c r="AC38" s="734">
        <v>202.0986771292693</v>
      </c>
      <c r="AD38" s="1167">
        <f t="shared" si="12"/>
        <v>-3.1096733389141491</v>
      </c>
    </row>
    <row r="39" spans="4:30" ht="14.85" customHeight="1" x14ac:dyDescent="0.3">
      <c r="D39" s="742"/>
      <c r="E39" s="737"/>
      <c r="F39" s="683"/>
      <c r="G39" s="683"/>
      <c r="H39" s="683"/>
      <c r="I39" s="683"/>
      <c r="J39" s="683"/>
      <c r="K39" s="683"/>
      <c r="L39" s="683"/>
      <c r="M39" s="683"/>
      <c r="N39" s="683"/>
      <c r="P39" s="421" t="s">
        <v>1442</v>
      </c>
      <c r="T39" s="135"/>
      <c r="U39" s="689">
        <v>192.90967333891416</v>
      </c>
      <c r="V39" s="682">
        <v>193.42069681770565</v>
      </c>
      <c r="W39" s="682">
        <v>193.93307401293529</v>
      </c>
      <c r="X39" s="682">
        <v>195.94301161046616</v>
      </c>
      <c r="Y39" s="682">
        <v>197.97378035898313</v>
      </c>
      <c r="Z39" s="682">
        <v>200.02559615416976</v>
      </c>
      <c r="AA39" s="682">
        <v>202.0986771292693</v>
      </c>
      <c r="AB39" s="682">
        <v>202.0986771292693</v>
      </c>
      <c r="AC39" s="734">
        <v>202.0986771292693</v>
      </c>
      <c r="AD39" s="1165">
        <f t="shared" si="12"/>
        <v>0</v>
      </c>
    </row>
    <row r="40" spans="4:30" ht="14.85" customHeight="1" x14ac:dyDescent="0.3">
      <c r="D40" s="742"/>
      <c r="E40" s="737"/>
      <c r="F40" s="683"/>
      <c r="G40" s="683"/>
      <c r="H40" s="683"/>
      <c r="I40" s="683"/>
      <c r="J40" s="683"/>
      <c r="K40" s="683"/>
      <c r="L40" s="683"/>
      <c r="M40" s="683"/>
      <c r="N40" s="683"/>
      <c r="P40" s="745" t="s">
        <v>1443</v>
      </c>
      <c r="T40" s="135"/>
      <c r="U40" s="689">
        <v>0</v>
      </c>
      <c r="V40" s="682">
        <v>0</v>
      </c>
      <c r="W40" s="682">
        <v>0</v>
      </c>
      <c r="X40" s="682">
        <v>0</v>
      </c>
      <c r="Y40" s="682">
        <v>0</v>
      </c>
      <c r="Z40" s="682">
        <v>0</v>
      </c>
      <c r="AA40" s="682">
        <v>0</v>
      </c>
      <c r="AB40" s="682">
        <v>0</v>
      </c>
      <c r="AC40" s="734">
        <v>0</v>
      </c>
      <c r="AD40" s="1165">
        <f t="shared" si="12"/>
        <v>0</v>
      </c>
    </row>
    <row r="41" spans="4:30" ht="14.85" customHeight="1" x14ac:dyDescent="0.3">
      <c r="D41" s="742"/>
      <c r="E41" s="737"/>
      <c r="F41" s="683"/>
      <c r="G41" s="683"/>
      <c r="H41" s="683"/>
      <c r="I41" s="683"/>
      <c r="J41" s="683"/>
      <c r="K41" s="683"/>
      <c r="L41" s="683"/>
      <c r="M41" s="683"/>
      <c r="N41" s="683"/>
      <c r="P41" s="414" t="s">
        <v>488</v>
      </c>
      <c r="T41" s="135"/>
      <c r="U41" s="689">
        <v>341.66194166567766</v>
      </c>
      <c r="V41" s="682">
        <v>351.3933846561136</v>
      </c>
      <c r="W41" s="682">
        <v>361.40200508754401</v>
      </c>
      <c r="X41" s="682">
        <v>361.99675210186376</v>
      </c>
      <c r="Y41" s="682">
        <v>362.5924778711601</v>
      </c>
      <c r="Z41" s="682">
        <v>363.18918400613694</v>
      </c>
      <c r="AA41" s="682">
        <v>363.78687212014876</v>
      </c>
      <c r="AB41" s="682">
        <v>365.68659917925123</v>
      </c>
      <c r="AC41" s="734">
        <v>379.83030278112079</v>
      </c>
      <c r="AD41" s="1165">
        <f t="shared" si="12"/>
        <v>0</v>
      </c>
    </row>
    <row r="42" spans="4:30" ht="14.85" customHeight="1" x14ac:dyDescent="0.3">
      <c r="D42" s="742"/>
      <c r="E42" s="737"/>
      <c r="F42" s="683"/>
      <c r="G42" s="683"/>
      <c r="H42" s="683"/>
      <c r="I42" s="683"/>
      <c r="J42" s="683"/>
      <c r="K42" s="683"/>
      <c r="L42" s="683"/>
      <c r="M42" s="683"/>
      <c r="N42" s="683"/>
      <c r="P42" s="1141" t="s">
        <v>1391</v>
      </c>
      <c r="T42" s="135"/>
      <c r="U42" s="689">
        <v>341.66194166567766</v>
      </c>
      <c r="V42" s="682">
        <v>351.3933846561136</v>
      </c>
      <c r="W42" s="682">
        <v>361.40200508754401</v>
      </c>
      <c r="X42" s="682">
        <v>361.99675210186376</v>
      </c>
      <c r="Y42" s="682">
        <v>362.5924778711601</v>
      </c>
      <c r="Z42" s="682">
        <v>363.18918400613694</v>
      </c>
      <c r="AA42" s="682">
        <v>363.78687212014876</v>
      </c>
      <c r="AB42" s="682">
        <v>365.68659917925123</v>
      </c>
      <c r="AC42" s="734">
        <v>379.83030278112079</v>
      </c>
      <c r="AD42" s="1165">
        <f t="shared" si="12"/>
        <v>0</v>
      </c>
    </row>
    <row r="43" spans="4:30" ht="14.85" customHeight="1" x14ac:dyDescent="0.3">
      <c r="D43" s="742"/>
      <c r="E43" s="737"/>
      <c r="F43" s="683"/>
      <c r="G43" s="683"/>
      <c r="H43" s="683"/>
      <c r="I43" s="683"/>
      <c r="J43" s="683"/>
      <c r="K43" s="683"/>
      <c r="L43" s="683"/>
      <c r="M43" s="683"/>
      <c r="N43" s="683"/>
      <c r="P43" s="1141" t="s">
        <v>1389</v>
      </c>
      <c r="T43" s="510"/>
      <c r="U43" s="689">
        <v>0</v>
      </c>
      <c r="V43" s="682">
        <v>0</v>
      </c>
      <c r="W43" s="682">
        <v>0</v>
      </c>
      <c r="X43" s="682">
        <v>0</v>
      </c>
      <c r="Y43" s="682">
        <v>0</v>
      </c>
      <c r="Z43" s="682">
        <v>0</v>
      </c>
      <c r="AA43" s="682">
        <v>0</v>
      </c>
      <c r="AB43" s="682">
        <v>0</v>
      </c>
      <c r="AC43" s="734">
        <v>0</v>
      </c>
      <c r="AD43" s="1165">
        <f t="shared" si="12"/>
        <v>0</v>
      </c>
    </row>
    <row r="44" spans="4:30" ht="14.85" customHeight="1" x14ac:dyDescent="0.3">
      <c r="D44" s="742"/>
      <c r="E44" s="737"/>
      <c r="F44" s="683"/>
      <c r="G44" s="683"/>
      <c r="H44" s="683"/>
      <c r="I44" s="683"/>
      <c r="J44" s="683"/>
      <c r="K44" s="683"/>
      <c r="L44" s="683"/>
      <c r="M44" s="683"/>
      <c r="N44" s="683"/>
      <c r="P44" s="1285" t="s">
        <v>476</v>
      </c>
      <c r="T44" s="510"/>
      <c r="U44" s="1211"/>
      <c r="V44" s="1212"/>
      <c r="W44" s="1212"/>
      <c r="X44" s="1212"/>
      <c r="Y44" s="1212"/>
      <c r="Z44" s="1212"/>
      <c r="AA44" s="1212"/>
      <c r="AB44" s="1212"/>
      <c r="AC44" s="1213"/>
      <c r="AD44" s="1165">
        <f t="shared" si="12"/>
        <v>0</v>
      </c>
    </row>
    <row r="45" spans="4:30" ht="14.85" customHeight="1" x14ac:dyDescent="0.3">
      <c r="D45" s="742"/>
      <c r="E45" s="737"/>
      <c r="F45" s="683"/>
      <c r="G45" s="683"/>
      <c r="H45" s="683"/>
      <c r="I45" s="683"/>
      <c r="J45" s="683"/>
      <c r="K45" s="683"/>
      <c r="L45" s="683"/>
      <c r="M45" s="683"/>
      <c r="N45" s="683"/>
      <c r="P45" s="755" t="s">
        <v>484</v>
      </c>
      <c r="T45" s="510"/>
      <c r="U45" s="690">
        <v>2219.7544492680749</v>
      </c>
      <c r="V45" s="685">
        <v>2244.5297223284315</v>
      </c>
      <c r="W45" s="685">
        <v>2269.9204412935655</v>
      </c>
      <c r="X45" s="685">
        <v>2295.455127307594</v>
      </c>
      <c r="Y45" s="685">
        <v>2319.0752385454025</v>
      </c>
      <c r="Z45" s="685">
        <v>2341.9478915458185</v>
      </c>
      <c r="AA45" s="685">
        <v>2364.728957797131</v>
      </c>
      <c r="AB45" s="685">
        <v>2388.4609646413296</v>
      </c>
      <c r="AC45" s="744">
        <v>2412.9324467446058</v>
      </c>
      <c r="AD45" s="1165">
        <f t="shared" si="12"/>
        <v>-69.554449268075132</v>
      </c>
    </row>
    <row r="46" spans="4:30" ht="14.85" customHeight="1" x14ac:dyDescent="0.3">
      <c r="D46" s="742"/>
      <c r="E46" s="737"/>
      <c r="F46" s="683"/>
      <c r="G46" s="683"/>
      <c r="H46" s="683"/>
      <c r="I46" s="683"/>
      <c r="J46" s="683"/>
      <c r="K46" s="683"/>
      <c r="L46" s="683"/>
      <c r="M46" s="683"/>
      <c r="N46" s="683"/>
      <c r="P46" s="749" t="s">
        <v>834</v>
      </c>
      <c r="T46" s="510"/>
      <c r="U46" s="691">
        <v>0</v>
      </c>
      <c r="V46" s="330"/>
      <c r="W46" s="330"/>
      <c r="X46" s="330"/>
      <c r="Y46" s="330"/>
      <c r="Z46" s="330"/>
      <c r="AA46" s="330"/>
      <c r="AB46" s="330"/>
      <c r="AC46" s="331"/>
      <c r="AD46" s="1165">
        <f t="shared" si="12"/>
        <v>0</v>
      </c>
    </row>
    <row r="47" spans="4:30" ht="14.85" customHeight="1" x14ac:dyDescent="0.3">
      <c r="D47" s="742"/>
      <c r="E47" s="737"/>
      <c r="F47" s="683"/>
      <c r="G47" s="683"/>
      <c r="H47" s="683"/>
      <c r="I47" s="683"/>
      <c r="J47" s="683"/>
      <c r="K47" s="683"/>
      <c r="L47" s="683"/>
      <c r="M47" s="683"/>
      <c r="N47" s="683"/>
      <c r="P47" s="421" t="s">
        <v>489</v>
      </c>
      <c r="T47" s="510"/>
      <c r="U47" s="692">
        <v>589.47098153040281</v>
      </c>
      <c r="V47" s="686">
        <v>597.26344062857868</v>
      </c>
      <c r="W47" s="686">
        <v>604.56412657739895</v>
      </c>
      <c r="X47" s="686">
        <v>612.31697978435136</v>
      </c>
      <c r="Y47" s="686">
        <v>619.00047392827594</v>
      </c>
      <c r="Z47" s="686">
        <v>625.31431308745005</v>
      </c>
      <c r="AA47" s="686">
        <v>631.65455617410646</v>
      </c>
      <c r="AB47" s="686">
        <v>638.08721300695015</v>
      </c>
      <c r="AC47" s="693">
        <v>644.73770224152202</v>
      </c>
      <c r="AD47" s="1165">
        <f t="shared" si="12"/>
        <v>-68.070981530402833</v>
      </c>
    </row>
    <row r="48" spans="4:30" ht="14.85" customHeight="1" x14ac:dyDescent="0.3">
      <c r="D48" s="742"/>
      <c r="E48" s="737"/>
      <c r="F48" s="683"/>
      <c r="G48" s="683"/>
      <c r="H48" s="683"/>
      <c r="I48" s="683"/>
      <c r="J48" s="683"/>
      <c r="K48" s="683"/>
      <c r="L48" s="683"/>
      <c r="M48" s="683"/>
      <c r="N48" s="683"/>
      <c r="P48" s="421" t="s">
        <v>486</v>
      </c>
      <c r="R48" s="1425"/>
      <c r="S48" s="1426"/>
      <c r="T48" s="510"/>
      <c r="U48" s="694">
        <v>24.769872497042453</v>
      </c>
      <c r="V48" s="687">
        <v>25.007755334530952</v>
      </c>
      <c r="W48" s="687">
        <v>25.277413135871708</v>
      </c>
      <c r="X48" s="687">
        <v>25.585501467817547</v>
      </c>
      <c r="Y48" s="687">
        <v>25.892731016956574</v>
      </c>
      <c r="Z48" s="687">
        <v>26.195451956359811</v>
      </c>
      <c r="AA48" s="687">
        <v>26.504613766814177</v>
      </c>
      <c r="AB48" s="687">
        <v>26.82794549358103</v>
      </c>
      <c r="AC48" s="695">
        <v>27.166305919467199</v>
      </c>
      <c r="AD48" s="1165">
        <f t="shared" si="12"/>
        <v>0.63012750295754572</v>
      </c>
    </row>
    <row r="49" spans="4:40" ht="14.85" customHeight="1" x14ac:dyDescent="0.3">
      <c r="D49" s="742"/>
      <c r="E49" s="737"/>
      <c r="F49" s="683"/>
      <c r="G49" s="683"/>
      <c r="H49" s="683"/>
      <c r="I49" s="683"/>
      <c r="J49" s="683"/>
      <c r="K49" s="683"/>
      <c r="L49" s="683"/>
      <c r="M49" s="683"/>
      <c r="N49" s="683"/>
      <c r="P49" s="421" t="s">
        <v>487</v>
      </c>
      <c r="R49" s="1427"/>
      <c r="S49" s="1428"/>
      <c r="T49" s="510"/>
      <c r="U49" s="692">
        <v>1605.5135952406297</v>
      </c>
      <c r="V49" s="686">
        <v>1622.258526365322</v>
      </c>
      <c r="W49" s="686">
        <v>1640.0789015802948</v>
      </c>
      <c r="X49" s="686">
        <v>1657.5526460554252</v>
      </c>
      <c r="Y49" s="686">
        <v>1674.1820336001701</v>
      </c>
      <c r="Z49" s="686">
        <v>1690.4381265020086</v>
      </c>
      <c r="AA49" s="686">
        <v>1706.5697878562105</v>
      </c>
      <c r="AB49" s="686">
        <v>1723.5458061407983</v>
      </c>
      <c r="AC49" s="693">
        <v>1741.0284385836167</v>
      </c>
      <c r="AD49" s="1165">
        <f t="shared" si="12"/>
        <v>-2.1135952406295928</v>
      </c>
    </row>
    <row r="50" spans="4:40" ht="14.85" customHeight="1" x14ac:dyDescent="0.3">
      <c r="D50" s="742"/>
      <c r="E50" s="737"/>
      <c r="F50" s="683"/>
      <c r="G50" s="683"/>
      <c r="H50" s="683"/>
      <c r="I50" s="683"/>
      <c r="J50" s="683"/>
      <c r="K50" s="683"/>
      <c r="L50" s="683"/>
      <c r="M50" s="683"/>
      <c r="N50" s="683"/>
      <c r="P50" s="758" t="s">
        <v>488</v>
      </c>
      <c r="U50" s="696">
        <v>109.238858295851</v>
      </c>
      <c r="V50" s="696">
        <v>103.04642481819329</v>
      </c>
      <c r="W50" s="696">
        <v>99.556412627685063</v>
      </c>
      <c r="X50" s="696">
        <v>97.006587078061287</v>
      </c>
      <c r="Y50" s="696">
        <v>98.104291899617465</v>
      </c>
      <c r="Z50" s="696">
        <v>99.86160410273655</v>
      </c>
      <c r="AA50" s="696">
        <v>102.34743789146242</v>
      </c>
      <c r="AB50" s="696">
        <v>105.88667451343056</v>
      </c>
      <c r="AC50" s="696">
        <v>109.30285005674891</v>
      </c>
      <c r="AD50" s="1165">
        <f t="shared" si="12"/>
        <v>0</v>
      </c>
    </row>
    <row r="51" spans="4:40" ht="14.85" customHeight="1" x14ac:dyDescent="0.3">
      <c r="D51" s="742"/>
      <c r="E51" s="737"/>
      <c r="F51" s="683"/>
      <c r="G51" s="683"/>
      <c r="H51" s="683"/>
      <c r="I51" s="683"/>
      <c r="J51" s="683"/>
      <c r="K51" s="683"/>
      <c r="L51" s="683"/>
      <c r="M51" s="683"/>
      <c r="N51" s="683"/>
    </row>
    <row r="52" spans="4:40" ht="14.85" customHeight="1" x14ac:dyDescent="0.3">
      <c r="D52" s="742"/>
      <c r="E52" s="737"/>
      <c r="F52" s="683"/>
      <c r="G52" s="683"/>
      <c r="H52" s="683"/>
      <c r="I52" s="683"/>
      <c r="J52" s="683"/>
      <c r="K52" s="683"/>
      <c r="L52" s="683"/>
      <c r="M52" s="683"/>
      <c r="N52" s="683"/>
    </row>
    <row r="53" spans="4:40" ht="14.85" customHeight="1" x14ac:dyDescent="0.3">
      <c r="D53" s="742"/>
      <c r="E53" s="737"/>
      <c r="F53" s="683"/>
      <c r="G53" s="683"/>
      <c r="H53" s="683"/>
      <c r="I53" s="683"/>
      <c r="J53" s="683"/>
      <c r="K53" s="683"/>
      <c r="L53" s="683"/>
      <c r="M53" s="683"/>
      <c r="N53" s="683"/>
    </row>
    <row r="54" spans="4:40" ht="14.85" customHeight="1" x14ac:dyDescent="0.3">
      <c r="D54" s="742"/>
      <c r="E54" s="737"/>
      <c r="F54" s="683"/>
      <c r="G54" s="683"/>
      <c r="H54" s="683"/>
      <c r="I54" s="683"/>
      <c r="J54" s="683"/>
      <c r="K54" s="683"/>
      <c r="L54" s="683"/>
      <c r="M54" s="683"/>
      <c r="N54" s="683"/>
    </row>
    <row r="55" spans="4:40" ht="14.85" customHeight="1" x14ac:dyDescent="0.3">
      <c r="D55" s="742"/>
      <c r="E55" s="737"/>
      <c r="F55" s="683"/>
      <c r="G55" s="683"/>
      <c r="H55" s="683"/>
      <c r="I55" s="683"/>
      <c r="J55" s="683"/>
      <c r="K55" s="683"/>
      <c r="L55" s="683"/>
      <c r="M55" s="683"/>
      <c r="N55" s="683"/>
    </row>
    <row r="56" spans="4:40" ht="14.85" customHeight="1" x14ac:dyDescent="0.3">
      <c r="D56" s="742"/>
      <c r="E56" s="737"/>
      <c r="F56" s="683"/>
      <c r="G56" s="683"/>
      <c r="H56" s="683"/>
      <c r="I56" s="683"/>
      <c r="J56" s="683"/>
      <c r="K56" s="683"/>
      <c r="L56" s="683"/>
      <c r="M56" s="683"/>
      <c r="N56" s="683"/>
    </row>
    <row r="57" spans="4:40" ht="14.85" customHeight="1" x14ac:dyDescent="0.3">
      <c r="D57" s="742"/>
      <c r="E57" s="737"/>
      <c r="F57" s="683"/>
      <c r="G57" s="683"/>
      <c r="H57" s="683"/>
      <c r="I57" s="683"/>
      <c r="J57" s="683"/>
      <c r="K57" s="683"/>
      <c r="L57" s="683"/>
      <c r="M57" s="683"/>
      <c r="N57" s="683"/>
    </row>
    <row r="58" spans="4:40" ht="14.85" customHeight="1" x14ac:dyDescent="0.3">
      <c r="D58" s="742"/>
      <c r="E58" s="737"/>
      <c r="F58" s="683"/>
      <c r="G58" s="683"/>
      <c r="H58" s="683"/>
      <c r="I58" s="683"/>
      <c r="J58" s="683"/>
      <c r="K58" s="683"/>
      <c r="L58" s="683"/>
      <c r="M58" s="683"/>
      <c r="N58" s="683"/>
    </row>
    <row r="59" spans="4:40" ht="14.85" customHeight="1" x14ac:dyDescent="0.3">
      <c r="D59" s="742"/>
      <c r="E59" s="737"/>
      <c r="F59" s="683"/>
      <c r="G59" s="683"/>
      <c r="H59" s="683"/>
      <c r="I59" s="683"/>
      <c r="J59" s="683"/>
      <c r="K59" s="683"/>
      <c r="L59" s="683"/>
      <c r="M59" s="683"/>
      <c r="N59" s="683"/>
    </row>
    <row r="60" spans="4:40" ht="14.85" customHeight="1" x14ac:dyDescent="0.3">
      <c r="D60" s="742"/>
      <c r="E60" s="737"/>
      <c r="F60" s="765"/>
      <c r="G60" s="765"/>
      <c r="H60" s="683"/>
      <c r="I60" s="683"/>
      <c r="J60" s="683"/>
      <c r="K60" s="683"/>
      <c r="L60" s="683"/>
      <c r="AF60" s="401"/>
      <c r="AG60" s="401"/>
      <c r="AH60" s="401"/>
      <c r="AI60" s="401"/>
      <c r="AJ60" s="401"/>
      <c r="AK60" s="401"/>
      <c r="AL60" s="177"/>
      <c r="AM60" s="177"/>
      <c r="AN60" s="177"/>
    </row>
    <row r="61" spans="4:40" ht="14.85" customHeight="1" x14ac:dyDescent="0.3">
      <c r="D61" s="431"/>
      <c r="E61" s="136"/>
      <c r="F61" s="136"/>
      <c r="G61" s="136"/>
      <c r="H61" s="136"/>
      <c r="I61" s="136"/>
      <c r="J61" s="136"/>
      <c r="K61" s="136"/>
      <c r="L61" s="136"/>
      <c r="AF61" s="177"/>
      <c r="AG61" s="177"/>
      <c r="AH61" s="177"/>
      <c r="AI61" s="177"/>
      <c r="AJ61" s="177"/>
      <c r="AK61" s="177"/>
      <c r="AL61" s="177"/>
      <c r="AM61" s="177"/>
      <c r="AN61" s="177"/>
    </row>
    <row r="62" spans="4:40" ht="14.85" customHeight="1" x14ac:dyDescent="0.3">
      <c r="D62" s="1729" t="s">
        <v>927</v>
      </c>
      <c r="E62" s="1730"/>
      <c r="F62" s="1731"/>
      <c r="G62" s="356">
        <v>2020</v>
      </c>
      <c r="H62" s="356">
        <v>2021</v>
      </c>
      <c r="I62" s="355">
        <v>2022</v>
      </c>
      <c r="J62" s="777">
        <v>2023</v>
      </c>
      <c r="K62" s="777">
        <v>2024</v>
      </c>
      <c r="L62" s="778">
        <v>2025</v>
      </c>
      <c r="AF62" s="177"/>
      <c r="AG62" s="177"/>
      <c r="AH62" s="177"/>
      <c r="AI62" s="177"/>
      <c r="AJ62" s="177"/>
      <c r="AK62" s="177"/>
      <c r="AL62" s="177"/>
      <c r="AM62" s="177"/>
      <c r="AN62" s="177"/>
    </row>
    <row r="63" spans="4:40" ht="14.85" customHeight="1" x14ac:dyDescent="0.3">
      <c r="D63" s="748" t="s">
        <v>494</v>
      </c>
      <c r="E63" s="716"/>
      <c r="F63" s="606"/>
      <c r="G63" s="747">
        <f>AVERAGE(H10:K10)</f>
        <v>1702.5749999999998</v>
      </c>
      <c r="H63" s="164">
        <f>AVERAGE(L10:O10)</f>
        <v>2008.4750000000001</v>
      </c>
      <c r="I63" s="164">
        <f>AVERAGE(P10:S10)</f>
        <v>2509.8999999999996</v>
      </c>
      <c r="J63" s="164">
        <f t="shared" ref="J63:L65" si="13">I63*J76/I76</f>
        <v>2405.556083764382</v>
      </c>
      <c r="K63" s="164">
        <f t="shared" si="13"/>
        <v>2352.4496398944584</v>
      </c>
      <c r="L63" s="242">
        <f t="shared" si="13"/>
        <v>2394.3346262838863</v>
      </c>
      <c r="M63" t="s">
        <v>910</v>
      </c>
    </row>
    <row r="64" spans="4:40" ht="14.85" customHeight="1" x14ac:dyDescent="0.3">
      <c r="D64" s="697" t="s">
        <v>500</v>
      </c>
      <c r="E64" s="159"/>
      <c r="F64" s="492"/>
      <c r="G64" s="747">
        <f>AVERAGE(H13:K13)</f>
        <v>1425.3999999999999</v>
      </c>
      <c r="H64" s="164">
        <f>AVERAGE(L13:O13)</f>
        <v>1495.1000000000001</v>
      </c>
      <c r="I64" s="164">
        <f>AVERAGE(P13:S13)</f>
        <v>1627.425</v>
      </c>
      <c r="J64" s="164">
        <f t="shared" si="13"/>
        <v>1713.8486935180104</v>
      </c>
      <c r="K64" s="164">
        <f t="shared" si="13"/>
        <v>1791.3088166806649</v>
      </c>
      <c r="L64" s="242">
        <f t="shared" si="13"/>
        <v>1867.9626463405427</v>
      </c>
    </row>
    <row r="65" spans="3:40" ht="14.85" customHeight="1" x14ac:dyDescent="0.3">
      <c r="D65" s="697" t="s">
        <v>105</v>
      </c>
      <c r="E65" s="159"/>
      <c r="F65" s="492"/>
      <c r="G65" s="747">
        <f>AVERAGE(H16:K16)</f>
        <v>161.30000000000001</v>
      </c>
      <c r="H65" s="164">
        <f>AVERAGE(L16:O16)</f>
        <v>166.42500000000001</v>
      </c>
      <c r="I65" s="164">
        <f>AVERAGE(P16:S16)</f>
        <v>200.55</v>
      </c>
      <c r="J65" s="164">
        <f t="shared" si="13"/>
        <v>202.68351063829786</v>
      </c>
      <c r="K65" s="164">
        <f t="shared" si="13"/>
        <v>211.21755319148934</v>
      </c>
      <c r="L65" s="242">
        <f t="shared" si="13"/>
        <v>211.21755319148934</v>
      </c>
    </row>
    <row r="66" spans="3:40" ht="14.85" customHeight="1" x14ac:dyDescent="0.3">
      <c r="D66" s="697" t="s">
        <v>258</v>
      </c>
      <c r="E66" s="159"/>
      <c r="F66" s="492"/>
      <c r="G66" s="747">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85" customHeight="1" x14ac:dyDescent="0.3">
      <c r="C67" s="35"/>
      <c r="D67" s="697" t="s">
        <v>923</v>
      </c>
      <c r="E67" s="35"/>
      <c r="F67" s="558"/>
      <c r="G67" s="163"/>
      <c r="H67" s="698">
        <f>H63/G63-1+0.021</f>
        <v>0.20066903073286077</v>
      </c>
      <c r="I67" s="698">
        <f>I63/H63-1.05</f>
        <v>0.19965458868046615</v>
      </c>
      <c r="J67" s="698">
        <f>J63/I63-1</f>
        <v>-4.1572937661109033E-2</v>
      </c>
      <c r="K67" s="698">
        <f>K63/J63-1</f>
        <v>-2.2076576899765721E-2</v>
      </c>
      <c r="L67" s="699">
        <f>L63/K63-1</f>
        <v>1.7804838700524517E-2</v>
      </c>
      <c r="M67" t="s">
        <v>909</v>
      </c>
    </row>
    <row r="68" spans="3:40" ht="14.85" customHeight="1" x14ac:dyDescent="0.3">
      <c r="C68" s="35"/>
      <c r="D68" s="697" t="s">
        <v>924</v>
      </c>
      <c r="E68" s="35"/>
      <c r="F68" s="558"/>
      <c r="G68" s="163"/>
      <c r="H68" s="698">
        <f>H64/G64-1.03</f>
        <v>1.8898554791637601E-2</v>
      </c>
      <c r="I68" s="698">
        <f>I64/H64-1.013</f>
        <v>7.5505785566182926E-2</v>
      </c>
      <c r="J68" s="700">
        <f>J64/I64-1</f>
        <v>5.3104563047765785E-2</v>
      </c>
      <c r="K68" s="698">
        <f t="shared" ref="K68" si="14">K64/J64-1</f>
        <v>4.5196593757441006E-2</v>
      </c>
      <c r="L68" s="699">
        <f>L64/K64-1</f>
        <v>4.2792079705116892E-2</v>
      </c>
      <c r="M68" t="s">
        <v>911</v>
      </c>
    </row>
    <row r="69" spans="3:40" ht="14.85" customHeight="1" x14ac:dyDescent="0.3">
      <c r="C69" s="35"/>
      <c r="D69" s="697" t="s">
        <v>925</v>
      </c>
      <c r="E69" s="35"/>
      <c r="F69" s="558"/>
      <c r="G69" s="163"/>
      <c r="H69" s="698">
        <f t="shared" ref="H69:H70" si="15">H65/G65-1</f>
        <v>3.1773093614383185E-2</v>
      </c>
      <c r="I69" s="698">
        <f>I65/H65-1.01</f>
        <v>0.19504731861198743</v>
      </c>
      <c r="J69" s="698">
        <f>J65/I65-1</f>
        <v>1.0638297872340274E-2</v>
      </c>
      <c r="K69" s="698">
        <f t="shared" ref="K69" si="16">K65/J65-1</f>
        <v>4.2105263157894646E-2</v>
      </c>
      <c r="L69" s="699">
        <f>L65/K65-1</f>
        <v>0</v>
      </c>
    </row>
    <row r="70" spans="3:40" ht="14.85" customHeight="1" x14ac:dyDescent="0.3">
      <c r="C70" s="35"/>
      <c r="D70" s="701" t="s">
        <v>926</v>
      </c>
      <c r="E70" s="36"/>
      <c r="F70" s="347"/>
      <c r="G70" s="230"/>
      <c r="H70" s="702">
        <f t="shared" si="15"/>
        <v>0.28603351955307299</v>
      </c>
      <c r="I70" s="702">
        <f>I66/H66-1.103</f>
        <v>0.16391765614441556</v>
      </c>
      <c r="J70" s="702">
        <f>J66/I66-1</f>
        <v>0.11889132363775001</v>
      </c>
      <c r="K70" s="702">
        <f>K66/J66-1</f>
        <v>6.5989313812109263E-3</v>
      </c>
      <c r="L70" s="703">
        <f>L66/K66-1</f>
        <v>2.1052543587793071E-2</v>
      </c>
    </row>
    <row r="71" spans="3:40" ht="14.85" customHeight="1" x14ac:dyDescent="0.3">
      <c r="D71" s="742"/>
      <c r="E71" s="737"/>
      <c r="F71" s="765"/>
      <c r="G71" s="765"/>
      <c r="H71" s="683"/>
      <c r="I71" s="683"/>
      <c r="J71" s="683"/>
      <c r="K71" s="683"/>
      <c r="L71" s="683"/>
    </row>
    <row r="72" spans="3:40" ht="14.85" customHeight="1" x14ac:dyDescent="0.3">
      <c r="D72" s="742"/>
      <c r="E72" s="737"/>
      <c r="F72" s="765"/>
      <c r="G72" s="765"/>
      <c r="H72" s="683"/>
      <c r="I72" s="683"/>
      <c r="J72" s="800"/>
      <c r="K72" s="683"/>
      <c r="L72" s="683"/>
    </row>
    <row r="73" spans="3:40" ht="14.85" customHeight="1" x14ac:dyDescent="0.3">
      <c r="D73" s="742"/>
      <c r="E73" s="737"/>
      <c r="F73" s="765"/>
      <c r="G73" s="765"/>
      <c r="H73" s="683"/>
      <c r="I73" s="683"/>
      <c r="J73" s="683"/>
      <c r="K73" s="683"/>
      <c r="L73" s="683"/>
    </row>
    <row r="74" spans="3:40" ht="41.85" customHeight="1" x14ac:dyDescent="0.3">
      <c r="F74" s="163"/>
      <c r="G74" s="163"/>
      <c r="H74" s="599"/>
      <c r="I74" s="599"/>
      <c r="J74" s="599"/>
      <c r="K74" s="599"/>
      <c r="L74" s="599"/>
      <c r="M74" s="225"/>
      <c r="N74" s="225"/>
      <c r="AF74" s="599"/>
      <c r="AG74" s="599"/>
      <c r="AH74" s="599"/>
      <c r="AI74" s="599"/>
      <c r="AJ74" s="599"/>
      <c r="AK74" s="599"/>
      <c r="AM74" s="599"/>
      <c r="AN74" s="599"/>
    </row>
    <row r="75" spans="3:40" ht="30.75" customHeight="1" x14ac:dyDescent="0.3">
      <c r="D75" s="644" t="s">
        <v>1816</v>
      </c>
      <c r="E75" s="584">
        <v>2018</v>
      </c>
      <c r="F75" s="645">
        <v>2019</v>
      </c>
      <c r="G75" s="645">
        <v>2020</v>
      </c>
      <c r="H75" s="645">
        <v>2021</v>
      </c>
      <c r="I75" s="646">
        <v>2022</v>
      </c>
      <c r="J75" s="647">
        <v>2023</v>
      </c>
      <c r="K75" s="647">
        <v>2024</v>
      </c>
      <c r="L75" s="648">
        <v>2025</v>
      </c>
      <c r="N75" s="776"/>
      <c r="O75" s="188"/>
    </row>
    <row r="76" spans="3:40" ht="30.75" customHeight="1" x14ac:dyDescent="0.3">
      <c r="D76" s="651" t="s">
        <v>1815</v>
      </c>
      <c r="E76" s="652">
        <v>1683.5</v>
      </c>
      <c r="F76" s="652">
        <v>1717.9</v>
      </c>
      <c r="G76" s="652">
        <v>1609</v>
      </c>
      <c r="H76" s="248">
        <v>2044.377</v>
      </c>
      <c r="I76" s="395">
        <v>2632.145</v>
      </c>
      <c r="J76" s="802">
        <v>2522.7190000000001</v>
      </c>
      <c r="K76" s="395">
        <v>2467.0259999999998</v>
      </c>
      <c r="L76" s="285">
        <v>2510.951</v>
      </c>
      <c r="M76" s="785" t="s">
        <v>495</v>
      </c>
      <c r="N76" s="776"/>
      <c r="O76" s="188"/>
    </row>
    <row r="77" spans="3:40" ht="16.5" customHeight="1" x14ac:dyDescent="0.3">
      <c r="D77" s="781" t="s">
        <v>1817</v>
      </c>
      <c r="E77" s="649">
        <v>1170.7</v>
      </c>
      <c r="F77" s="649">
        <v>1243.4000000000001</v>
      </c>
      <c r="G77" s="649">
        <v>1310</v>
      </c>
      <c r="H77" s="650">
        <v>1314.088</v>
      </c>
      <c r="I77" s="164">
        <v>1483.5260000000001</v>
      </c>
      <c r="J77" s="801">
        <v>1562.308</v>
      </c>
      <c r="K77" s="164">
        <v>1632.9190000000001</v>
      </c>
      <c r="L77" s="242">
        <v>1702.7950000000001</v>
      </c>
      <c r="M77" s="785"/>
      <c r="N77" s="771"/>
      <c r="O77" s="754"/>
      <c r="P77" s="768"/>
    </row>
    <row r="78" spans="3:40" x14ac:dyDescent="0.3">
      <c r="D78" s="494" t="s">
        <v>497</v>
      </c>
      <c r="E78" s="650">
        <f t="shared" ref="E78:L78" si="17">E79+E80</f>
        <v>136.30000000000001</v>
      </c>
      <c r="F78" s="650">
        <f t="shared" si="17"/>
        <v>170.6</v>
      </c>
      <c r="G78" s="650">
        <f t="shared" si="17"/>
        <v>156</v>
      </c>
      <c r="H78" s="650">
        <f t="shared" si="17"/>
        <v>155.25900000000001</v>
      </c>
      <c r="I78" s="650">
        <f t="shared" si="17"/>
        <v>188</v>
      </c>
      <c r="J78" s="711">
        <f t="shared" si="17"/>
        <v>190</v>
      </c>
      <c r="K78" s="650">
        <f t="shared" si="17"/>
        <v>198</v>
      </c>
      <c r="L78" s="714">
        <f t="shared" si="17"/>
        <v>198</v>
      </c>
      <c r="N78" s="136"/>
      <c r="P78" s="772"/>
      <c r="Q78" s="772"/>
      <c r="R78" s="772"/>
      <c r="S78" s="772"/>
      <c r="T78" s="772"/>
      <c r="U78" s="772"/>
      <c r="V78" s="772"/>
      <c r="W78" s="772"/>
    </row>
    <row r="79" spans="3:40" x14ac:dyDescent="0.3">
      <c r="D79" s="751" t="s">
        <v>1818</v>
      </c>
      <c r="E79" s="649">
        <v>95</v>
      </c>
      <c r="F79" s="649">
        <v>99.8</v>
      </c>
      <c r="G79" s="649">
        <v>87</v>
      </c>
      <c r="H79" s="650">
        <v>75.274000000000001</v>
      </c>
      <c r="I79" s="655">
        <v>88</v>
      </c>
      <c r="J79" s="656">
        <v>91</v>
      </c>
      <c r="K79" s="655">
        <v>101</v>
      </c>
      <c r="L79" s="657">
        <v>100</v>
      </c>
      <c r="N79" s="136"/>
      <c r="P79" s="772"/>
      <c r="Q79" s="772"/>
      <c r="R79" s="772"/>
      <c r="S79" s="772"/>
      <c r="T79" s="772"/>
      <c r="U79" s="772"/>
      <c r="V79" s="772"/>
      <c r="W79" s="772"/>
    </row>
    <row r="80" spans="3:40" ht="16.5" customHeight="1" x14ac:dyDescent="0.3">
      <c r="D80" s="421" t="s">
        <v>1819</v>
      </c>
      <c r="E80" s="649">
        <v>41.3</v>
      </c>
      <c r="F80" s="649">
        <v>70.8</v>
      </c>
      <c r="G80" s="649">
        <v>69</v>
      </c>
      <c r="H80" s="650">
        <v>79.984999999999999</v>
      </c>
      <c r="I80" s="655">
        <v>100</v>
      </c>
      <c r="J80" s="656">
        <v>99</v>
      </c>
      <c r="K80" s="655">
        <v>97</v>
      </c>
      <c r="L80" s="657">
        <v>98</v>
      </c>
      <c r="M80" s="766"/>
      <c r="N80" s="766"/>
      <c r="O80" s="770"/>
      <c r="P80" s="768"/>
      <c r="Q80" s="768"/>
      <c r="R80" s="768"/>
      <c r="S80" s="768"/>
      <c r="T80" s="768"/>
      <c r="U80" s="768"/>
      <c r="V80" s="768"/>
      <c r="W80" s="768"/>
      <c r="X80" s="766"/>
      <c r="Y80" s="766"/>
      <c r="Z80" s="769"/>
    </row>
    <row r="81" spans="4:26" ht="16.5" customHeight="1" x14ac:dyDescent="0.3">
      <c r="D81" s="653" t="s">
        <v>1820</v>
      </c>
      <c r="E81" s="654">
        <v>204.7</v>
      </c>
      <c r="F81" s="654">
        <v>230.2</v>
      </c>
      <c r="G81" s="654">
        <v>212</v>
      </c>
      <c r="H81" s="730">
        <v>371.83100000000002</v>
      </c>
      <c r="I81" s="406">
        <v>424.86700000000002</v>
      </c>
      <c r="J81" s="350">
        <v>475.38</v>
      </c>
      <c r="K81" s="406">
        <v>478.517</v>
      </c>
      <c r="L81" s="318">
        <v>488.59100000000001</v>
      </c>
      <c r="M81" s="766"/>
      <c r="N81" s="766"/>
      <c r="O81" s="770"/>
      <c r="P81" s="768"/>
      <c r="Q81" s="768"/>
      <c r="R81" s="768"/>
      <c r="S81" s="768"/>
      <c r="T81" s="768"/>
      <c r="U81" s="768"/>
      <c r="V81" s="768"/>
      <c r="W81" s="768"/>
      <c r="X81" s="766"/>
      <c r="Y81" s="766"/>
      <c r="Z81" s="769"/>
    </row>
    <row r="82" spans="4:26" ht="16.5" customHeight="1" x14ac:dyDescent="0.3"/>
    <row r="83" spans="4:26" x14ac:dyDescent="0.3">
      <c r="D83" s="759" t="s">
        <v>498</v>
      </c>
      <c r="E83" s="637">
        <v>2018</v>
      </c>
      <c r="F83" s="638">
        <v>2019</v>
      </c>
      <c r="G83" s="639">
        <v>2020</v>
      </c>
      <c r="H83" s="638">
        <v>2021</v>
      </c>
      <c r="I83" s="638">
        <v>2022</v>
      </c>
      <c r="J83" s="777">
        <v>2023</v>
      </c>
      <c r="K83" s="777">
        <v>2024</v>
      </c>
      <c r="L83" s="778">
        <v>2025</v>
      </c>
      <c r="O83" s="431" t="s">
        <v>499</v>
      </c>
    </row>
    <row r="84" spans="4:26" ht="14.85" customHeight="1" x14ac:dyDescent="0.3">
      <c r="D84" s="761" t="s">
        <v>494</v>
      </c>
      <c r="E84" s="159">
        <v>1622</v>
      </c>
      <c r="F84" s="159">
        <v>1687</v>
      </c>
      <c r="G84" s="756">
        <f t="shared" ref="G84:L87" si="18">G63</f>
        <v>1702.5749999999998</v>
      </c>
      <c r="H84" s="756">
        <f t="shared" si="18"/>
        <v>2008.4750000000001</v>
      </c>
      <c r="I84" s="756">
        <f t="shared" si="18"/>
        <v>2509.8999999999996</v>
      </c>
      <c r="J84" s="756">
        <f t="shared" si="18"/>
        <v>2405.556083764382</v>
      </c>
      <c r="K84" s="756">
        <f t="shared" si="18"/>
        <v>2352.4496398944584</v>
      </c>
      <c r="L84" s="756">
        <f t="shared" si="18"/>
        <v>2394.3346262838863</v>
      </c>
    </row>
    <row r="85" spans="4:26" x14ac:dyDescent="0.3">
      <c r="D85" s="761" t="s">
        <v>500</v>
      </c>
      <c r="E85" s="159">
        <v>1332</v>
      </c>
      <c r="F85" s="159">
        <v>1388</v>
      </c>
      <c r="G85" s="756">
        <f t="shared" si="18"/>
        <v>1425.3999999999999</v>
      </c>
      <c r="H85" s="756">
        <f t="shared" si="18"/>
        <v>1495.1000000000001</v>
      </c>
      <c r="I85" s="756">
        <f t="shared" si="18"/>
        <v>1627.425</v>
      </c>
      <c r="J85" s="756">
        <f t="shared" si="18"/>
        <v>1713.8486935180104</v>
      </c>
      <c r="K85" s="756">
        <f t="shared" si="18"/>
        <v>1791.3088166806649</v>
      </c>
      <c r="L85" s="756">
        <f t="shared" si="18"/>
        <v>1867.9626463405427</v>
      </c>
      <c r="N85" s="764"/>
    </row>
    <row r="86" spans="4:26" x14ac:dyDescent="0.3">
      <c r="D86" s="761" t="s">
        <v>105</v>
      </c>
      <c r="E86" s="159">
        <v>150</v>
      </c>
      <c r="F86" s="159">
        <v>175</v>
      </c>
      <c r="G86" s="756">
        <f t="shared" si="18"/>
        <v>161.30000000000001</v>
      </c>
      <c r="H86" s="756">
        <f t="shared" si="18"/>
        <v>166.42500000000001</v>
      </c>
      <c r="I86" s="756">
        <f t="shared" si="18"/>
        <v>200.55</v>
      </c>
      <c r="J86" s="756">
        <f t="shared" si="18"/>
        <v>202.68351063829786</v>
      </c>
      <c r="K86" s="756">
        <f t="shared" si="18"/>
        <v>211.21755319148934</v>
      </c>
      <c r="L86" s="756">
        <f t="shared" si="18"/>
        <v>211.21755319148934</v>
      </c>
      <c r="N86" s="764"/>
    </row>
    <row r="87" spans="4:26" x14ac:dyDescent="0.3">
      <c r="D87" s="760" t="s">
        <v>258</v>
      </c>
      <c r="E87" s="487">
        <v>208</v>
      </c>
      <c r="F87" s="487">
        <v>219</v>
      </c>
      <c r="G87" s="799">
        <f t="shared" si="18"/>
        <v>201.37499999999997</v>
      </c>
      <c r="H87" s="799">
        <f t="shared" si="18"/>
        <v>258.97500000000002</v>
      </c>
      <c r="I87" s="799">
        <f t="shared" si="18"/>
        <v>328.1</v>
      </c>
      <c r="J87" s="799">
        <f t="shared" si="18"/>
        <v>367.10824328554583</v>
      </c>
      <c r="K87" s="799">
        <f t="shared" si="18"/>
        <v>369.53076539246399</v>
      </c>
      <c r="L87" s="799">
        <f t="shared" si="18"/>
        <v>377.3103279379194</v>
      </c>
      <c r="O87" s="1587" t="s">
        <v>904</v>
      </c>
      <c r="P87" s="1587" t="s">
        <v>904</v>
      </c>
      <c r="Q87" s="1587" t="s">
        <v>904</v>
      </c>
      <c r="R87" s="1587" t="s">
        <v>904</v>
      </c>
      <c r="S87" s="1587" t="s">
        <v>904</v>
      </c>
      <c r="T87" s="1587" t="s">
        <v>904</v>
      </c>
      <c r="U87" s="1587" t="s">
        <v>904</v>
      </c>
      <c r="V87" s="1588" t="s">
        <v>904</v>
      </c>
    </row>
    <row r="88" spans="4:26" ht="14.85" customHeight="1" x14ac:dyDescent="0.3">
      <c r="D88" s="184"/>
      <c r="E88" s="159"/>
      <c r="F88" s="159"/>
      <c r="G88" s="159"/>
      <c r="P88" s="1574">
        <v>2022</v>
      </c>
      <c r="Q88" s="1575">
        <v>2022</v>
      </c>
      <c r="R88" s="1575">
        <v>2022</v>
      </c>
      <c r="S88" s="1576">
        <v>2022</v>
      </c>
    </row>
    <row r="89" spans="4:26" ht="17.25" customHeight="1" x14ac:dyDescent="0.3">
      <c r="D89" s="375" t="s">
        <v>502</v>
      </c>
      <c r="E89" s="159"/>
      <c r="F89" s="159"/>
      <c r="G89" s="159"/>
      <c r="P89" s="90" t="s">
        <v>905</v>
      </c>
      <c r="Q89" s="90" t="s">
        <v>906</v>
      </c>
      <c r="R89" s="90" t="s">
        <v>907</v>
      </c>
      <c r="S89" s="90" t="s">
        <v>908</v>
      </c>
      <c r="T89" s="92" t="s">
        <v>922</v>
      </c>
    </row>
    <row r="90" spans="4:26" ht="30" customHeight="1" x14ac:dyDescent="0.3">
      <c r="D90" s="796" t="s">
        <v>503</v>
      </c>
      <c r="E90" s="638">
        <v>2018</v>
      </c>
      <c r="F90" s="638">
        <v>2019</v>
      </c>
      <c r="G90" s="639">
        <v>2020</v>
      </c>
      <c r="H90" s="584">
        <v>2021</v>
      </c>
      <c r="I90" s="585">
        <v>2022</v>
      </c>
      <c r="J90" s="779">
        <v>2023</v>
      </c>
      <c r="K90" s="779">
        <v>2024</v>
      </c>
      <c r="L90" s="780">
        <v>2025</v>
      </c>
      <c r="O90" s="30" t="s">
        <v>501</v>
      </c>
      <c r="P90" s="84">
        <v>2973</v>
      </c>
      <c r="Q90" s="84">
        <v>3062.8</v>
      </c>
      <c r="R90" s="84">
        <v>3085.2</v>
      </c>
      <c r="S90" s="85">
        <v>2106.1999999999998</v>
      </c>
      <c r="T90" s="84">
        <v>3123.2</v>
      </c>
    </row>
    <row r="91" spans="4:26" x14ac:dyDescent="0.3">
      <c r="D91" s="761" t="s">
        <v>494</v>
      </c>
      <c r="E91" s="372">
        <f t="shared" ref="E91:K93" si="19">E84/E76</f>
        <v>0.96346896346896349</v>
      </c>
      <c r="F91" s="372">
        <f t="shared" si="19"/>
        <v>0.98201292275452579</v>
      </c>
      <c r="G91" s="372">
        <f t="shared" si="19"/>
        <v>1.0581572405220632</v>
      </c>
      <c r="H91" s="738">
        <f t="shared" si="19"/>
        <v>0.98243865979709233</v>
      </c>
      <c r="I91" s="739">
        <f t="shared" si="19"/>
        <v>0.9535568899129796</v>
      </c>
      <c r="J91" s="739">
        <f t="shared" si="19"/>
        <v>0.9535568899129796</v>
      </c>
      <c r="K91" s="739">
        <f t="shared" si="19"/>
        <v>0.95355688991297971</v>
      </c>
      <c r="L91" s="740"/>
      <c r="T91" s="188"/>
    </row>
    <row r="92" spans="4:26" x14ac:dyDescent="0.3">
      <c r="D92" s="761" t="s">
        <v>500</v>
      </c>
      <c r="E92" s="372">
        <f t="shared" si="19"/>
        <v>1.1377808148970701</v>
      </c>
      <c r="F92" s="372">
        <f t="shared" si="19"/>
        <v>1.1162940324915553</v>
      </c>
      <c r="G92" s="372">
        <f t="shared" si="19"/>
        <v>1.0880916030534351</v>
      </c>
      <c r="H92" s="704">
        <f t="shared" si="19"/>
        <v>1.1377472437157938</v>
      </c>
      <c r="I92" s="372">
        <f t="shared" si="19"/>
        <v>1.0969979629612152</v>
      </c>
      <c r="J92" s="372">
        <f t="shared" si="19"/>
        <v>1.0969979629612152</v>
      </c>
      <c r="K92" s="372">
        <f t="shared" si="19"/>
        <v>1.0969979629612154</v>
      </c>
      <c r="L92" s="558"/>
    </row>
    <row r="93" spans="4:26" x14ac:dyDescent="0.3">
      <c r="D93" s="761" t="s">
        <v>105</v>
      </c>
      <c r="E93" s="372">
        <f t="shared" si="19"/>
        <v>1.1005135730007336</v>
      </c>
      <c r="F93" s="372">
        <f t="shared" si="19"/>
        <v>1.0257913247362251</v>
      </c>
      <c r="G93" s="372">
        <f t="shared" si="19"/>
        <v>1.0339743589743591</v>
      </c>
      <c r="H93" s="704">
        <f t="shared" si="19"/>
        <v>1.0719185361235097</v>
      </c>
      <c r="I93" s="372">
        <f t="shared" si="19"/>
        <v>1.0667553191489363</v>
      </c>
      <c r="J93" s="372">
        <f t="shared" si="19"/>
        <v>1.0667553191489361</v>
      </c>
      <c r="K93" s="372">
        <f t="shared" si="19"/>
        <v>1.0667553191489361</v>
      </c>
      <c r="L93" s="558"/>
    </row>
    <row r="94" spans="4:26" x14ac:dyDescent="0.3">
      <c r="D94" s="760" t="s">
        <v>258</v>
      </c>
      <c r="E94" s="706">
        <f t="shared" ref="E94:K94" si="20">E87/E81</f>
        <v>1.0161211529066927</v>
      </c>
      <c r="F94" s="706">
        <f t="shared" si="20"/>
        <v>0.95134665508253702</v>
      </c>
      <c r="G94" s="706">
        <f t="shared" si="20"/>
        <v>0.94988207547169801</v>
      </c>
      <c r="H94" s="705">
        <f t="shared" si="20"/>
        <v>0.69648576907250881</v>
      </c>
      <c r="I94" s="706">
        <f t="shared" si="20"/>
        <v>0.77224166621554513</v>
      </c>
      <c r="J94" s="706">
        <f t="shared" si="20"/>
        <v>0.77224166621554513</v>
      </c>
      <c r="K94" s="706">
        <f t="shared" si="20"/>
        <v>0.77224166621554513</v>
      </c>
      <c r="L94" s="347"/>
    </row>
    <row r="96" spans="4:26" x14ac:dyDescent="0.3">
      <c r="D96" s="184"/>
      <c r="E96" s="159"/>
      <c r="F96" s="159"/>
      <c r="G96" s="159"/>
    </row>
    <row r="97" spans="4:12" x14ac:dyDescent="0.3">
      <c r="D97" s="163" t="s">
        <v>504</v>
      </c>
    </row>
    <row r="98" spans="4:12" x14ac:dyDescent="0.3">
      <c r="D98" s="543"/>
      <c r="E98" s="584">
        <v>2018</v>
      </c>
      <c r="F98" s="645">
        <v>2019</v>
      </c>
      <c r="G98" s="645">
        <v>2020</v>
      </c>
      <c r="H98" s="680">
        <v>2021</v>
      </c>
      <c r="I98" s="645">
        <v>2022</v>
      </c>
      <c r="J98" s="658">
        <v>2023</v>
      </c>
      <c r="K98" s="658">
        <v>2024</v>
      </c>
      <c r="L98" s="782">
        <v>2025</v>
      </c>
    </row>
    <row r="99" spans="4:12" x14ac:dyDescent="0.3">
      <c r="D99" s="512" t="s">
        <v>1821</v>
      </c>
      <c r="E99" s="248">
        <v>14016.099999999999</v>
      </c>
      <c r="F99" s="248">
        <v>14604.2</v>
      </c>
      <c r="G99" s="248">
        <v>14711.300000000001</v>
      </c>
      <c r="H99" s="348">
        <v>20725.8</v>
      </c>
      <c r="I99" s="660">
        <v>21482.5</v>
      </c>
      <c r="J99" s="660">
        <v>22812.2</v>
      </c>
      <c r="K99" s="660">
        <v>23945.599999999999</v>
      </c>
      <c r="L99" s="661">
        <v>24950.7</v>
      </c>
    </row>
    <row r="100" spans="4:12" x14ac:dyDescent="0.3">
      <c r="D100" s="697" t="s">
        <v>1822</v>
      </c>
      <c r="E100" s="159">
        <v>8804</v>
      </c>
      <c r="F100" s="159">
        <v>9209</v>
      </c>
      <c r="G100" s="650">
        <v>9300</v>
      </c>
      <c r="H100" s="659">
        <v>10082.5</v>
      </c>
      <c r="I100" s="376">
        <v>10994.5</v>
      </c>
      <c r="J100" s="376">
        <v>11592.6</v>
      </c>
      <c r="K100" s="376">
        <v>12130.9</v>
      </c>
      <c r="L100" s="662">
        <v>12724.9</v>
      </c>
    </row>
    <row r="101" spans="4:12" x14ac:dyDescent="0.3">
      <c r="D101" s="697" t="s">
        <v>1823</v>
      </c>
      <c r="E101" s="159">
        <v>13844</v>
      </c>
      <c r="F101" s="159">
        <v>14403</v>
      </c>
      <c r="G101" s="650">
        <v>14201</v>
      </c>
      <c r="H101" s="659">
        <v>15279.9</v>
      </c>
      <c r="I101" s="376">
        <v>17042.8</v>
      </c>
      <c r="J101" s="376">
        <v>18155</v>
      </c>
      <c r="K101" s="376">
        <v>18926.599999999999</v>
      </c>
      <c r="L101" s="662">
        <v>19683.400000000001</v>
      </c>
    </row>
    <row r="102" spans="4:12" x14ac:dyDescent="0.3">
      <c r="D102" s="701" t="s">
        <v>1825</v>
      </c>
      <c r="E102" s="730">
        <v>2211</v>
      </c>
      <c r="F102" s="730">
        <v>2243</v>
      </c>
      <c r="G102" s="730">
        <v>2125</v>
      </c>
      <c r="H102" s="663">
        <v>2678.6</v>
      </c>
      <c r="I102" s="643">
        <v>2926.6</v>
      </c>
      <c r="J102" s="643">
        <v>2669.9</v>
      </c>
      <c r="K102" s="643">
        <v>2538.6999999999998</v>
      </c>
      <c r="L102" s="664">
        <v>2803.5</v>
      </c>
    </row>
    <row r="104" spans="4:12" x14ac:dyDescent="0.3">
      <c r="D104" s="163" t="s">
        <v>508</v>
      </c>
    </row>
    <row r="105" spans="4:12" x14ac:dyDescent="0.3">
      <c r="D105" s="759" t="s">
        <v>509</v>
      </c>
      <c r="E105" s="585">
        <v>2018</v>
      </c>
      <c r="F105" s="681">
        <v>2019</v>
      </c>
      <c r="G105" s="681">
        <v>2020</v>
      </c>
      <c r="H105" s="680">
        <v>2021</v>
      </c>
      <c r="I105" s="681">
        <v>2022</v>
      </c>
      <c r="J105" s="773">
        <v>2023</v>
      </c>
      <c r="K105" s="773">
        <v>2024</v>
      </c>
      <c r="L105" s="782">
        <v>2025</v>
      </c>
    </row>
    <row r="106" spans="4:12" x14ac:dyDescent="0.3">
      <c r="D106" s="786" t="s">
        <v>494</v>
      </c>
      <c r="E106" s="741">
        <f t="shared" ref="E106:L108" si="21">E76/E99</f>
        <v>0.12011187134794987</v>
      </c>
      <c r="F106" s="719">
        <f t="shared" si="21"/>
        <v>0.11763054463784391</v>
      </c>
      <c r="G106" s="717">
        <f t="shared" si="21"/>
        <v>0.10937170746297063</v>
      </c>
      <c r="H106" s="719">
        <f t="shared" si="21"/>
        <v>9.8639232261239621E-2</v>
      </c>
      <c r="I106" s="719">
        <f t="shared" si="21"/>
        <v>0.12252507855231001</v>
      </c>
      <c r="J106" s="719">
        <f t="shared" si="21"/>
        <v>0.11058639675261482</v>
      </c>
      <c r="K106" s="719">
        <f t="shared" si="21"/>
        <v>0.10302627622611252</v>
      </c>
      <c r="L106" s="717">
        <f t="shared" si="21"/>
        <v>0.10063649516847223</v>
      </c>
    </row>
    <row r="107" spans="4:12" x14ac:dyDescent="0.3">
      <c r="D107" s="786" t="s">
        <v>496</v>
      </c>
      <c r="E107" s="731">
        <f t="shared" si="21"/>
        <v>0.13297364834166289</v>
      </c>
      <c r="F107" s="670">
        <f t="shared" si="21"/>
        <v>0.13502008904332718</v>
      </c>
      <c r="G107" s="718">
        <f t="shared" si="21"/>
        <v>0.14086021505376345</v>
      </c>
      <c r="H107" s="670">
        <f t="shared" si="21"/>
        <v>0.1303335482271262</v>
      </c>
      <c r="I107" s="670">
        <f t="shared" si="21"/>
        <v>0.1349334667333667</v>
      </c>
      <c r="J107" s="670">
        <f t="shared" si="21"/>
        <v>0.13476769663405966</v>
      </c>
      <c r="K107" s="670">
        <f t="shared" si="21"/>
        <v>0.13460823187067739</v>
      </c>
      <c r="L107" s="718">
        <f t="shared" si="21"/>
        <v>0.1338159828368003</v>
      </c>
    </row>
    <row r="108" spans="4:12" x14ac:dyDescent="0.3">
      <c r="D108" s="697" t="s">
        <v>510</v>
      </c>
      <c r="E108" s="731">
        <f t="shared" si="21"/>
        <v>9.8454203987286912E-3</v>
      </c>
      <c r="F108" s="670">
        <f t="shared" si="21"/>
        <v>1.1844754565021176E-2</v>
      </c>
      <c r="G108" s="718">
        <f t="shared" si="21"/>
        <v>1.0985141891416098E-2</v>
      </c>
      <c r="H108" s="670">
        <f t="shared" si="21"/>
        <v>1.016099581803546E-2</v>
      </c>
      <c r="I108" s="670">
        <f t="shared" si="21"/>
        <v>1.1031051235712443E-2</v>
      </c>
      <c r="J108" s="670">
        <f t="shared" si="21"/>
        <v>1.0465436518865326E-2</v>
      </c>
      <c r="K108" s="670">
        <f t="shared" si="21"/>
        <v>1.0461466930140649E-2</v>
      </c>
      <c r="L108" s="718">
        <f t="shared" si="21"/>
        <v>1.0059237733318431E-2</v>
      </c>
    </row>
    <row r="109" spans="4:12" x14ac:dyDescent="0.3">
      <c r="D109" s="787" t="s">
        <v>106</v>
      </c>
      <c r="E109" s="707">
        <f t="shared" ref="E109:L109" si="22">E81/E102</f>
        <v>9.258254183627318E-2</v>
      </c>
      <c r="F109" s="708">
        <f t="shared" si="22"/>
        <v>0.10263040570664288</v>
      </c>
      <c r="G109" s="709">
        <f t="shared" si="22"/>
        <v>9.9764705882352936E-2</v>
      </c>
      <c r="H109" s="708">
        <f t="shared" si="22"/>
        <v>0.13881542596878968</v>
      </c>
      <c r="I109" s="708">
        <f t="shared" si="22"/>
        <v>0.14517426365065264</v>
      </c>
      <c r="J109" s="708">
        <f t="shared" si="22"/>
        <v>0.1780516124199408</v>
      </c>
      <c r="K109" s="708">
        <f t="shared" si="22"/>
        <v>0.18848899042817191</v>
      </c>
      <c r="L109" s="709">
        <f t="shared" si="22"/>
        <v>0.174278937042982</v>
      </c>
    </row>
    <row r="111" spans="4:12" x14ac:dyDescent="0.3">
      <c r="D111" s="163" t="s">
        <v>511</v>
      </c>
    </row>
    <row r="112" spans="4:12" x14ac:dyDescent="0.3">
      <c r="D112" s="793" t="s">
        <v>352</v>
      </c>
    </row>
    <row r="113" spans="4:30" x14ac:dyDescent="0.3">
      <c r="D113" s="759" t="s">
        <v>512</v>
      </c>
      <c r="E113" s="638">
        <v>2018</v>
      </c>
      <c r="F113" s="674">
        <v>2019</v>
      </c>
      <c r="G113" s="674">
        <v>2020</v>
      </c>
      <c r="H113" s="679">
        <v>2021</v>
      </c>
      <c r="I113" s="674">
        <v>2022</v>
      </c>
      <c r="J113" s="783">
        <v>2023</v>
      </c>
      <c r="K113" s="783">
        <v>2024</v>
      </c>
      <c r="L113" s="784">
        <v>2025</v>
      </c>
    </row>
    <row r="114" spans="4:30" ht="20.25" customHeight="1" x14ac:dyDescent="0.3">
      <c r="D114" s="762" t="s">
        <v>494</v>
      </c>
      <c r="E114" s="741">
        <f t="shared" ref="E114:G117" si="23">E106*E91</f>
        <v>0.11572406018792676</v>
      </c>
      <c r="F114" s="719">
        <f t="shared" si="23"/>
        <v>0.11551471494501581</v>
      </c>
      <c r="G114" s="719">
        <f t="shared" si="23"/>
        <v>0.11573246416020334</v>
      </c>
      <c r="H114" s="741">
        <f>N133</f>
        <v>0.13083976407289996</v>
      </c>
      <c r="I114" s="719">
        <f>H114</f>
        <v>0.13083976407289996</v>
      </c>
      <c r="J114" s="719">
        <f t="shared" ref="J114:L114" si="24">I114</f>
        <v>0.13083976407289996</v>
      </c>
      <c r="K114" s="719">
        <f t="shared" si="24"/>
        <v>0.13083976407289996</v>
      </c>
      <c r="L114" s="717">
        <f t="shared" si="24"/>
        <v>0.13083976407289996</v>
      </c>
      <c r="M114" s="789"/>
      <c r="N114" s="788"/>
      <c r="O114" s="670"/>
      <c r="P114" s="670"/>
      <c r="Q114" s="670"/>
      <c r="R114" s="670"/>
      <c r="S114" s="670"/>
      <c r="T114" s="670"/>
      <c r="U114" s="670"/>
      <c r="V114" s="670"/>
      <c r="W114" s="670"/>
      <c r="X114" s="670"/>
      <c r="Y114" s="670"/>
    </row>
    <row r="115" spans="4:30" ht="18.75" customHeight="1" x14ac:dyDescent="0.3">
      <c r="D115" s="762" t="s">
        <v>496</v>
      </c>
      <c r="E115" s="731">
        <f t="shared" si="23"/>
        <v>0.15129486597001363</v>
      </c>
      <c r="F115" s="670">
        <f t="shared" si="23"/>
        <v>0.15072211966554458</v>
      </c>
      <c r="G115" s="670">
        <f t="shared" si="23"/>
        <v>0.15326881720430108</v>
      </c>
      <c r="H115" s="731">
        <f>N135</f>
        <v>0.14822588114733906</v>
      </c>
      <c r="I115" s="670">
        <f>H115</f>
        <v>0.14822588114733906</v>
      </c>
      <c r="J115" s="670">
        <f>I115</f>
        <v>0.14822588114733906</v>
      </c>
      <c r="K115" s="670">
        <f t="shared" ref="K115:L115" si="25">J115</f>
        <v>0.14822588114733906</v>
      </c>
      <c r="L115" s="718">
        <f t="shared" si="25"/>
        <v>0.14822588114733906</v>
      </c>
      <c r="M115" s="789"/>
      <c r="N115" s="788"/>
      <c r="O115" s="670"/>
      <c r="P115" s="670"/>
      <c r="Q115" s="670"/>
      <c r="R115" s="670"/>
      <c r="S115" s="670"/>
      <c r="T115" s="670"/>
      <c r="U115" s="670"/>
      <c r="V115" s="670"/>
      <c r="W115" s="670"/>
      <c r="X115" s="670"/>
      <c r="Y115" s="670"/>
    </row>
    <row r="116" spans="4:30" ht="19.350000000000001" customHeight="1" x14ac:dyDescent="0.3">
      <c r="D116" s="761" t="s">
        <v>105</v>
      </c>
      <c r="E116" s="731">
        <f t="shared" si="23"/>
        <v>1.0835018780699219E-2</v>
      </c>
      <c r="F116" s="670">
        <f t="shared" si="23"/>
        <v>1.2150246476428523E-2</v>
      </c>
      <c r="G116" s="670">
        <f t="shared" si="23"/>
        <v>1.1358355045419337E-2</v>
      </c>
      <c r="H116" s="731">
        <f>N136</f>
        <v>1.1211939165902553E-2</v>
      </c>
      <c r="I116" s="670">
        <f>AVERAGE($F93:$G93)*I108</f>
        <v>1.1360690395286862E-2</v>
      </c>
      <c r="J116" s="670">
        <f>AVERAGE($F93:$G93)*J108</f>
        <v>1.0778173503305177E-2</v>
      </c>
      <c r="K116" s="670">
        <f>J116</f>
        <v>1.0778173503305177E-2</v>
      </c>
      <c r="L116" s="718">
        <f>K116</f>
        <v>1.0778173503305177E-2</v>
      </c>
      <c r="M116" s="789"/>
      <c r="N116" s="788"/>
      <c r="O116" s="670"/>
      <c r="P116" s="670"/>
      <c r="Q116" s="670"/>
      <c r="R116" s="670"/>
      <c r="S116" s="670"/>
      <c r="T116" s="670"/>
      <c r="U116" s="670"/>
      <c r="V116" s="670"/>
      <c r="W116" s="670"/>
      <c r="X116" s="670"/>
      <c r="Y116" s="670"/>
    </row>
    <row r="117" spans="4:30" ht="19.350000000000001" customHeight="1" x14ac:dyDescent="0.3">
      <c r="D117" s="763" t="s">
        <v>106</v>
      </c>
      <c r="E117" s="707">
        <f t="shared" si="23"/>
        <v>9.4075079149706017E-2</v>
      </c>
      <c r="F117" s="708">
        <f t="shared" si="23"/>
        <v>9.7637093178778417E-2</v>
      </c>
      <c r="G117" s="708">
        <f t="shared" si="23"/>
        <v>9.4764705882352931E-2</v>
      </c>
      <c r="H117" s="707">
        <f>M137</f>
        <v>0.11594202898550723</v>
      </c>
      <c r="I117" s="708">
        <f>N137</f>
        <v>0.11690415853101242</v>
      </c>
      <c r="J117" s="708">
        <f>I117</f>
        <v>0.11690415853101242</v>
      </c>
      <c r="K117" s="708">
        <f>J117</f>
        <v>0.11690415853101242</v>
      </c>
      <c r="L117" s="709">
        <f>K117</f>
        <v>0.11690415853101242</v>
      </c>
      <c r="M117" s="789"/>
      <c r="N117" s="788"/>
      <c r="O117" s="670"/>
      <c r="P117" s="670"/>
      <c r="Q117" s="670"/>
      <c r="R117" s="670"/>
      <c r="S117" s="670"/>
      <c r="T117" s="670"/>
      <c r="U117" s="670"/>
      <c r="V117" s="670"/>
      <c r="W117" s="670"/>
      <c r="X117" s="670"/>
      <c r="Y117" s="670"/>
    </row>
    <row r="118" spans="4:30" x14ac:dyDescent="0.3">
      <c r="E118" s="677"/>
      <c r="F118" s="677"/>
      <c r="G118" s="677"/>
      <c r="H118" s="677"/>
      <c r="I118" s="677"/>
      <c r="J118" s="677"/>
      <c r="K118" s="677"/>
      <c r="L118" s="677"/>
    </row>
    <row r="119" spans="4:30" x14ac:dyDescent="0.3">
      <c r="D119" s="792" t="s">
        <v>365</v>
      </c>
      <c r="E119" s="670"/>
      <c r="F119" s="670"/>
      <c r="G119" s="670"/>
      <c r="H119" s="670"/>
      <c r="I119" s="670"/>
      <c r="J119" s="670"/>
      <c r="K119" s="670"/>
      <c r="L119" s="670"/>
      <c r="M119" s="670"/>
      <c r="N119" s="670"/>
      <c r="O119" s="670"/>
      <c r="P119" s="670"/>
      <c r="Q119" s="670"/>
      <c r="R119" s="670"/>
      <c r="S119" s="670"/>
      <c r="T119" s="670"/>
      <c r="U119" s="670"/>
      <c r="V119" s="670"/>
      <c r="W119" s="670"/>
      <c r="X119" s="670"/>
      <c r="Y119" s="670"/>
    </row>
    <row r="120" spans="4:30" x14ac:dyDescent="0.3">
      <c r="D120" s="1703" t="s">
        <v>1836</v>
      </c>
      <c r="E120" s="1720"/>
      <c r="F120" s="1600">
        <v>2019</v>
      </c>
      <c r="G120" s="1622"/>
      <c r="H120" s="1637"/>
      <c r="I120" s="1600">
        <v>2020</v>
      </c>
      <c r="J120" s="1622"/>
      <c r="K120" s="1622"/>
      <c r="L120" s="1637"/>
      <c r="M120" s="1600">
        <v>2021</v>
      </c>
      <c r="N120" s="1622"/>
      <c r="O120" s="1622"/>
      <c r="P120" s="1622"/>
      <c r="Q120" s="1600">
        <v>2022</v>
      </c>
      <c r="R120" s="1601"/>
      <c r="S120" s="1601"/>
      <c r="T120" s="1637"/>
      <c r="U120" s="1242"/>
      <c r="V120" s="1243">
        <v>2023</v>
      </c>
      <c r="W120" s="1243"/>
      <c r="X120" s="1244"/>
      <c r="Y120" s="1609">
        <v>2024</v>
      </c>
      <c r="Z120" s="1607"/>
      <c r="AA120" s="1607"/>
      <c r="AB120" s="1608"/>
      <c r="AC120" s="178">
        <v>2025</v>
      </c>
    </row>
    <row r="121" spans="4:30" x14ac:dyDescent="0.3">
      <c r="D121" s="1721"/>
      <c r="E121" s="1722"/>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40" t="s">
        <v>283</v>
      </c>
      <c r="V121" s="190" t="s">
        <v>284</v>
      </c>
      <c r="W121" s="190" t="s">
        <v>238</v>
      </c>
      <c r="X121" s="191" t="s">
        <v>282</v>
      </c>
      <c r="Y121" s="189" t="s">
        <v>283</v>
      </c>
      <c r="Z121" s="186" t="s">
        <v>284</v>
      </c>
      <c r="AA121" s="190" t="s">
        <v>238</v>
      </c>
      <c r="AB121" s="190" t="s">
        <v>282</v>
      </c>
      <c r="AC121" s="324" t="s">
        <v>283</v>
      </c>
      <c r="AD121" s="670"/>
    </row>
    <row r="122" spans="4:30" x14ac:dyDescent="0.3">
      <c r="D122" s="797" t="s">
        <v>505</v>
      </c>
      <c r="E122" s="665"/>
      <c r="F122" s="248">
        <f t="shared" ref="F122:AC122" si="26">F123+F124</f>
        <v>0</v>
      </c>
      <c r="G122" s="248">
        <f t="shared" si="26"/>
        <v>0</v>
      </c>
      <c r="H122" s="248">
        <f t="shared" si="26"/>
        <v>0</v>
      </c>
      <c r="I122" s="248">
        <f t="shared" si="26"/>
        <v>15134.800000000001</v>
      </c>
      <c r="J122" s="248">
        <f t="shared" si="26"/>
        <v>14265.5</v>
      </c>
      <c r="K122" s="248">
        <f t="shared" si="26"/>
        <v>14943.5</v>
      </c>
      <c r="L122" s="248">
        <f t="shared" si="26"/>
        <v>15319.300000000001</v>
      </c>
      <c r="M122" s="248">
        <f t="shared" si="26"/>
        <v>15357.6</v>
      </c>
      <c r="N122" s="248">
        <f t="shared" si="26"/>
        <v>15825.2</v>
      </c>
      <c r="O122" s="248">
        <f t="shared" si="26"/>
        <v>16160.699999999999</v>
      </c>
      <c r="P122" s="248">
        <f t="shared" si="26"/>
        <v>16536.3</v>
      </c>
      <c r="Q122" s="248">
        <f t="shared" si="26"/>
        <v>16751.7</v>
      </c>
      <c r="R122" s="248">
        <f t="shared" si="26"/>
        <v>16992.3</v>
      </c>
      <c r="S122" s="248">
        <f t="shared" si="26"/>
        <v>17266.900000000001</v>
      </c>
      <c r="T122" s="1444">
        <f t="shared" si="26"/>
        <v>17639.8</v>
      </c>
      <c r="U122" s="1445">
        <f t="shared" si="26"/>
        <v>17860.099999999999</v>
      </c>
      <c r="V122" s="673">
        <f t="shared" si="26"/>
        <v>18096.2</v>
      </c>
      <c r="W122" s="673">
        <f t="shared" si="26"/>
        <v>18317.400000000001</v>
      </c>
      <c r="X122" s="673">
        <f t="shared" si="26"/>
        <v>18552.3</v>
      </c>
      <c r="Y122" s="673">
        <f t="shared" si="26"/>
        <v>18754.800000000003</v>
      </c>
      <c r="Z122" s="673">
        <f t="shared" si="26"/>
        <v>18946.099999999999</v>
      </c>
      <c r="AA122" s="673">
        <f t="shared" si="26"/>
        <v>19138.2</v>
      </c>
      <c r="AB122" s="673">
        <f t="shared" si="26"/>
        <v>19333.099999999999</v>
      </c>
      <c r="AC122" s="672">
        <f t="shared" si="26"/>
        <v>19534.599999999999</v>
      </c>
      <c r="AD122" s="670"/>
    </row>
    <row r="123" spans="4:30" x14ac:dyDescent="0.3">
      <c r="D123" s="751" t="s">
        <v>1822</v>
      </c>
      <c r="E123" s="516"/>
      <c r="F123" s="650"/>
      <c r="G123" s="650"/>
      <c r="H123" s="650"/>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316">
        <v>11411.5</v>
      </c>
      <c r="U123" s="1446">
        <v>11537.2</v>
      </c>
      <c r="V123" s="377">
        <v>11648</v>
      </c>
      <c r="W123" s="377">
        <v>11773.6</v>
      </c>
      <c r="X123" s="377">
        <v>11917.1</v>
      </c>
      <c r="Y123" s="377">
        <v>12060.2</v>
      </c>
      <c r="Z123" s="377">
        <v>12201.2</v>
      </c>
      <c r="AA123" s="377">
        <v>12345.2</v>
      </c>
      <c r="AB123" s="377">
        <v>12495.8</v>
      </c>
      <c r="AC123" s="378">
        <v>12653.4</v>
      </c>
      <c r="AD123" s="670"/>
    </row>
    <row r="124" spans="4:30" x14ac:dyDescent="0.3">
      <c r="D124" s="195" t="s">
        <v>1826</v>
      </c>
      <c r="E124" s="485"/>
      <c r="F124" s="650"/>
      <c r="G124" s="650"/>
      <c r="H124" s="650"/>
      <c r="I124" s="376">
        <v>5510.1</v>
      </c>
      <c r="J124" s="376">
        <v>5269.8</v>
      </c>
      <c r="K124" s="376">
        <v>5518.1</v>
      </c>
      <c r="L124" s="376">
        <v>5535.6</v>
      </c>
      <c r="M124" s="376">
        <v>5506.4</v>
      </c>
      <c r="N124" s="376">
        <v>5686.7</v>
      </c>
      <c r="O124" s="376">
        <v>5738.4</v>
      </c>
      <c r="P124" s="376">
        <v>5787.9</v>
      </c>
      <c r="Q124" s="376">
        <v>5826.2</v>
      </c>
      <c r="R124" s="376">
        <v>5934.3</v>
      </c>
      <c r="S124" s="376">
        <v>6021</v>
      </c>
      <c r="T124" s="1316">
        <v>6228.3</v>
      </c>
      <c r="U124" s="1446">
        <v>6322.9</v>
      </c>
      <c r="V124" s="377">
        <v>6448.2</v>
      </c>
      <c r="W124" s="377">
        <v>6543.8</v>
      </c>
      <c r="X124" s="377">
        <v>6635.2</v>
      </c>
      <c r="Y124" s="377">
        <v>6694.6</v>
      </c>
      <c r="Z124" s="377">
        <v>6744.9</v>
      </c>
      <c r="AA124" s="377">
        <v>6793</v>
      </c>
      <c r="AB124" s="377">
        <v>6837.3</v>
      </c>
      <c r="AC124" s="378">
        <v>6881.2</v>
      </c>
      <c r="AD124" s="670"/>
    </row>
    <row r="125" spans="4:30" x14ac:dyDescent="0.3">
      <c r="D125" s="195" t="s">
        <v>1823</v>
      </c>
      <c r="E125" s="485"/>
      <c r="F125" s="650"/>
      <c r="G125" s="650"/>
      <c r="H125" s="650"/>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316">
        <v>17851.099999999999</v>
      </c>
      <c r="U125" s="1446">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70"/>
    </row>
    <row r="126" spans="4:30" x14ac:dyDescent="0.3">
      <c r="D126" s="595" t="s">
        <v>1824</v>
      </c>
      <c r="E126" s="511"/>
      <c r="F126" s="511"/>
      <c r="G126" s="511"/>
      <c r="H126" s="730"/>
      <c r="I126" s="643">
        <v>1736.3</v>
      </c>
      <c r="J126" s="643">
        <v>1597.1</v>
      </c>
      <c r="K126" s="643">
        <v>2041.1</v>
      </c>
      <c r="L126" s="643">
        <v>1947.4</v>
      </c>
      <c r="M126" s="643">
        <v>2152.8000000000002</v>
      </c>
      <c r="N126" s="643">
        <v>2407.1</v>
      </c>
      <c r="O126" s="643">
        <v>2431.8000000000002</v>
      </c>
      <c r="P126" s="643">
        <v>2443.1999999999998</v>
      </c>
      <c r="Q126" s="643">
        <v>2432.6999999999998</v>
      </c>
      <c r="R126" s="643">
        <v>2538.9</v>
      </c>
      <c r="S126" s="643">
        <v>2512.1</v>
      </c>
      <c r="T126" s="643">
        <v>2378.9</v>
      </c>
      <c r="U126" s="667">
        <v>2219.1999999999998</v>
      </c>
      <c r="V126" s="666">
        <v>2093.4</v>
      </c>
      <c r="W126" s="666">
        <v>2022.5</v>
      </c>
      <c r="X126" s="666">
        <v>1970.7</v>
      </c>
      <c r="Y126" s="666">
        <v>1993</v>
      </c>
      <c r="Z126" s="666">
        <v>2028.7</v>
      </c>
      <c r="AA126" s="666">
        <v>2079.1999999999998</v>
      </c>
      <c r="AB126" s="666">
        <v>2151.1</v>
      </c>
      <c r="AC126" s="667">
        <v>2220.5</v>
      </c>
    </row>
    <row r="127" spans="4:30" ht="18.75" customHeight="1" x14ac:dyDescent="0.3"/>
    <row r="128" spans="4:30" x14ac:dyDescent="0.3">
      <c r="D128" s="798"/>
      <c r="E128" s="516"/>
      <c r="F128" s="516"/>
      <c r="G128" s="516"/>
      <c r="H128" s="650"/>
      <c r="I128" s="650"/>
      <c r="J128" s="650"/>
      <c r="K128" s="650"/>
      <c r="L128" s="650"/>
      <c r="M128" s="650"/>
      <c r="N128" s="650"/>
      <c r="O128" s="650"/>
      <c r="P128" s="650"/>
      <c r="Q128" s="650"/>
      <c r="R128" s="650"/>
      <c r="S128" s="650"/>
      <c r="T128" s="650"/>
      <c r="U128" s="650"/>
      <c r="V128" s="650"/>
      <c r="W128" s="650"/>
      <c r="X128" s="650"/>
      <c r="Y128" s="650"/>
      <c r="Z128" s="650"/>
      <c r="AA128" s="650"/>
      <c r="AB128" s="650"/>
      <c r="AC128" s="650"/>
    </row>
    <row r="129" spans="4:32" x14ac:dyDescent="0.3">
      <c r="D129" s="431"/>
      <c r="AC129" s="35"/>
    </row>
    <row r="130" spans="4:32" x14ac:dyDescent="0.3">
      <c r="D130" s="1703" t="s">
        <v>514</v>
      </c>
      <c r="E130" s="1720"/>
      <c r="F130" s="1600">
        <v>2019</v>
      </c>
      <c r="G130" s="1622"/>
      <c r="H130" s="1637"/>
      <c r="I130" s="1622">
        <v>2020</v>
      </c>
      <c r="J130" s="1622"/>
      <c r="K130" s="1622"/>
      <c r="L130" s="1637"/>
      <c r="M130" s="1600">
        <v>2021</v>
      </c>
      <c r="N130" s="1622"/>
      <c r="O130" s="1622"/>
      <c r="P130" s="1622"/>
      <c r="Q130" s="1600">
        <v>2022</v>
      </c>
      <c r="R130" s="1601"/>
      <c r="S130" s="1601"/>
      <c r="T130" s="1637"/>
      <c r="U130" s="1242"/>
      <c r="V130" s="1243">
        <v>2023</v>
      </c>
      <c r="W130" s="1243"/>
      <c r="X130" s="1244"/>
      <c r="Y130" s="1609">
        <v>2024</v>
      </c>
      <c r="Z130" s="1607"/>
      <c r="AA130" s="1607"/>
      <c r="AB130" s="1608"/>
      <c r="AC130" s="178">
        <v>2025</v>
      </c>
    </row>
    <row r="131" spans="4:32" x14ac:dyDescent="0.3">
      <c r="D131" s="1721"/>
      <c r="E131" s="1722"/>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315" t="s">
        <v>283</v>
      </c>
      <c r="V131" s="190" t="s">
        <v>284</v>
      </c>
      <c r="W131" s="190" t="s">
        <v>238</v>
      </c>
      <c r="X131" s="191" t="s">
        <v>282</v>
      </c>
      <c r="Y131" s="189" t="s">
        <v>283</v>
      </c>
      <c r="Z131" s="186" t="s">
        <v>284</v>
      </c>
      <c r="AA131" s="190" t="s">
        <v>238</v>
      </c>
      <c r="AB131" s="190" t="s">
        <v>282</v>
      </c>
      <c r="AC131" s="192" t="s">
        <v>283</v>
      </c>
    </row>
    <row r="132" spans="4:32" x14ac:dyDescent="0.3">
      <c r="D132" s="1718" t="s">
        <v>515</v>
      </c>
      <c r="E132" s="1719"/>
      <c r="F132" s="171"/>
      <c r="G132" s="172"/>
      <c r="H132" s="172"/>
      <c r="I132" s="172"/>
      <c r="J132" s="172"/>
      <c r="K132" s="172"/>
      <c r="L132" s="172"/>
      <c r="M132" s="172"/>
      <c r="N132" s="172"/>
      <c r="O132" s="172"/>
      <c r="P132" s="172"/>
      <c r="Q132" s="172"/>
      <c r="R132" s="172"/>
      <c r="S132" s="172"/>
      <c r="T132" s="716"/>
      <c r="U132" s="1345"/>
      <c r="V132" s="1281"/>
      <c r="W132" s="1281"/>
      <c r="X132" s="1281"/>
      <c r="Y132" s="1281"/>
      <c r="Z132" s="1281"/>
      <c r="AA132" s="1281"/>
      <c r="AB132" s="1281"/>
      <c r="AC132" s="1282"/>
    </row>
    <row r="133" spans="4:32" x14ac:dyDescent="0.3">
      <c r="D133" s="421" t="s">
        <v>485</v>
      </c>
      <c r="F133" s="731"/>
      <c r="G133" s="670"/>
      <c r="H133" s="670">
        <f t="shared" ref="H133:T133" si="27">H10/H140</f>
        <v>0.11520931070611083</v>
      </c>
      <c r="I133" s="670">
        <f t="shared" si="27"/>
        <v>0.11566144134388082</v>
      </c>
      <c r="J133" s="670">
        <f t="shared" si="27"/>
        <v>0.11281835698020669</v>
      </c>
      <c r="K133" s="670">
        <f t="shared" si="27"/>
        <v>0.11518678305073408</v>
      </c>
      <c r="L133" s="670">
        <f t="shared" si="27"/>
        <v>0.11990448353254346</v>
      </c>
      <c r="M133" s="670">
        <f t="shared" si="27"/>
        <v>0.12789328127541891</v>
      </c>
      <c r="N133" s="670">
        <f t="shared" si="27"/>
        <v>0.13083976407289996</v>
      </c>
      <c r="O133" s="670">
        <f t="shared" si="27"/>
        <v>0.13349080813015168</v>
      </c>
      <c r="P133" s="670">
        <f t="shared" si="27"/>
        <v>0.13507699001667917</v>
      </c>
      <c r="Q133" s="670">
        <f t="shared" si="27"/>
        <v>0.15293907130714859</v>
      </c>
      <c r="R133" s="670">
        <f t="shared" si="27"/>
        <v>0.15280309534169892</v>
      </c>
      <c r="S133" s="715">
        <f t="shared" si="27"/>
        <v>0.15189254768024193</v>
      </c>
      <c r="T133" s="1448">
        <f t="shared" si="27"/>
        <v>0.14987727493807193</v>
      </c>
      <c r="U133" s="726">
        <f t="shared" ref="U133" si="28">U10/U140</f>
        <v>0.1349236013098512</v>
      </c>
      <c r="V133" s="671">
        <f t="shared" ref="V133:AC133" si="29">U133+V134</f>
        <v>0.1349236013098512</v>
      </c>
      <c r="W133" s="671">
        <f t="shared" si="29"/>
        <v>0.1349236013098512</v>
      </c>
      <c r="X133" s="671">
        <f t="shared" si="29"/>
        <v>0.1349236013098512</v>
      </c>
      <c r="Y133" s="671">
        <f t="shared" si="29"/>
        <v>0.1349236013098512</v>
      </c>
      <c r="Z133" s="671">
        <f t="shared" si="29"/>
        <v>0.1349236013098512</v>
      </c>
      <c r="AA133" s="671">
        <f t="shared" si="29"/>
        <v>0.1349236013098512</v>
      </c>
      <c r="AB133" s="671">
        <f t="shared" si="29"/>
        <v>0.1349236013098512</v>
      </c>
      <c r="AC133" s="671">
        <f t="shared" si="29"/>
        <v>0.1349236013098512</v>
      </c>
    </row>
    <row r="134" spans="4:32" x14ac:dyDescent="0.3">
      <c r="D134" s="421" t="s">
        <v>899</v>
      </c>
      <c r="F134" s="731"/>
      <c r="G134" s="670"/>
      <c r="H134" s="670"/>
      <c r="I134" s="670"/>
      <c r="J134" s="670"/>
      <c r="K134" s="670"/>
      <c r="L134" s="670"/>
      <c r="M134" s="670"/>
      <c r="N134" s="670"/>
      <c r="O134" s="670"/>
      <c r="P134" s="670"/>
      <c r="Q134" s="670"/>
      <c r="R134" s="670"/>
      <c r="S134" s="715"/>
      <c r="T134" s="1448"/>
      <c r="U134" s="726"/>
      <c r="V134" s="671"/>
      <c r="W134" s="671"/>
      <c r="X134" s="671"/>
      <c r="Y134" s="671"/>
      <c r="Z134" s="671"/>
      <c r="AA134" s="671"/>
      <c r="AB134" s="671"/>
      <c r="AC134" s="671"/>
    </row>
    <row r="135" spans="4:32" x14ac:dyDescent="0.3">
      <c r="D135" s="421" t="s">
        <v>486</v>
      </c>
      <c r="F135" s="731"/>
      <c r="G135" s="670"/>
      <c r="H135" s="670">
        <f t="shared" ref="H135:T135" si="30">H13/H145</f>
        <v>0.15062717402761674</v>
      </c>
      <c r="I135" s="670">
        <f t="shared" si="30"/>
        <v>0.15103642270684339</v>
      </c>
      <c r="J135" s="670">
        <f t="shared" si="30"/>
        <v>0.15387605940440088</v>
      </c>
      <c r="K135" s="670">
        <f t="shared" si="30"/>
        <v>0.15183673469387757</v>
      </c>
      <c r="L135" s="670">
        <f t="shared" si="30"/>
        <v>0.1496195679926467</v>
      </c>
      <c r="M135" s="670">
        <f t="shared" si="30"/>
        <v>0.14955735161391731</v>
      </c>
      <c r="N135" s="670">
        <f t="shared" si="30"/>
        <v>0.14822588114733906</v>
      </c>
      <c r="O135" s="670">
        <f t="shared" si="30"/>
        <v>0.14724543781628582</v>
      </c>
      <c r="P135" s="670">
        <f t="shared" si="30"/>
        <v>0.14666765802020501</v>
      </c>
      <c r="Q135" s="670">
        <f t="shared" si="30"/>
        <v>0.1478248151161409</v>
      </c>
      <c r="R135" s="670">
        <f t="shared" si="30"/>
        <v>0.14783370514545832</v>
      </c>
      <c r="S135" s="715">
        <f t="shared" si="30"/>
        <v>0.14749399984175407</v>
      </c>
      <c r="T135" s="1448">
        <f t="shared" si="30"/>
        <v>0.14725289930900884</v>
      </c>
      <c r="U135" s="726">
        <f t="shared" ref="U135" si="31">U13/U145</f>
        <v>0.14777943368107302</v>
      </c>
      <c r="V135" s="671">
        <f t="shared" ref="V135:AC135" si="32">U135</f>
        <v>0.14777943368107302</v>
      </c>
      <c r="W135" s="671">
        <f t="shared" si="32"/>
        <v>0.14777943368107302</v>
      </c>
      <c r="X135" s="671">
        <f t="shared" si="32"/>
        <v>0.14777943368107302</v>
      </c>
      <c r="Y135" s="671">
        <f t="shared" si="32"/>
        <v>0.14777943368107302</v>
      </c>
      <c r="Z135" s="671">
        <f t="shared" si="32"/>
        <v>0.14777943368107302</v>
      </c>
      <c r="AA135" s="671">
        <f t="shared" si="32"/>
        <v>0.14777943368107302</v>
      </c>
      <c r="AB135" s="671">
        <f t="shared" si="32"/>
        <v>0.14777943368107302</v>
      </c>
      <c r="AC135" s="671">
        <f t="shared" si="32"/>
        <v>0.14777943368107302</v>
      </c>
    </row>
    <row r="136" spans="4:32" x14ac:dyDescent="0.3">
      <c r="D136" s="421" t="s">
        <v>487</v>
      </c>
      <c r="F136" s="731"/>
      <c r="G136" s="670"/>
      <c r="H136" s="670">
        <f t="shared" ref="H136:T136" si="33">H16/H146</f>
        <v>1.2100690881729256E-2</v>
      </c>
      <c r="I136" s="670">
        <f t="shared" si="33"/>
        <v>1.2922258694477915E-2</v>
      </c>
      <c r="J136" s="670">
        <f t="shared" si="33"/>
        <v>1.016107526552131E-2</v>
      </c>
      <c r="K136" s="670">
        <f t="shared" si="33"/>
        <v>1.0362298192331481E-2</v>
      </c>
      <c r="L136" s="670">
        <f t="shared" si="33"/>
        <v>1.0626628273687096E-2</v>
      </c>
      <c r="M136" s="670">
        <f t="shared" si="33"/>
        <v>1.0349271387502891E-2</v>
      </c>
      <c r="N136" s="670">
        <f t="shared" si="33"/>
        <v>1.1211939165902553E-2</v>
      </c>
      <c r="O136" s="670">
        <f t="shared" si="33"/>
        <v>1.0949198937283633E-2</v>
      </c>
      <c r="P136" s="670">
        <f t="shared" si="33"/>
        <v>1.135730718004601E-2</v>
      </c>
      <c r="Q136" s="670">
        <f t="shared" si="33"/>
        <v>1.1994216227747885E-2</v>
      </c>
      <c r="R136" s="670">
        <f t="shared" si="33"/>
        <v>1.2131183630433398E-2</v>
      </c>
      <c r="S136" s="715">
        <f t="shared" si="33"/>
        <v>1.1560364140069659E-2</v>
      </c>
      <c r="T136" s="1448">
        <f t="shared" si="33"/>
        <v>1.0839497687310913E-2</v>
      </c>
      <c r="U136" s="726">
        <f t="shared" ref="U136" si="34">U16/U146</f>
        <v>1.0488911485302814E-2</v>
      </c>
      <c r="V136" s="671">
        <f t="shared" ref="V136:AC136" si="35">U136</f>
        <v>1.0488911485302814E-2</v>
      </c>
      <c r="W136" s="671">
        <f t="shared" si="35"/>
        <v>1.0488911485302814E-2</v>
      </c>
      <c r="X136" s="671">
        <f t="shared" si="35"/>
        <v>1.0488911485302814E-2</v>
      </c>
      <c r="Y136" s="671">
        <f t="shared" si="35"/>
        <v>1.0488911485302814E-2</v>
      </c>
      <c r="Z136" s="671">
        <f t="shared" si="35"/>
        <v>1.0488911485302814E-2</v>
      </c>
      <c r="AA136" s="671">
        <f t="shared" si="35"/>
        <v>1.0488911485302814E-2</v>
      </c>
      <c r="AB136" s="671">
        <f t="shared" si="35"/>
        <v>1.0488911485302814E-2</v>
      </c>
      <c r="AC136" s="671">
        <f t="shared" si="35"/>
        <v>1.0488911485302814E-2</v>
      </c>
    </row>
    <row r="137" spans="4:32" x14ac:dyDescent="0.3">
      <c r="D137" s="337" t="s">
        <v>488</v>
      </c>
      <c r="F137" s="731"/>
      <c r="G137" s="670"/>
      <c r="H137" s="670">
        <f t="shared" ref="H137:T137" si="36">H19/H147</f>
        <v>0.11697176543592926</v>
      </c>
      <c r="I137" s="670">
        <f t="shared" si="36"/>
        <v>0.10545412659102689</v>
      </c>
      <c r="J137" s="670">
        <f t="shared" si="36"/>
        <v>0.11132677978836643</v>
      </c>
      <c r="K137" s="670">
        <f t="shared" si="36"/>
        <v>0.10700112684336878</v>
      </c>
      <c r="L137" s="670">
        <f t="shared" si="36"/>
        <v>0.11630892472013966</v>
      </c>
      <c r="M137" s="670">
        <f t="shared" si="36"/>
        <v>0.11594202898550723</v>
      </c>
      <c r="N137" s="670">
        <f t="shared" si="36"/>
        <v>0.11690415853101242</v>
      </c>
      <c r="O137" s="670">
        <f t="shared" si="36"/>
        <v>0.11448309893905748</v>
      </c>
      <c r="P137" s="670">
        <f t="shared" si="36"/>
        <v>0.12475442043222006</v>
      </c>
      <c r="Q137" s="670">
        <f t="shared" si="36"/>
        <v>0.12899247749414233</v>
      </c>
      <c r="R137" s="715">
        <f t="shared" si="36"/>
        <v>0.13911536492181653</v>
      </c>
      <c r="S137" s="715">
        <f t="shared" si="36"/>
        <v>0.13340122199592669</v>
      </c>
      <c r="T137" s="726">
        <f t="shared" si="36"/>
        <v>0.13442317808440901</v>
      </c>
      <c r="U137" s="671">
        <f>T137+U138</f>
        <v>0.12242317808440902</v>
      </c>
      <c r="V137" s="671">
        <f t="shared" ref="V137:AC137" si="37">U137+V138</f>
        <v>0.12242317808440902</v>
      </c>
      <c r="W137" s="671">
        <f t="shared" si="37"/>
        <v>0.12242317808440902</v>
      </c>
      <c r="X137" s="671">
        <f t="shared" si="37"/>
        <v>0.12242317808440902</v>
      </c>
      <c r="Y137" s="671">
        <f t="shared" si="37"/>
        <v>0.12242317808440902</v>
      </c>
      <c r="Z137" s="671">
        <f t="shared" si="37"/>
        <v>0.12242317808440902</v>
      </c>
      <c r="AA137" s="671">
        <f t="shared" si="37"/>
        <v>0.12242317808440902</v>
      </c>
      <c r="AB137" s="671">
        <f t="shared" si="37"/>
        <v>0.12242317808440902</v>
      </c>
      <c r="AC137" s="671">
        <f t="shared" si="37"/>
        <v>0.12242317808440902</v>
      </c>
    </row>
    <row r="138" spans="4:32" x14ac:dyDescent="0.3">
      <c r="D138" s="337" t="s">
        <v>1833</v>
      </c>
      <c r="F138" s="731"/>
      <c r="G138" s="670"/>
      <c r="H138" s="670"/>
      <c r="I138" s="670"/>
      <c r="J138" s="670"/>
      <c r="K138" s="670"/>
      <c r="L138" s="670"/>
      <c r="M138" s="670"/>
      <c r="N138" s="670"/>
      <c r="O138" s="670"/>
      <c r="P138" s="670"/>
      <c r="Q138" s="670"/>
      <c r="R138" s="1278"/>
      <c r="S138" s="1278"/>
      <c r="T138" s="1279"/>
      <c r="U138" s="671">
        <v>-1.2E-2</v>
      </c>
      <c r="V138" s="671"/>
      <c r="W138" s="671"/>
      <c r="X138" s="671"/>
      <c r="Y138" s="671"/>
      <c r="Z138" s="671"/>
      <c r="AA138" s="671"/>
      <c r="AB138" s="671"/>
      <c r="AC138" s="671"/>
    </row>
    <row r="139" spans="4:32" x14ac:dyDescent="0.3">
      <c r="D139" s="641" t="s">
        <v>516</v>
      </c>
      <c r="F139" s="196"/>
      <c r="G139" s="159"/>
      <c r="H139" s="159"/>
      <c r="I139" s="159"/>
      <c r="J139" s="159"/>
      <c r="K139" s="159"/>
      <c r="L139" s="159"/>
      <c r="M139" s="159"/>
      <c r="N139" s="159"/>
      <c r="O139" s="159"/>
      <c r="P139" s="159"/>
      <c r="Q139" s="159"/>
      <c r="R139" s="159"/>
      <c r="S139" s="159"/>
      <c r="T139" s="1222"/>
      <c r="U139" s="1181"/>
      <c r="V139" s="1174"/>
      <c r="W139" s="1174"/>
      <c r="X139" s="1174"/>
      <c r="Y139" s="1174"/>
      <c r="Z139" s="1174"/>
      <c r="AA139" s="1174"/>
      <c r="AB139" s="1174"/>
      <c r="AC139" s="1280"/>
    </row>
    <row r="140" spans="4:32" ht="14.85" customHeight="1" x14ac:dyDescent="0.3">
      <c r="D140" s="751" t="s">
        <v>517</v>
      </c>
      <c r="F140" s="711">
        <f>SUM(F141:F144)</f>
        <v>14677.800000000003</v>
      </c>
      <c r="G140" s="650">
        <f t="shared" ref="G140:O140" si="38">SUM(G141:G144)</f>
        <v>14803.5</v>
      </c>
      <c r="H140" s="650">
        <f t="shared" si="38"/>
        <v>14984.9</v>
      </c>
      <c r="I140" s="650">
        <f t="shared" si="38"/>
        <v>15144.2</v>
      </c>
      <c r="J140" s="650">
        <f t="shared" si="38"/>
        <v>14272.5</v>
      </c>
      <c r="K140" s="650">
        <f t="shared" si="38"/>
        <v>14950.5</v>
      </c>
      <c r="L140" s="650">
        <f t="shared" si="38"/>
        <v>15327.199999999999</v>
      </c>
      <c r="M140" s="650">
        <f t="shared" si="38"/>
        <v>15367.5</v>
      </c>
      <c r="N140" s="650">
        <f t="shared" si="38"/>
        <v>15835.400000000001</v>
      </c>
      <c r="O140" s="650">
        <f t="shared" si="38"/>
        <v>16171.900000000001</v>
      </c>
      <c r="P140" s="650">
        <f t="shared" ref="P140:T140" si="39">SUM(P141:P144)</f>
        <v>16547.599999999999</v>
      </c>
      <c r="Q140" s="650">
        <f t="shared" si="39"/>
        <v>16765.5</v>
      </c>
      <c r="R140" s="650">
        <f t="shared" si="39"/>
        <v>17006.199999999997</v>
      </c>
      <c r="S140" s="713">
        <f t="shared" si="39"/>
        <v>17391.900000000001</v>
      </c>
      <c r="T140" s="1449">
        <f t="shared" si="39"/>
        <v>17681.8</v>
      </c>
      <c r="U140" s="727">
        <f t="shared" ref="U140" si="40">SUM(U141:U144)</f>
        <v>17925.7</v>
      </c>
      <c r="V140" s="243"/>
      <c r="W140" s="243"/>
      <c r="X140" s="243"/>
      <c r="Y140" s="243"/>
      <c r="Z140" s="243"/>
      <c r="AA140" s="243"/>
      <c r="AB140" s="243"/>
      <c r="AC140" s="241"/>
      <c r="AD140" s="767"/>
      <c r="AE140" s="767"/>
      <c r="AF140" s="767"/>
    </row>
    <row r="141" spans="4:32" x14ac:dyDescent="0.3">
      <c r="D141" s="790" t="s">
        <v>791</v>
      </c>
      <c r="E141" s="163" t="s">
        <v>787</v>
      </c>
      <c r="F141" s="711">
        <f>'Haver Pivoted'!GQ81</f>
        <v>9284.7000000000007</v>
      </c>
      <c r="G141" s="650">
        <f>'Haver Pivoted'!GR81</f>
        <v>9340.5</v>
      </c>
      <c r="H141" s="650">
        <f>'Haver Pivoted'!GS81</f>
        <v>9487</v>
      </c>
      <c r="I141" s="650">
        <f>'Haver Pivoted'!GT81</f>
        <v>9634.1</v>
      </c>
      <c r="J141" s="650">
        <f>'Haver Pivoted'!GU81</f>
        <v>9002.7000000000007</v>
      </c>
      <c r="K141" s="650">
        <f>'Haver Pivoted'!GV81</f>
        <v>9432.5</v>
      </c>
      <c r="L141" s="650">
        <f>'Haver Pivoted'!GW81</f>
        <v>9791.5</v>
      </c>
      <c r="M141" s="650">
        <f>'Haver Pivoted'!GX81</f>
        <v>9861.1</v>
      </c>
      <c r="N141" s="650">
        <f>'Haver Pivoted'!GY81</f>
        <v>10148.700000000001</v>
      </c>
      <c r="O141" s="650">
        <f>'Haver Pivoted'!GZ81</f>
        <v>10433.6</v>
      </c>
      <c r="P141" s="650">
        <f>'Haver Pivoted'!HA81</f>
        <v>10759.7</v>
      </c>
      <c r="Q141" s="650">
        <f>'Haver Pivoted'!HB81</f>
        <v>10939.3</v>
      </c>
      <c r="R141" s="650">
        <f>'Haver Pivoted'!HC81</f>
        <v>11071.9</v>
      </c>
      <c r="S141" s="713">
        <f>'Haver Pivoted'!HD81</f>
        <v>11374.7</v>
      </c>
      <c r="T141" s="1449">
        <f>'Haver Pivoted'!HE81</f>
        <v>11563.1</v>
      </c>
      <c r="U141" s="727">
        <f>'Haver Pivoted'!HF81</f>
        <v>11742.5</v>
      </c>
      <c r="V141" s="243"/>
      <c r="W141" s="243"/>
      <c r="X141" s="243"/>
      <c r="Y141" s="243"/>
      <c r="Z141" s="243"/>
      <c r="AA141" s="243"/>
      <c r="AB141" s="243"/>
      <c r="AC141" s="241"/>
    </row>
    <row r="142" spans="4:32" x14ac:dyDescent="0.3">
      <c r="D142" s="790" t="s">
        <v>518</v>
      </c>
      <c r="E142" s="163" t="s">
        <v>788</v>
      </c>
      <c r="F142" s="711">
        <f>'Haver Pivoted'!GQ82</f>
        <v>1575.2</v>
      </c>
      <c r="G142" s="650">
        <f>'Haver Pivoted'!GR82</f>
        <v>1615.3</v>
      </c>
      <c r="H142" s="650">
        <f>'Haver Pivoted'!GS82</f>
        <v>1631.9</v>
      </c>
      <c r="I142" s="650">
        <f>'Haver Pivoted'!GT82</f>
        <v>1643.2</v>
      </c>
      <c r="J142" s="650">
        <f>'Haver Pivoted'!GU82</f>
        <v>1475.6</v>
      </c>
      <c r="K142" s="650">
        <f>'Haver Pivoted'!GV82</f>
        <v>1751.6</v>
      </c>
      <c r="L142" s="650">
        <f>'Haver Pivoted'!GW82</f>
        <v>1702</v>
      </c>
      <c r="M142" s="650">
        <f>'Haver Pivoted'!GX82</f>
        <v>1655</v>
      </c>
      <c r="N142" s="650">
        <f>'Haver Pivoted'!GY82</f>
        <v>1776.9</v>
      </c>
      <c r="O142" s="650">
        <f>'Haver Pivoted'!GZ82</f>
        <v>1792.7</v>
      </c>
      <c r="P142" s="650">
        <f>'Haver Pivoted'!HA82</f>
        <v>1789.8</v>
      </c>
      <c r="Q142" s="650">
        <f>'Haver Pivoted'!HB82</f>
        <v>1811.4</v>
      </c>
      <c r="R142" s="650">
        <f>'Haver Pivoted'!HC82</f>
        <v>1835.4</v>
      </c>
      <c r="S142" s="713">
        <f>'Haver Pivoted'!HD82</f>
        <v>1863.5</v>
      </c>
      <c r="T142" s="1449">
        <f>'Haver Pivoted'!HE82</f>
        <v>1882.9</v>
      </c>
      <c r="U142" s="727">
        <f>'Haver Pivoted'!HF82</f>
        <v>1887.4</v>
      </c>
      <c r="V142" s="243"/>
      <c r="W142" s="243"/>
      <c r="X142" s="243"/>
      <c r="Y142" s="243"/>
      <c r="Z142" s="243"/>
      <c r="AA142" s="243"/>
      <c r="AB142" s="243"/>
      <c r="AC142" s="241"/>
    </row>
    <row r="143" spans="4:32" x14ac:dyDescent="0.3">
      <c r="D143" s="790" t="s">
        <v>519</v>
      </c>
      <c r="E143" s="163" t="s">
        <v>794</v>
      </c>
      <c r="F143" s="711">
        <f>'Haver Pivoted'!GQ83</f>
        <v>696.1</v>
      </c>
      <c r="G143" s="650">
        <f>'Haver Pivoted'!GR83</f>
        <v>699.1</v>
      </c>
      <c r="H143" s="650">
        <f>'Haver Pivoted'!GS83</f>
        <v>708</v>
      </c>
      <c r="I143" s="650">
        <f>'Haver Pivoted'!GT83</f>
        <v>722.6</v>
      </c>
      <c r="J143" s="650">
        <f>'Haver Pivoted'!GU83</f>
        <v>717.9</v>
      </c>
      <c r="K143" s="650">
        <f>'Haver Pivoted'!GV83</f>
        <v>722.6</v>
      </c>
      <c r="L143" s="650">
        <f>'Haver Pivoted'!GW83</f>
        <v>716.3</v>
      </c>
      <c r="M143" s="650">
        <f>'Haver Pivoted'!GX83</f>
        <v>719.4</v>
      </c>
      <c r="N143" s="650">
        <f>'Haver Pivoted'!GY83</f>
        <v>713.5</v>
      </c>
      <c r="O143" s="650">
        <f>'Haver Pivoted'!GZ83</f>
        <v>722.7</v>
      </c>
      <c r="P143" s="650">
        <f>'Haver Pivoted'!HA83</f>
        <v>739.6</v>
      </c>
      <c r="Q143" s="650">
        <f>'Haver Pivoted'!HB83</f>
        <v>744.9</v>
      </c>
      <c r="R143" s="650">
        <f>'Haver Pivoted'!HC83</f>
        <v>775.9</v>
      </c>
      <c r="S143" s="713">
        <f>'Haver Pivoted'!HD83</f>
        <v>794.9</v>
      </c>
      <c r="T143" s="1449">
        <f>'Haver Pivoted'!HE83</f>
        <v>811.8</v>
      </c>
      <c r="U143" s="727">
        <f>'Haver Pivoted'!HF83</f>
        <v>841.7</v>
      </c>
      <c r="V143" s="243"/>
      <c r="W143" s="243"/>
      <c r="X143" s="243"/>
      <c r="Y143" s="243"/>
      <c r="Z143" s="243"/>
      <c r="AA143" s="243"/>
      <c r="AB143" s="243"/>
      <c r="AC143" s="241"/>
    </row>
    <row r="144" spans="4:32" x14ac:dyDescent="0.3">
      <c r="D144" s="790" t="s">
        <v>520</v>
      </c>
      <c r="E144" s="163" t="s">
        <v>790</v>
      </c>
      <c r="F144" s="711">
        <f>'Haver Pivoted'!GQ84</f>
        <v>3121.8</v>
      </c>
      <c r="G144" s="650">
        <f>'Haver Pivoted'!GR84</f>
        <v>3148.6</v>
      </c>
      <c r="H144" s="650">
        <f>'Haver Pivoted'!GS84</f>
        <v>3158</v>
      </c>
      <c r="I144" s="650">
        <f>'Haver Pivoted'!GT84</f>
        <v>3144.3</v>
      </c>
      <c r="J144" s="650">
        <f>'Haver Pivoted'!GU84</f>
        <v>3076.3</v>
      </c>
      <c r="K144" s="650">
        <f>'Haver Pivoted'!GV84</f>
        <v>3043.8</v>
      </c>
      <c r="L144" s="650">
        <f>'Haver Pivoted'!GW84</f>
        <v>3117.4</v>
      </c>
      <c r="M144" s="650">
        <f>'Haver Pivoted'!GX84</f>
        <v>3132</v>
      </c>
      <c r="N144" s="650">
        <f>'Haver Pivoted'!GY84</f>
        <v>3196.3</v>
      </c>
      <c r="O144" s="650">
        <f>'Haver Pivoted'!GZ84</f>
        <v>3222.9</v>
      </c>
      <c r="P144" s="650">
        <f>'Haver Pivoted'!HA84</f>
        <v>3258.5</v>
      </c>
      <c r="Q144" s="650">
        <f>'Haver Pivoted'!HB84</f>
        <v>3269.9</v>
      </c>
      <c r="R144" s="650">
        <f>'Haver Pivoted'!HC84</f>
        <v>3323</v>
      </c>
      <c r="S144" s="713">
        <f>'Haver Pivoted'!HD84</f>
        <v>3358.8</v>
      </c>
      <c r="T144" s="1449">
        <f>'Haver Pivoted'!HE84</f>
        <v>3424</v>
      </c>
      <c r="U144" s="727">
        <f>'Haver Pivoted'!HF84</f>
        <v>3454.1</v>
      </c>
      <c r="V144" s="243"/>
      <c r="W144" s="243"/>
      <c r="X144" s="243"/>
      <c r="Y144" s="243"/>
      <c r="Z144" s="243"/>
      <c r="AA144" s="243"/>
      <c r="AB144" s="243"/>
      <c r="AC144" s="241"/>
    </row>
    <row r="145" spans="4:29" x14ac:dyDescent="0.3">
      <c r="D145" s="751" t="s">
        <v>506</v>
      </c>
      <c r="F145" s="711">
        <f>F141</f>
        <v>9284.7000000000007</v>
      </c>
      <c r="G145" s="650">
        <f t="shared" ref="G145:O145" si="41">G141</f>
        <v>9340.5</v>
      </c>
      <c r="H145" s="650">
        <f t="shared" si="41"/>
        <v>9487</v>
      </c>
      <c r="I145" s="650">
        <f t="shared" si="41"/>
        <v>9634.1</v>
      </c>
      <c r="J145" s="650">
        <f t="shared" si="41"/>
        <v>9002.7000000000007</v>
      </c>
      <c r="K145" s="650">
        <f t="shared" si="41"/>
        <v>9432.5</v>
      </c>
      <c r="L145" s="650">
        <f t="shared" si="41"/>
        <v>9791.5</v>
      </c>
      <c r="M145" s="650">
        <f t="shared" si="41"/>
        <v>9861.1</v>
      </c>
      <c r="N145" s="650">
        <f t="shared" si="41"/>
        <v>10148.700000000001</v>
      </c>
      <c r="O145" s="650">
        <f t="shared" si="41"/>
        <v>10433.6</v>
      </c>
      <c r="P145" s="650">
        <f t="shared" ref="P145:T145" si="42">P141</f>
        <v>10759.7</v>
      </c>
      <c r="Q145" s="650">
        <f t="shared" si="42"/>
        <v>10939.3</v>
      </c>
      <c r="R145" s="650">
        <f t="shared" si="42"/>
        <v>11071.9</v>
      </c>
      <c r="S145" s="713">
        <f t="shared" si="42"/>
        <v>11374.7</v>
      </c>
      <c r="T145" s="1449">
        <f t="shared" si="42"/>
        <v>11563.1</v>
      </c>
      <c r="U145" s="727">
        <f t="shared" ref="U145" si="43">U141</f>
        <v>11742.5</v>
      </c>
      <c r="V145" s="243"/>
      <c r="W145" s="243"/>
      <c r="X145" s="243"/>
      <c r="Y145" s="243"/>
      <c r="Z145" s="243"/>
      <c r="AA145" s="243"/>
      <c r="AB145" s="243"/>
      <c r="AC145" s="241"/>
    </row>
    <row r="146" spans="4:29" x14ac:dyDescent="0.3">
      <c r="D146" s="751" t="s">
        <v>507</v>
      </c>
      <c r="E146" s="163" t="s">
        <v>524</v>
      </c>
      <c r="F146" s="711">
        <f>'Haver Pivoted'!GQ5</f>
        <v>14323.7</v>
      </c>
      <c r="G146" s="650">
        <f>'Haver Pivoted'!GR5</f>
        <v>14482.2</v>
      </c>
      <c r="H146" s="650">
        <f>'Haver Pivoted'!GS5</f>
        <v>14619</v>
      </c>
      <c r="I146" s="650">
        <f>'Haver Pivoted'!GT5</f>
        <v>14440.2</v>
      </c>
      <c r="J146" s="650">
        <f>'Haver Pivoted'!GU5</f>
        <v>13049.8</v>
      </c>
      <c r="K146" s="650">
        <f>'Haver Pivoted'!GV5</f>
        <v>14388.7</v>
      </c>
      <c r="L146" s="650">
        <f>'Haver Pivoted'!GW5</f>
        <v>14586</v>
      </c>
      <c r="M146" s="650">
        <f>'Haver Pivoted'!GX5</f>
        <v>15131.5</v>
      </c>
      <c r="N146" s="650">
        <f>'Haver Pivoted'!GY5</f>
        <v>15813.5</v>
      </c>
      <c r="O146" s="650">
        <f>'Haver Pivoted'!GZ5</f>
        <v>16147.3</v>
      </c>
      <c r="P146" s="650">
        <f>'Haver Pivoted'!HA5</f>
        <v>16518</v>
      </c>
      <c r="Q146" s="650">
        <f>'Haver Pivoted'!HB5</f>
        <v>16874.8</v>
      </c>
      <c r="R146" s="650">
        <f>'Haver Pivoted'!HC5</f>
        <v>17261.3</v>
      </c>
      <c r="S146" s="713">
        <f>'Haver Pivoted'!HD5</f>
        <v>17542.7</v>
      </c>
      <c r="T146" s="1449">
        <f>'Haver Pivoted'!HE5</f>
        <v>17749.900000000001</v>
      </c>
      <c r="U146" s="727">
        <f>'Haver Pivoted'!HF5</f>
        <v>18095.3</v>
      </c>
      <c r="V146" s="243"/>
      <c r="W146" s="243"/>
      <c r="X146" s="243"/>
      <c r="Y146" s="243"/>
      <c r="Z146" s="243"/>
      <c r="AA146" s="243"/>
      <c r="AB146" s="243"/>
      <c r="AC146" s="241"/>
    </row>
    <row r="147" spans="4:29" x14ac:dyDescent="0.3">
      <c r="D147" s="751" t="s">
        <v>521</v>
      </c>
      <c r="E147" s="163" t="s">
        <v>789</v>
      </c>
      <c r="F147" s="711">
        <f>'Haver Pivoted'!GQ85</f>
        <v>1872</v>
      </c>
      <c r="G147" s="650">
        <f>'Haver Pivoted'!GR85</f>
        <v>1882</v>
      </c>
      <c r="H147" s="650">
        <f>'Haver Pivoted'!GS85</f>
        <v>1933.8</v>
      </c>
      <c r="I147" s="650">
        <f>'Haver Pivoted'!GT85</f>
        <v>1736.3</v>
      </c>
      <c r="J147" s="650">
        <f>'Haver Pivoted'!GU85</f>
        <v>1597.1</v>
      </c>
      <c r="K147" s="650">
        <f>'Haver Pivoted'!GV85</f>
        <v>2041.1</v>
      </c>
      <c r="L147" s="650">
        <f>'Haver Pivoted'!GW85</f>
        <v>1947.4</v>
      </c>
      <c r="M147" s="650">
        <f>'Haver Pivoted'!GX85</f>
        <v>2152.8000000000002</v>
      </c>
      <c r="N147" s="650">
        <f>'Haver Pivoted'!GY85</f>
        <v>2407.1</v>
      </c>
      <c r="O147" s="650">
        <f>'Haver Pivoted'!GZ85</f>
        <v>2431.8000000000002</v>
      </c>
      <c r="P147" s="650">
        <f>'Haver Pivoted'!HA85</f>
        <v>2443.1999999999998</v>
      </c>
      <c r="Q147" s="650">
        <f>'Haver Pivoted'!HB85</f>
        <v>2432.6999999999998</v>
      </c>
      <c r="R147" s="713">
        <f>'Haver Pivoted'!HC85</f>
        <v>2538.9</v>
      </c>
      <c r="S147" s="713">
        <f>'Haver Pivoted'!HD85</f>
        <v>2553.1999999999998</v>
      </c>
      <c r="T147" s="713">
        <f>'Haver Pivoted'!HE85</f>
        <v>2471.3000000000002</v>
      </c>
      <c r="U147" s="1450"/>
      <c r="V147" s="243"/>
      <c r="W147" s="243"/>
      <c r="X147" s="243"/>
      <c r="Y147" s="243"/>
      <c r="Z147" s="243"/>
      <c r="AA147" s="243"/>
      <c r="AB147" s="243"/>
      <c r="AC147" s="241"/>
    </row>
    <row r="148" spans="4:29" x14ac:dyDescent="0.3">
      <c r="D148" s="641" t="s">
        <v>522</v>
      </c>
      <c r="F148" s="196"/>
      <c r="G148" s="159"/>
      <c r="H148" s="159"/>
      <c r="I148" s="159"/>
      <c r="J148" s="159"/>
      <c r="K148" s="159"/>
      <c r="L148" s="159"/>
      <c r="M148" s="159"/>
      <c r="N148" s="159"/>
      <c r="O148" s="159"/>
      <c r="P148" s="159"/>
      <c r="Q148" s="159"/>
      <c r="R148" s="159"/>
      <c r="S148" s="159"/>
      <c r="T148" s="1222"/>
      <c r="U148" s="1174"/>
      <c r="V148" s="1174"/>
      <c r="W148" s="1174"/>
      <c r="X148" s="1174"/>
      <c r="Y148" s="1174"/>
      <c r="Z148" s="1174"/>
      <c r="AA148" s="1174"/>
      <c r="AB148" s="1174"/>
      <c r="AC148" s="1280"/>
    </row>
    <row r="149" spans="4:29" x14ac:dyDescent="0.3">
      <c r="D149" s="697" t="s">
        <v>489</v>
      </c>
      <c r="F149" s="731">
        <f t="shared" ref="F149:U149" si="44">F25/F140</f>
        <v>3.6040823556663798E-2</v>
      </c>
      <c r="G149" s="670">
        <f t="shared" si="44"/>
        <v>3.3451548620258724E-2</v>
      </c>
      <c r="H149" s="670">
        <f t="shared" si="44"/>
        <v>3.2672890709981382E-2</v>
      </c>
      <c r="I149" s="670">
        <f t="shared" si="44"/>
        <v>3.2850860395398897E-2</v>
      </c>
      <c r="J149" s="670">
        <f t="shared" si="44"/>
        <v>3.419162725521107E-2</v>
      </c>
      <c r="K149" s="670">
        <f t="shared" si="44"/>
        <v>3.4473763419283633E-2</v>
      </c>
      <c r="L149" s="670">
        <f t="shared" si="44"/>
        <v>3.4115820241139933E-2</v>
      </c>
      <c r="M149" s="670">
        <f t="shared" si="44"/>
        <v>3.5373352855051249E-2</v>
      </c>
      <c r="N149" s="670">
        <f t="shared" si="44"/>
        <v>3.5780592848933403E-2</v>
      </c>
      <c r="O149" s="670">
        <f t="shared" si="44"/>
        <v>3.3044973070573025E-2</v>
      </c>
      <c r="P149" s="670">
        <f t="shared" si="44"/>
        <v>3.449442819502526E-2</v>
      </c>
      <c r="Q149" s="670">
        <f t="shared" si="44"/>
        <v>3.4672392711222445E-2</v>
      </c>
      <c r="R149" s="670">
        <f t="shared" si="44"/>
        <v>3.4681469111265309E-2</v>
      </c>
      <c r="S149" s="715">
        <f t="shared" si="44"/>
        <v>3.4199828655868528E-2</v>
      </c>
      <c r="T149" s="1448">
        <f t="shared" si="44"/>
        <v>3.2926512006696156E-2</v>
      </c>
      <c r="U149" s="726">
        <f t="shared" si="44"/>
        <v>2.9086730225318953E-2</v>
      </c>
      <c r="V149" s="671">
        <f t="shared" ref="V149:AC151" si="45">U149</f>
        <v>2.9086730225318953E-2</v>
      </c>
      <c r="W149" s="671">
        <f t="shared" si="45"/>
        <v>2.9086730225318953E-2</v>
      </c>
      <c r="X149" s="671">
        <f>W149</f>
        <v>2.9086730225318953E-2</v>
      </c>
      <c r="Y149" s="671">
        <f t="shared" si="45"/>
        <v>2.9086730225318953E-2</v>
      </c>
      <c r="Z149" s="671">
        <f t="shared" si="45"/>
        <v>2.9086730225318953E-2</v>
      </c>
      <c r="AA149" s="671">
        <f t="shared" si="45"/>
        <v>2.9086730225318953E-2</v>
      </c>
      <c r="AB149" s="671">
        <f t="shared" si="45"/>
        <v>2.9086730225318953E-2</v>
      </c>
      <c r="AC149" s="722">
        <f t="shared" si="45"/>
        <v>2.9086730225318953E-2</v>
      </c>
    </row>
    <row r="150" spans="4:29" x14ac:dyDescent="0.3">
      <c r="D150" s="697" t="s">
        <v>486</v>
      </c>
      <c r="F150" s="731">
        <f t="shared" ref="F150:U150" si="46">F26/F145</f>
        <v>2.2402447036522452E-3</v>
      </c>
      <c r="G150" s="670">
        <f t="shared" si="46"/>
        <v>2.2161554520635941E-3</v>
      </c>
      <c r="H150" s="670">
        <f t="shared" si="46"/>
        <v>2.1819331717086539E-3</v>
      </c>
      <c r="I150" s="670">
        <f t="shared" si="46"/>
        <v>2.1486179300609291E-3</v>
      </c>
      <c r="J150" s="670">
        <f t="shared" si="46"/>
        <v>2.1993401979406176E-3</v>
      </c>
      <c r="K150" s="670">
        <f t="shared" si="46"/>
        <v>2.1733368672144184E-3</v>
      </c>
      <c r="L150" s="670">
        <f t="shared" si="46"/>
        <v>2.1753561762753409E-3</v>
      </c>
      <c r="M150" s="670">
        <f t="shared" si="46"/>
        <v>2.2309884292827371E-3</v>
      </c>
      <c r="N150" s="670">
        <f t="shared" si="46"/>
        <v>2.2367396809443571E-3</v>
      </c>
      <c r="O150" s="670">
        <f t="shared" si="46"/>
        <v>2.2235853396718294E-3</v>
      </c>
      <c r="P150" s="670">
        <f t="shared" si="46"/>
        <v>2.1747818247720659E-3</v>
      </c>
      <c r="Q150" s="670">
        <f t="shared" si="46"/>
        <v>2.1390765405464702E-3</v>
      </c>
      <c r="R150" s="670">
        <f t="shared" si="46"/>
        <v>2.1315221416378402E-3</v>
      </c>
      <c r="S150" s="715">
        <f t="shared" si="46"/>
        <v>2.1011543161577884E-3</v>
      </c>
      <c r="T150" s="1448">
        <f t="shared" si="46"/>
        <v>2.1188089699129124E-3</v>
      </c>
      <c r="U150" s="726">
        <f t="shared" si="46"/>
        <v>2.1630828188205237E-3</v>
      </c>
      <c r="V150" s="671">
        <f t="shared" si="45"/>
        <v>2.1630828188205237E-3</v>
      </c>
      <c r="W150" s="671">
        <f t="shared" si="45"/>
        <v>2.1630828188205237E-3</v>
      </c>
      <c r="X150" s="671">
        <f>W150</f>
        <v>2.1630828188205237E-3</v>
      </c>
      <c r="Y150" s="671">
        <f t="shared" si="45"/>
        <v>2.1630828188205237E-3</v>
      </c>
      <c r="Z150" s="671">
        <f t="shared" si="45"/>
        <v>2.1630828188205237E-3</v>
      </c>
      <c r="AA150" s="671">
        <f t="shared" si="45"/>
        <v>2.1630828188205237E-3</v>
      </c>
      <c r="AB150" s="671">
        <f t="shared" si="45"/>
        <v>2.1630828188205237E-3</v>
      </c>
      <c r="AC150" s="722">
        <f t="shared" si="45"/>
        <v>2.1630828188205237E-3</v>
      </c>
    </row>
    <row r="151" spans="4:29" x14ac:dyDescent="0.3">
      <c r="D151" s="697" t="s">
        <v>487</v>
      </c>
      <c r="F151" s="731">
        <f t="shared" ref="F151:U151" si="47">F27/F146</f>
        <v>9.3886356178920244E-2</v>
      </c>
      <c r="G151" s="670">
        <f t="shared" si="47"/>
        <v>9.4826752841419115E-2</v>
      </c>
      <c r="H151" s="670">
        <f t="shared" si="47"/>
        <v>9.3898351460428214E-2</v>
      </c>
      <c r="I151" s="670">
        <f t="shared" si="47"/>
        <v>9.5518067616792005E-2</v>
      </c>
      <c r="J151" s="670">
        <f t="shared" si="47"/>
        <v>9.9143281889377613E-2</v>
      </c>
      <c r="K151" s="670">
        <f t="shared" si="47"/>
        <v>9.7117877223098684E-2</v>
      </c>
      <c r="L151" s="670">
        <f t="shared" si="47"/>
        <v>9.6764020293432063E-2</v>
      </c>
      <c r="M151" s="670">
        <f t="shared" si="47"/>
        <v>9.4306578990846907E-2</v>
      </c>
      <c r="N151" s="670">
        <f t="shared" si="47"/>
        <v>9.4817719037531223E-2</v>
      </c>
      <c r="O151" s="670">
        <f t="shared" si="47"/>
        <v>9.309296291020791E-2</v>
      </c>
      <c r="P151" s="670">
        <f t="shared" si="47"/>
        <v>9.236590386245308E-2</v>
      </c>
      <c r="Q151" s="670">
        <f t="shared" si="47"/>
        <v>9.1716642567615622E-2</v>
      </c>
      <c r="R151" s="670">
        <f t="shared" si="47"/>
        <v>9.072897174604462E-2</v>
      </c>
      <c r="S151" s="715">
        <f t="shared" si="47"/>
        <v>9.0197062025799898E-2</v>
      </c>
      <c r="T151" s="1448">
        <f t="shared" si="47"/>
        <v>8.9386419078417337E-2</v>
      </c>
      <c r="U151" s="726">
        <f t="shared" si="47"/>
        <v>8.8608644233585526E-2</v>
      </c>
      <c r="V151" s="671">
        <f t="shared" si="45"/>
        <v>8.8608644233585526E-2</v>
      </c>
      <c r="W151" s="671">
        <f t="shared" si="45"/>
        <v>8.8608644233585526E-2</v>
      </c>
      <c r="X151" s="671">
        <f>W151</f>
        <v>8.8608644233585526E-2</v>
      </c>
      <c r="Y151" s="671">
        <f t="shared" si="45"/>
        <v>8.8608644233585526E-2</v>
      </c>
      <c r="Z151" s="671">
        <f t="shared" si="45"/>
        <v>8.8608644233585526E-2</v>
      </c>
      <c r="AA151" s="671">
        <f t="shared" si="45"/>
        <v>8.8608644233585526E-2</v>
      </c>
      <c r="AB151" s="671">
        <f t="shared" si="45"/>
        <v>8.8608644233585526E-2</v>
      </c>
      <c r="AC151" s="722">
        <f t="shared" si="45"/>
        <v>8.8608644233585526E-2</v>
      </c>
    </row>
    <row r="152" spans="4:29" x14ac:dyDescent="0.3">
      <c r="D152" s="701" t="s">
        <v>523</v>
      </c>
      <c r="E152" s="230"/>
      <c r="F152" s="707">
        <f t="shared" ref="F152:T152" si="48">F28/F147</f>
        <v>3.9797008547008544E-2</v>
      </c>
      <c r="G152" s="708">
        <f t="shared" si="48"/>
        <v>3.9001062699256114E-2</v>
      </c>
      <c r="H152" s="708">
        <f t="shared" si="48"/>
        <v>3.728410383700486E-2</v>
      </c>
      <c r="I152" s="708">
        <f t="shared" si="48"/>
        <v>3.8990957783793127E-2</v>
      </c>
      <c r="J152" s="708">
        <f t="shared" si="48"/>
        <v>4.0698766514307184E-2</v>
      </c>
      <c r="K152" s="708">
        <f t="shared" si="48"/>
        <v>3.9635490666797321E-2</v>
      </c>
      <c r="L152" s="708">
        <f t="shared" si="48"/>
        <v>4.3545239806922049E-2</v>
      </c>
      <c r="M152" s="708">
        <f t="shared" si="48"/>
        <v>4.0876997398736528E-2</v>
      </c>
      <c r="N152" s="708">
        <f t="shared" si="48"/>
        <v>3.7514021021145774E-2</v>
      </c>
      <c r="O152" s="708">
        <f t="shared" si="48"/>
        <v>3.8818981824163171E-2</v>
      </c>
      <c r="P152" s="708">
        <f t="shared" si="48"/>
        <v>4.52275703994761E-2</v>
      </c>
      <c r="Q152" s="708">
        <f t="shared" si="48"/>
        <v>6.8195831791836234E-2</v>
      </c>
      <c r="R152" s="728">
        <f t="shared" si="48"/>
        <v>4.3247075505140016E-2</v>
      </c>
      <c r="S152" s="728">
        <f t="shared" si="48"/>
        <v>3.9440701864327125E-2</v>
      </c>
      <c r="T152" s="1447">
        <f t="shared" si="48"/>
        <v>4.7383967952089989E-2</v>
      </c>
      <c r="U152" s="723">
        <f t="shared" ref="U152:AC152" si="49">T152</f>
        <v>4.7383967952089989E-2</v>
      </c>
      <c r="V152" s="723">
        <f t="shared" si="49"/>
        <v>4.7383967952089989E-2</v>
      </c>
      <c r="W152" s="723">
        <f t="shared" si="49"/>
        <v>4.7383967952089989E-2</v>
      </c>
      <c r="X152" s="723">
        <f>W152</f>
        <v>4.7383967952089989E-2</v>
      </c>
      <c r="Y152" s="723">
        <f t="shared" si="49"/>
        <v>4.7383967952089989E-2</v>
      </c>
      <c r="Z152" s="723">
        <f t="shared" si="49"/>
        <v>4.7383967952089989E-2</v>
      </c>
      <c r="AA152" s="723">
        <f t="shared" si="49"/>
        <v>4.7383967952089989E-2</v>
      </c>
      <c r="AB152" s="723">
        <f t="shared" si="49"/>
        <v>4.7383967952089989E-2</v>
      </c>
      <c r="AC152" s="724">
        <f t="shared" si="49"/>
        <v>4.7383967952089989E-2</v>
      </c>
    </row>
    <row r="156" spans="4:29" x14ac:dyDescent="0.3">
      <c r="D156" s="1727" t="s">
        <v>1718</v>
      </c>
      <c r="E156" s="1727"/>
      <c r="F156" s="1727"/>
      <c r="G156" s="1727"/>
      <c r="H156" s="1727"/>
      <c r="I156" s="1727"/>
      <c r="J156" s="1727"/>
      <c r="K156" s="1727"/>
      <c r="L156" s="1727"/>
      <c r="M156" s="1727"/>
      <c r="N156" s="1727"/>
      <c r="O156" s="1727"/>
      <c r="P156" s="1727"/>
      <c r="Q156" s="1727"/>
      <c r="R156" s="1727"/>
      <c r="S156" s="1727"/>
      <c r="T156" s="1727"/>
      <c r="U156" s="1727"/>
      <c r="V156" s="1727"/>
      <c r="W156" s="1727"/>
      <c r="X156" s="1727"/>
      <c r="Y156" s="1727"/>
      <c r="Z156" s="1727"/>
      <c r="AA156" s="1727"/>
      <c r="AB156" s="1727"/>
      <c r="AC156" s="1727"/>
    </row>
    <row r="157" spans="4:29" x14ac:dyDescent="0.3">
      <c r="D157" s="642" t="s">
        <v>1711</v>
      </c>
      <c r="E157" s="78"/>
      <c r="F157" s="716"/>
      <c r="G157" s="716"/>
      <c r="H157" s="716"/>
      <c r="I157" s="716"/>
      <c r="J157" s="716"/>
      <c r="K157" s="716"/>
      <c r="L157" s="716"/>
      <c r="M157" s="716"/>
      <c r="N157" s="716"/>
      <c r="O157" s="716"/>
      <c r="P157" s="716"/>
      <c r="Q157" s="716"/>
      <c r="R157" s="716"/>
      <c r="S157" s="606"/>
      <c r="T157" s="716"/>
      <c r="U157" s="151"/>
      <c r="V157" s="151"/>
      <c r="W157" s="151"/>
      <c r="X157" s="151"/>
      <c r="Y157" s="151"/>
      <c r="Z157" s="151"/>
      <c r="AA157" s="151"/>
      <c r="AB157" s="151"/>
      <c r="AC157" s="152"/>
    </row>
    <row r="158" spans="4:29" x14ac:dyDescent="0.3">
      <c r="D158" s="1451" t="s">
        <v>517</v>
      </c>
      <c r="E158" s="1452"/>
      <c r="F158" s="1453"/>
      <c r="G158" s="1453">
        <f>(G140/F140)^4-1</f>
        <v>3.4698380469732282E-2</v>
      </c>
      <c r="H158" s="1453">
        <f t="shared" ref="H158:S158" si="50">(H140/G140)^4-1</f>
        <v>4.9923760445010679E-2</v>
      </c>
      <c r="I158" s="1453">
        <f t="shared" si="50"/>
        <v>4.3205695538489852E-2</v>
      </c>
      <c r="J158" s="1453">
        <f t="shared" si="50"/>
        <v>-0.21111288829196628</v>
      </c>
      <c r="K158" s="1453">
        <f t="shared" si="50"/>
        <v>0.2039893976975653</v>
      </c>
      <c r="L158" s="1453">
        <f t="shared" si="50"/>
        <v>0.10465949131480801</v>
      </c>
      <c r="M158" s="1453">
        <f t="shared" si="50"/>
        <v>1.0558802843273263E-2</v>
      </c>
      <c r="N158" s="1453">
        <f t="shared" si="50"/>
        <v>0.12746550927768152</v>
      </c>
      <c r="O158" s="1453">
        <f t="shared" si="50"/>
        <v>8.7747356366950635E-2</v>
      </c>
      <c r="P158" s="1453">
        <f t="shared" si="50"/>
        <v>9.6215323061816349E-2</v>
      </c>
      <c r="Q158" s="1453">
        <f t="shared" si="50"/>
        <v>5.3721843023527782E-2</v>
      </c>
      <c r="R158" s="1453">
        <f t="shared" si="50"/>
        <v>5.8676051825151676E-2</v>
      </c>
      <c r="S158" s="1453">
        <f t="shared" si="50"/>
        <v>9.3853068788779082E-2</v>
      </c>
      <c r="T158" s="1454"/>
      <c r="U158" s="243"/>
      <c r="V158" s="243"/>
      <c r="W158" s="243"/>
      <c r="X158" s="243"/>
      <c r="Y158" s="243"/>
      <c r="Z158" s="243"/>
      <c r="AA158" s="243"/>
      <c r="AB158" s="243"/>
      <c r="AC158" s="241"/>
    </row>
    <row r="159" spans="4:29" x14ac:dyDescent="0.3">
      <c r="D159" s="1455" t="s">
        <v>791</v>
      </c>
      <c r="E159" s="1456"/>
      <c r="F159" s="1453"/>
      <c r="G159" s="1453">
        <f t="shared" ref="G159:S159" si="51">(G141/F141)^4-1</f>
        <v>2.4257130985616993E-2</v>
      </c>
      <c r="H159" s="1453">
        <f t="shared" si="51"/>
        <v>6.4229034399477136E-2</v>
      </c>
      <c r="I159" s="1453">
        <f t="shared" si="51"/>
        <v>6.3479192755366398E-2</v>
      </c>
      <c r="J159" s="1453">
        <f t="shared" si="51"/>
        <v>-0.23748829732952048</v>
      </c>
      <c r="K159" s="1453">
        <f t="shared" si="51"/>
        <v>0.20508073180198716</v>
      </c>
      <c r="L159" s="1453">
        <f t="shared" si="51"/>
        <v>0.1611535586248285</v>
      </c>
      <c r="M159" s="1453">
        <f t="shared" si="51"/>
        <v>2.873742311872407E-2</v>
      </c>
      <c r="N159" s="1453">
        <f t="shared" si="51"/>
        <v>0.12186398788851394</v>
      </c>
      <c r="O159" s="1453">
        <f t="shared" si="51"/>
        <v>0.11710776964011727</v>
      </c>
      <c r="P159" s="1453">
        <f t="shared" si="51"/>
        <v>0.13100342179485458</v>
      </c>
      <c r="Q159" s="1453">
        <f t="shared" si="51"/>
        <v>6.8458061444058416E-2</v>
      </c>
      <c r="R159" s="1453">
        <f t="shared" si="51"/>
        <v>4.9374455409313622E-2</v>
      </c>
      <c r="S159" s="1453">
        <f t="shared" si="51"/>
        <v>0.11396407828544985</v>
      </c>
      <c r="T159" s="1454"/>
      <c r="U159" s="243"/>
      <c r="V159" s="243"/>
      <c r="W159" s="243"/>
      <c r="X159" s="243"/>
      <c r="Y159" s="243"/>
      <c r="Z159" s="243"/>
      <c r="AA159" s="243"/>
      <c r="AB159" s="243"/>
      <c r="AC159" s="241"/>
    </row>
    <row r="160" spans="4:29" x14ac:dyDescent="0.3">
      <c r="D160" s="1455" t="s">
        <v>518</v>
      </c>
      <c r="E160" s="1456"/>
      <c r="F160" s="1453"/>
      <c r="G160" s="1453">
        <f t="shared" ref="G160:S160" si="52">(G142/F142)^4-1</f>
        <v>0.10578312944398705</v>
      </c>
      <c r="H160" s="1453">
        <f t="shared" si="52"/>
        <v>4.1744934553236801E-2</v>
      </c>
      <c r="I160" s="1453">
        <f t="shared" si="52"/>
        <v>2.7986793488743444E-2</v>
      </c>
      <c r="J160" s="1453">
        <f t="shared" si="52"/>
        <v>-0.34970130690663714</v>
      </c>
      <c r="K160" s="1453">
        <f t="shared" si="52"/>
        <v>0.98547836855144699</v>
      </c>
      <c r="L160" s="1453">
        <f t="shared" si="52"/>
        <v>-0.1085469464882084</v>
      </c>
      <c r="M160" s="1453">
        <f t="shared" si="52"/>
        <v>-0.10596654721724863</v>
      </c>
      <c r="N160" s="1453">
        <f t="shared" si="52"/>
        <v>0.32880103280025574</v>
      </c>
      <c r="O160" s="1453">
        <f t="shared" si="52"/>
        <v>3.6044774195732154E-2</v>
      </c>
      <c r="P160" s="1453">
        <f t="shared" si="52"/>
        <v>-6.4550024300153996E-3</v>
      </c>
      <c r="Q160" s="1453">
        <f t="shared" si="52"/>
        <v>4.9154478043828886E-2</v>
      </c>
      <c r="R160" s="1453">
        <f t="shared" si="52"/>
        <v>5.4060298595324685E-2</v>
      </c>
      <c r="S160" s="1453">
        <f t="shared" si="52"/>
        <v>6.2660845264692622E-2</v>
      </c>
      <c r="T160" s="1454"/>
      <c r="U160" s="243"/>
      <c r="V160" s="243"/>
      <c r="W160" s="243"/>
      <c r="X160" s="243"/>
      <c r="Y160" s="243"/>
      <c r="Z160" s="243"/>
      <c r="AA160" s="243"/>
      <c r="AB160" s="243"/>
      <c r="AC160" s="241"/>
    </row>
    <row r="161" spans="4:29" x14ac:dyDescent="0.3">
      <c r="D161" s="1455" t="s">
        <v>519</v>
      </c>
      <c r="E161" s="1456"/>
      <c r="F161" s="1453"/>
      <c r="G161" s="1453">
        <f t="shared" ref="G161:S161" si="53">(G143/F143)^4-1</f>
        <v>1.7350665401546284E-2</v>
      </c>
      <c r="H161" s="1453">
        <f t="shared" si="53"/>
        <v>5.1903311323329371E-2</v>
      </c>
      <c r="I161" s="1453">
        <f t="shared" si="53"/>
        <v>8.5072603128263369E-2</v>
      </c>
      <c r="J161" s="1453">
        <f t="shared" si="53"/>
        <v>-2.5764424405961162E-2</v>
      </c>
      <c r="K161" s="1453">
        <f t="shared" si="53"/>
        <v>2.6445784830072538E-2</v>
      </c>
      <c r="L161" s="1453">
        <f t="shared" si="53"/>
        <v>-3.4420635784840226E-2</v>
      </c>
      <c r="M161" s="1453">
        <f t="shared" si="53"/>
        <v>1.7423885940878847E-2</v>
      </c>
      <c r="N161" s="1453">
        <f t="shared" si="53"/>
        <v>-3.2403751505907019E-2</v>
      </c>
      <c r="O161" s="1453">
        <f t="shared" si="53"/>
        <v>5.2582897021147934E-2</v>
      </c>
      <c r="P161" s="1453">
        <f t="shared" si="53"/>
        <v>9.6870587526498575E-2</v>
      </c>
      <c r="Q161" s="1453">
        <f t="shared" si="53"/>
        <v>2.8973729785401803E-2</v>
      </c>
      <c r="R161" s="1453">
        <f t="shared" si="53"/>
        <v>0.17714811192574409</v>
      </c>
      <c r="S161" s="1453">
        <f t="shared" si="53"/>
        <v>0.101607744588458</v>
      </c>
      <c r="T161" s="1454"/>
      <c r="U161" s="243"/>
      <c r="V161" s="243"/>
      <c r="W161" s="243"/>
      <c r="X161" s="243"/>
      <c r="Y161" s="243"/>
      <c r="Z161" s="243"/>
      <c r="AA161" s="243"/>
      <c r="AB161" s="243"/>
      <c r="AC161" s="241"/>
    </row>
    <row r="162" spans="4:29" x14ac:dyDescent="0.3">
      <c r="D162" s="1455" t="s">
        <v>520</v>
      </c>
      <c r="E162" s="1456"/>
      <c r="F162" s="1453"/>
      <c r="G162" s="1453">
        <f t="shared" ref="G162:S162" si="54">(G144/F144)^4-1</f>
        <v>3.4783891285258939E-2</v>
      </c>
      <c r="H162" s="1453">
        <f t="shared" si="54"/>
        <v>1.1995399534317164E-2</v>
      </c>
      <c r="I162" s="1453">
        <f t="shared" si="54"/>
        <v>-1.72401618421828E-2</v>
      </c>
      <c r="J162" s="1453">
        <f t="shared" si="54"/>
        <v>-8.3739764588403598E-2</v>
      </c>
      <c r="K162" s="1453">
        <f t="shared" si="54"/>
        <v>-4.1593591819862108E-2</v>
      </c>
      <c r="L162" s="1453">
        <f t="shared" si="54"/>
        <v>0.10028621896444267</v>
      </c>
      <c r="M162" s="1453">
        <f t="shared" si="54"/>
        <v>1.8865576255239436E-2</v>
      </c>
      <c r="N162" s="1453">
        <f t="shared" si="54"/>
        <v>8.4683729354623427E-2</v>
      </c>
      <c r="O162" s="1453">
        <f t="shared" si="54"/>
        <v>3.3706346430805167E-2</v>
      </c>
      <c r="P162" s="1453">
        <f t="shared" si="54"/>
        <v>4.492129388861188E-2</v>
      </c>
      <c r="Q162" s="1453">
        <f t="shared" si="54"/>
        <v>1.4067779320086293E-2</v>
      </c>
      <c r="R162" s="1453">
        <f t="shared" si="54"/>
        <v>6.6555550049419487E-2</v>
      </c>
      <c r="S162" s="1453">
        <f t="shared" si="54"/>
        <v>4.3795001871779204E-2</v>
      </c>
      <c r="T162" s="1454"/>
      <c r="U162" s="243"/>
      <c r="V162" s="243"/>
      <c r="W162" s="243"/>
      <c r="X162" s="243"/>
      <c r="Y162" s="243"/>
      <c r="Z162" s="243"/>
      <c r="AA162" s="243"/>
      <c r="AB162" s="243"/>
      <c r="AC162" s="241"/>
    </row>
    <row r="163" spans="4:29" x14ac:dyDescent="0.3">
      <c r="D163" s="1451" t="s">
        <v>506</v>
      </c>
      <c r="E163" s="1452"/>
      <c r="F163" s="1453"/>
      <c r="G163" s="1453">
        <f t="shared" ref="G163:S163" si="55">(G145/F145)^4-1</f>
        <v>2.4257130985616993E-2</v>
      </c>
      <c r="H163" s="1453">
        <f t="shared" si="55"/>
        <v>6.4229034399477136E-2</v>
      </c>
      <c r="I163" s="1453">
        <f t="shared" si="55"/>
        <v>6.3479192755366398E-2</v>
      </c>
      <c r="J163" s="1453">
        <f t="shared" si="55"/>
        <v>-0.23748829732952048</v>
      </c>
      <c r="K163" s="1453">
        <f t="shared" si="55"/>
        <v>0.20508073180198716</v>
      </c>
      <c r="L163" s="1453">
        <f t="shared" si="55"/>
        <v>0.1611535586248285</v>
      </c>
      <c r="M163" s="1453">
        <f t="shared" si="55"/>
        <v>2.873742311872407E-2</v>
      </c>
      <c r="N163" s="1453">
        <f t="shared" si="55"/>
        <v>0.12186398788851394</v>
      </c>
      <c r="O163" s="1453">
        <f t="shared" si="55"/>
        <v>0.11710776964011727</v>
      </c>
      <c r="P163" s="1453">
        <f t="shared" si="55"/>
        <v>0.13100342179485458</v>
      </c>
      <c r="Q163" s="1453">
        <f t="shared" si="55"/>
        <v>6.8458061444058416E-2</v>
      </c>
      <c r="R163" s="1453">
        <f t="shared" si="55"/>
        <v>4.9374455409313622E-2</v>
      </c>
      <c r="S163" s="1453">
        <f t="shared" si="55"/>
        <v>0.11396407828544985</v>
      </c>
      <c r="T163" s="1454"/>
      <c r="U163" s="243"/>
      <c r="V163" s="243"/>
      <c r="W163" s="243"/>
      <c r="X163" s="243"/>
      <c r="Y163" s="243"/>
      <c r="Z163" s="243"/>
      <c r="AA163" s="243"/>
      <c r="AB163" s="243"/>
      <c r="AC163" s="241"/>
    </row>
    <row r="164" spans="4:29" x14ac:dyDescent="0.3">
      <c r="D164" s="1451" t="s">
        <v>507</v>
      </c>
      <c r="E164" s="1456"/>
      <c r="F164" s="1453"/>
      <c r="G164" s="1453">
        <f t="shared" ref="G164:S164" si="56">(G146/F146)^4-1</f>
        <v>4.5002423223402754E-2</v>
      </c>
      <c r="H164" s="1453">
        <f t="shared" si="56"/>
        <v>3.8323064342955293E-2</v>
      </c>
      <c r="I164" s="1453">
        <f t="shared" si="56"/>
        <v>-4.8032396760868568E-2</v>
      </c>
      <c r="J164" s="1453">
        <f t="shared" si="56"/>
        <v>-0.33300498256979416</v>
      </c>
      <c r="K164" s="1453">
        <f t="shared" si="56"/>
        <v>0.47798765988551417</v>
      </c>
      <c r="L164" s="1453">
        <f t="shared" si="56"/>
        <v>5.5987082820652123E-2</v>
      </c>
      <c r="M164" s="1453">
        <f t="shared" si="56"/>
        <v>0.15819874984710092</v>
      </c>
      <c r="N164" s="1453">
        <f t="shared" si="56"/>
        <v>0.1928451879925992</v>
      </c>
      <c r="O164" s="1453">
        <f t="shared" si="56"/>
        <v>8.7145430326741824E-2</v>
      </c>
      <c r="P164" s="1453">
        <f t="shared" si="56"/>
        <v>9.5040522503139657E-2</v>
      </c>
      <c r="Q164" s="1453">
        <f t="shared" si="56"/>
        <v>8.9242780231497676E-2</v>
      </c>
      <c r="R164" s="1453">
        <f t="shared" si="56"/>
        <v>9.481178927373124E-2</v>
      </c>
      <c r="S164" s="1453">
        <f t="shared" si="56"/>
        <v>6.6821460633025076E-2</v>
      </c>
      <c r="T164" s="1454"/>
      <c r="U164" s="243"/>
      <c r="V164" s="243"/>
      <c r="W164" s="243"/>
      <c r="X164" s="243"/>
      <c r="Y164" s="243"/>
      <c r="Z164" s="243"/>
      <c r="AA164" s="243"/>
      <c r="AB164" s="243"/>
      <c r="AC164" s="241"/>
    </row>
    <row r="165" spans="4:29" x14ac:dyDescent="0.3">
      <c r="D165" s="1457" t="s">
        <v>521</v>
      </c>
      <c r="E165" s="1458"/>
      <c r="F165" s="1459"/>
      <c r="G165" s="1459">
        <f t="shared" ref="G165:S165" si="57">(G147/F147)^4-1</f>
        <v>2.1539346032199758E-2</v>
      </c>
      <c r="H165" s="1459">
        <f t="shared" si="57"/>
        <v>0.11472501548972591</v>
      </c>
      <c r="I165" s="1459">
        <f t="shared" si="57"/>
        <v>-0.35009057164746982</v>
      </c>
      <c r="J165" s="1459">
        <f t="shared" si="57"/>
        <v>-0.28413788741165624</v>
      </c>
      <c r="K165" s="1459">
        <f t="shared" si="57"/>
        <v>1.667649037274042</v>
      </c>
      <c r="L165" s="1459">
        <f t="shared" si="57"/>
        <v>-0.17136450639292922</v>
      </c>
      <c r="M165" s="1459">
        <f t="shared" si="57"/>
        <v>0.49346165457827729</v>
      </c>
      <c r="N165" s="1459">
        <f t="shared" si="57"/>
        <v>0.56301012914725668</v>
      </c>
      <c r="O165" s="1459">
        <f t="shared" si="57"/>
        <v>4.1681341019436546E-2</v>
      </c>
      <c r="P165" s="1459">
        <f t="shared" si="57"/>
        <v>1.8883812263239985E-2</v>
      </c>
      <c r="Q165" s="1459">
        <f t="shared" si="57"/>
        <v>-1.7080068525602621E-2</v>
      </c>
      <c r="R165" s="1459">
        <f t="shared" si="57"/>
        <v>0.18639186970056576</v>
      </c>
      <c r="S165" s="1459">
        <f t="shared" si="57"/>
        <v>2.2720498509915421E-2</v>
      </c>
      <c r="T165" s="1460"/>
      <c r="U165" s="190"/>
      <c r="V165" s="190"/>
      <c r="W165" s="190"/>
      <c r="X165" s="190"/>
      <c r="Y165" s="190"/>
      <c r="Z165" s="190"/>
      <c r="AA165" s="190"/>
      <c r="AB165" s="190"/>
      <c r="AC165" s="191"/>
    </row>
    <row r="168" spans="4:29" x14ac:dyDescent="0.3">
      <c r="D168" s="1727" t="s">
        <v>1719</v>
      </c>
      <c r="E168" s="1727"/>
      <c r="F168" s="1727"/>
      <c r="G168" s="1727"/>
      <c r="H168" s="1727"/>
      <c r="I168" s="1727"/>
      <c r="J168" s="1727"/>
      <c r="K168" s="1727"/>
      <c r="L168" s="1727"/>
      <c r="M168" s="1727"/>
      <c r="N168" s="1727"/>
      <c r="O168" s="1727"/>
      <c r="P168" s="1727"/>
      <c r="Q168" s="1728"/>
      <c r="R168" s="1728"/>
      <c r="S168" s="1728"/>
      <c r="T168" s="1728"/>
      <c r="U168" s="1727"/>
      <c r="V168" s="1727"/>
      <c r="W168" s="1727"/>
      <c r="X168" s="1727"/>
      <c r="Y168" s="1727"/>
      <c r="Z168" s="1727"/>
      <c r="AA168" s="1727"/>
      <c r="AB168" s="1727"/>
      <c r="AC168" s="1727"/>
    </row>
    <row r="169" spans="4:29" x14ac:dyDescent="0.3">
      <c r="D169" s="1703" t="s">
        <v>903</v>
      </c>
      <c r="E169" s="1720"/>
      <c r="F169" s="1600">
        <v>2019</v>
      </c>
      <c r="G169" s="1622"/>
      <c r="H169" s="1637"/>
      <c r="I169" s="1600">
        <v>2020</v>
      </c>
      <c r="J169" s="1622"/>
      <c r="K169" s="1622"/>
      <c r="L169" s="1637"/>
      <c r="M169" s="1600">
        <v>2021</v>
      </c>
      <c r="N169" s="1622"/>
      <c r="O169" s="1622"/>
      <c r="P169" s="1622"/>
      <c r="Q169" s="1600">
        <v>2022</v>
      </c>
      <c r="R169" s="1601"/>
      <c r="S169" s="1601"/>
      <c r="T169" s="1637"/>
      <c r="U169" s="1242"/>
      <c r="V169" s="1243">
        <v>2023</v>
      </c>
      <c r="W169" s="1243"/>
      <c r="X169" s="1244"/>
      <c r="Y169" s="1609">
        <v>2024</v>
      </c>
      <c r="Z169" s="1607"/>
      <c r="AA169" s="1607"/>
      <c r="AB169" s="1608"/>
      <c r="AC169" s="178">
        <v>2025</v>
      </c>
    </row>
    <row r="170" spans="4:29" x14ac:dyDescent="0.3">
      <c r="D170" s="1723"/>
      <c r="E170" s="1724"/>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40" t="s">
        <v>283</v>
      </c>
      <c r="V170" s="190" t="s">
        <v>284</v>
      </c>
      <c r="W170" s="190" t="s">
        <v>238</v>
      </c>
      <c r="X170" s="191" t="s">
        <v>282</v>
      </c>
      <c r="Y170" s="189" t="s">
        <v>283</v>
      </c>
      <c r="Z170" s="186" t="s">
        <v>284</v>
      </c>
      <c r="AA170" s="190" t="s">
        <v>238</v>
      </c>
      <c r="AB170" s="190" t="s">
        <v>282</v>
      </c>
      <c r="AC170" s="324" t="s">
        <v>283</v>
      </c>
    </row>
    <row r="171" spans="4:29" x14ac:dyDescent="0.3">
      <c r="D171" s="1461" t="s">
        <v>505</v>
      </c>
      <c r="E171" s="1462"/>
      <c r="F171" s="1463">
        <f>F173+F175</f>
        <v>14660.3</v>
      </c>
      <c r="G171" s="1464">
        <f t="shared" ref="G171:P171" si="58">G173+G175</f>
        <v>14748</v>
      </c>
      <c r="H171" s="1464">
        <f t="shared" si="58"/>
        <v>14896.1</v>
      </c>
      <c r="I171" s="1464">
        <f t="shared" si="58"/>
        <v>5492.6</v>
      </c>
      <c r="J171" s="1464">
        <f t="shared" si="58"/>
        <v>14127</v>
      </c>
      <c r="K171" s="1464">
        <f t="shared" si="58"/>
        <v>14803.099999999999</v>
      </c>
      <c r="L171" s="1464">
        <f t="shared" si="58"/>
        <v>15014.2</v>
      </c>
      <c r="M171" s="1464">
        <f t="shared" si="58"/>
        <v>15152.900000000001</v>
      </c>
      <c r="N171" s="1464">
        <f t="shared" si="58"/>
        <v>15654.4</v>
      </c>
      <c r="O171" s="1464">
        <f t="shared" si="58"/>
        <v>15799.3</v>
      </c>
      <c r="P171" s="1464">
        <f t="shared" si="58"/>
        <v>15983.8</v>
      </c>
      <c r="Q171" s="1464">
        <f>Q173+Q175</f>
        <v>16571.400000000001</v>
      </c>
      <c r="R171" s="1464">
        <f t="shared" ref="R171:S171" si="59">R173+R175</f>
        <v>16848</v>
      </c>
      <c r="S171" s="1464">
        <f t="shared" si="59"/>
        <v>17094.3</v>
      </c>
      <c r="T171" s="1465">
        <f>S171*(1+T183)^(1/4)</f>
        <v>17463.472490140091</v>
      </c>
      <c r="U171" s="791">
        <f t="shared" ref="U171:AC171" si="60">T171*(1+U183)^(1/4)</f>
        <v>17681.570370477613</v>
      </c>
      <c r="V171" s="791">
        <f t="shared" si="60"/>
        <v>17915.310313953283</v>
      </c>
      <c r="W171" s="791">
        <f t="shared" si="60"/>
        <v>18134.299197887285</v>
      </c>
      <c r="X171" s="791">
        <f t="shared" si="60"/>
        <v>18366.85113656765</v>
      </c>
      <c r="Y171" s="791">
        <f t="shared" si="60"/>
        <v>18567.326945774861</v>
      </c>
      <c r="Z171" s="791">
        <f t="shared" si="60"/>
        <v>18756.714710225915</v>
      </c>
      <c r="AA171" s="791">
        <f t="shared" si="60"/>
        <v>18946.894477873844</v>
      </c>
      <c r="AB171" s="791">
        <f t="shared" si="60"/>
        <v>19139.846256710807</v>
      </c>
      <c r="AC171" s="672">
        <f t="shared" si="60"/>
        <v>19339.332061921934</v>
      </c>
    </row>
    <row r="172" spans="4:29" x14ac:dyDescent="0.3">
      <c r="D172" s="1451"/>
      <c r="E172" s="1466"/>
      <c r="F172" s="1467"/>
      <c r="G172" s="1468"/>
      <c r="H172" s="1468"/>
      <c r="I172" s="1468"/>
      <c r="J172" s="1468"/>
      <c r="K172" s="1468"/>
      <c r="L172" s="1468"/>
      <c r="M172" s="1468"/>
      <c r="N172" s="1468"/>
      <c r="O172" s="1468"/>
      <c r="P172" s="1468"/>
      <c r="Q172" s="1468"/>
      <c r="R172" s="1468"/>
      <c r="S172" s="1468"/>
      <c r="T172" s="1469"/>
      <c r="U172" s="669"/>
      <c r="V172" s="669"/>
      <c r="W172" s="669"/>
      <c r="X172" s="669"/>
      <c r="Y172" s="669"/>
      <c r="Z172" s="669"/>
      <c r="AA172" s="669"/>
      <c r="AB172" s="669"/>
      <c r="AC172" s="710"/>
    </row>
    <row r="173" spans="4:29" x14ac:dyDescent="0.3">
      <c r="D173" s="1470" t="s">
        <v>506</v>
      </c>
      <c r="E173" s="1471"/>
      <c r="F173" s="1467">
        <v>9274.9</v>
      </c>
      <c r="G173" s="1468">
        <v>9311.2999999999993</v>
      </c>
      <c r="H173" s="1468">
        <v>9422.5</v>
      </c>
      <c r="I173" s="1468">
        <v>0</v>
      </c>
      <c r="J173" s="1468">
        <v>8908.7999999999993</v>
      </c>
      <c r="K173" s="1468">
        <v>9343.2999999999993</v>
      </c>
      <c r="L173" s="1468">
        <v>9546</v>
      </c>
      <c r="M173" s="1468">
        <v>9702.2000000000007</v>
      </c>
      <c r="N173" s="1468">
        <v>9950.4</v>
      </c>
      <c r="O173" s="1468">
        <v>10175.1</v>
      </c>
      <c r="P173" s="1468">
        <v>10336.6</v>
      </c>
      <c r="Q173" s="1468">
        <v>10995.9</v>
      </c>
      <c r="R173" s="1468">
        <v>11172.6</v>
      </c>
      <c r="S173" s="1468">
        <v>11320.4</v>
      </c>
      <c r="T173" s="1469">
        <f>S173*(1+T185)^(1/4)</f>
        <v>11487.097039810064</v>
      </c>
      <c r="U173" s="669">
        <f t="shared" ref="U173:AC173" si="61">T173*(1+U185)^(1/4)</f>
        <v>11613.629756622413</v>
      </c>
      <c r="V173" s="669">
        <f t="shared" si="61"/>
        <v>11725.163766350403</v>
      </c>
      <c r="W173" s="669">
        <f t="shared" si="61"/>
        <v>11851.5958206991</v>
      </c>
      <c r="X173" s="669">
        <f t="shared" si="61"/>
        <v>11996.046456041759</v>
      </c>
      <c r="Y173" s="669">
        <f t="shared" si="61"/>
        <v>12140.094441529804</v>
      </c>
      <c r="Z173" s="669">
        <f t="shared" si="61"/>
        <v>12282.028515281125</v>
      </c>
      <c r="AA173" s="669">
        <f t="shared" si="61"/>
        <v>12426.982462942049</v>
      </c>
      <c r="AB173" s="669">
        <f t="shared" si="61"/>
        <v>12578.580133204099</v>
      </c>
      <c r="AC173" s="710">
        <f t="shared" si="61"/>
        <v>12737.224175921889</v>
      </c>
    </row>
    <row r="174" spans="4:29" x14ac:dyDescent="0.3">
      <c r="D174" s="1470"/>
      <c r="E174" s="1471"/>
      <c r="F174" s="1467"/>
      <c r="G174" s="1468"/>
      <c r="H174" s="1468"/>
      <c r="I174" s="1468"/>
      <c r="J174" s="1468"/>
      <c r="K174" s="1468"/>
      <c r="L174" s="1468"/>
      <c r="M174" s="1468"/>
      <c r="N174" s="1468"/>
      <c r="O174" s="1468"/>
      <c r="P174" s="1468"/>
      <c r="Q174" s="1468"/>
      <c r="R174" s="1468"/>
      <c r="S174" s="1468"/>
      <c r="T174" s="1469"/>
      <c r="U174" s="669"/>
      <c r="V174" s="669"/>
      <c r="W174" s="669"/>
      <c r="X174" s="669"/>
      <c r="Y174" s="669"/>
      <c r="Z174" s="669"/>
      <c r="AA174" s="669"/>
      <c r="AB174" s="669"/>
      <c r="AC174" s="710"/>
    </row>
    <row r="175" spans="4:29" x14ac:dyDescent="0.3">
      <c r="D175" s="1470" t="s">
        <v>902</v>
      </c>
      <c r="E175" s="1471"/>
      <c r="F175" s="1467">
        <v>5385.4</v>
      </c>
      <c r="G175" s="1468">
        <v>5436.7</v>
      </c>
      <c r="H175" s="1468">
        <v>5473.6</v>
      </c>
      <c r="I175" s="1468">
        <v>5492.6</v>
      </c>
      <c r="J175" s="1468">
        <v>5218.2</v>
      </c>
      <c r="K175" s="1468">
        <v>5459.8</v>
      </c>
      <c r="L175" s="1468">
        <v>5468.2</v>
      </c>
      <c r="M175" s="1468">
        <v>5450.7</v>
      </c>
      <c r="N175" s="1468">
        <v>5704</v>
      </c>
      <c r="O175" s="1468">
        <v>5624.2</v>
      </c>
      <c r="P175" s="1468">
        <v>5647.2</v>
      </c>
      <c r="Q175" s="1468">
        <v>5575.5</v>
      </c>
      <c r="R175" s="1468">
        <v>5675.4</v>
      </c>
      <c r="S175" s="1468">
        <v>5773.9</v>
      </c>
      <c r="T175" s="1469">
        <f t="shared" ref="T175:AC175" si="62">S175*(1+T187)^(1/4)</f>
        <v>5972.692471350274</v>
      </c>
      <c r="U175" s="669">
        <f t="shared" si="62"/>
        <v>6063.4101162597572</v>
      </c>
      <c r="V175" s="669">
        <f t="shared" si="62"/>
        <v>6183.5678425510705</v>
      </c>
      <c r="W175" s="669">
        <f t="shared" si="62"/>
        <v>6275.2444477661511</v>
      </c>
      <c r="X175" s="669">
        <f t="shared" si="62"/>
        <v>6362.8934196977234</v>
      </c>
      <c r="Y175" s="669">
        <f t="shared" si="62"/>
        <v>6419.8556618501898</v>
      </c>
      <c r="Z175" s="669">
        <f t="shared" si="62"/>
        <v>6468.0913652217214</v>
      </c>
      <c r="AA175" s="669">
        <f t="shared" si="62"/>
        <v>6514.2173559209414</v>
      </c>
      <c r="AB175" s="669">
        <f t="shared" si="62"/>
        <v>6556.699297458892</v>
      </c>
      <c r="AC175" s="710">
        <f t="shared" si="62"/>
        <v>6598.7976548746037</v>
      </c>
    </row>
    <row r="176" spans="4:29" x14ac:dyDescent="0.3">
      <c r="D176" s="1470"/>
      <c r="E176" s="1471"/>
      <c r="F176" s="1467"/>
      <c r="G176" s="1468"/>
      <c r="H176" s="1468"/>
      <c r="I176" s="1468"/>
      <c r="J176" s="1468"/>
      <c r="K176" s="1468"/>
      <c r="L176" s="1468"/>
      <c r="M176" s="1468"/>
      <c r="N176" s="1468"/>
      <c r="O176" s="1468"/>
      <c r="P176" s="1468"/>
      <c r="Q176" s="1468"/>
      <c r="R176" s="1468"/>
      <c r="S176" s="1468"/>
      <c r="T176" s="1469"/>
      <c r="U176" s="669"/>
      <c r="V176" s="669"/>
      <c r="W176" s="669"/>
      <c r="X176" s="669"/>
      <c r="Y176" s="669"/>
      <c r="Z176" s="669"/>
      <c r="AA176" s="669"/>
      <c r="AB176" s="669"/>
      <c r="AC176" s="710"/>
    </row>
    <row r="177" spans="3:30" x14ac:dyDescent="0.3">
      <c r="D177" s="1472" t="s">
        <v>507</v>
      </c>
      <c r="E177" s="1471"/>
      <c r="F177" s="1473"/>
      <c r="G177" s="1471"/>
      <c r="H177" s="1468"/>
      <c r="I177" s="1468"/>
      <c r="J177" s="1468"/>
      <c r="K177" s="1468"/>
      <c r="L177" s="1468"/>
      <c r="M177" s="1468">
        <v>15041</v>
      </c>
      <c r="N177" s="1468">
        <v>15551</v>
      </c>
      <c r="O177" s="1468">
        <v>15824</v>
      </c>
      <c r="P177" s="1468">
        <v>16056</v>
      </c>
      <c r="Q177" s="1468">
        <v>16690.7</v>
      </c>
      <c r="R177" s="1468">
        <v>16993</v>
      </c>
      <c r="S177" s="1468">
        <v>17251.3</v>
      </c>
      <c r="T177" s="1469">
        <f t="shared" ref="T177:AC177" si="63">S177*(1+T189)^(1/4)</f>
        <v>17580.231969332821</v>
      </c>
      <c r="U177" s="669">
        <f t="shared" si="63"/>
        <v>17789.802996500563</v>
      </c>
      <c r="V177" s="669">
        <f t="shared" si="63"/>
        <v>17975.344263034403</v>
      </c>
      <c r="W177" s="669">
        <f t="shared" si="63"/>
        <v>18172.801927259647</v>
      </c>
      <c r="X177" s="669">
        <f t="shared" si="63"/>
        <v>18366.41876908849</v>
      </c>
      <c r="Y177" s="669">
        <f t="shared" si="63"/>
        <v>18550.679761490199</v>
      </c>
      <c r="Z177" s="669">
        <f t="shared" si="63"/>
        <v>18730.804483618864</v>
      </c>
      <c r="AA177" s="669">
        <f t="shared" si="63"/>
        <v>18909.550448989845</v>
      </c>
      <c r="AB177" s="669">
        <f t="shared" si="63"/>
        <v>19097.652263787957</v>
      </c>
      <c r="AC177" s="710">
        <f t="shared" si="63"/>
        <v>19291.367588242345</v>
      </c>
    </row>
    <row r="178" spans="3:30" x14ac:dyDescent="0.3">
      <c r="D178" s="1472"/>
      <c r="E178" s="1471"/>
      <c r="F178" s="1473"/>
      <c r="G178" s="1471"/>
      <c r="H178" s="1468"/>
      <c r="I178" s="1468"/>
      <c r="J178" s="1468"/>
      <c r="K178" s="1468"/>
      <c r="L178" s="1468"/>
      <c r="M178" s="1468"/>
      <c r="N178" s="1468"/>
      <c r="O178" s="1468"/>
      <c r="P178" s="1468"/>
      <c r="Q178" s="1468"/>
      <c r="R178" s="1468"/>
      <c r="S178" s="1468"/>
      <c r="T178" s="1469"/>
      <c r="U178" s="669"/>
      <c r="V178" s="669"/>
      <c r="W178" s="669"/>
      <c r="X178" s="669"/>
      <c r="Y178" s="669"/>
      <c r="Z178" s="669"/>
      <c r="AA178" s="669"/>
      <c r="AB178" s="669"/>
      <c r="AC178" s="710"/>
    </row>
    <row r="179" spans="3:30" x14ac:dyDescent="0.3">
      <c r="C179" s="35"/>
      <c r="D179" s="1474" t="s">
        <v>513</v>
      </c>
      <c r="E179" s="1475"/>
      <c r="F179" s="1476"/>
      <c r="G179" s="1475"/>
      <c r="H179" s="1477"/>
      <c r="I179" s="1477"/>
      <c r="J179" s="1477"/>
      <c r="K179" s="1477"/>
      <c r="L179" s="1477"/>
      <c r="M179" s="1477">
        <v>1874</v>
      </c>
      <c r="N179" s="1477">
        <v>2307</v>
      </c>
      <c r="O179" s="1477">
        <v>2443</v>
      </c>
      <c r="P179" s="1477">
        <v>2460</v>
      </c>
      <c r="Q179" s="1477">
        <v>2329.5</v>
      </c>
      <c r="R179" s="1477">
        <v>2420.1999999999998</v>
      </c>
      <c r="S179" s="1477">
        <v>2468.6999999999998</v>
      </c>
      <c r="T179" s="1478">
        <f t="shared" ref="T179:AC179" si="64">S179*(1+T191)^(1/4)</f>
        <v>2337.8012141236418</v>
      </c>
      <c r="U179" s="732">
        <f t="shared" si="64"/>
        <v>2180.860252378488</v>
      </c>
      <c r="V179" s="732">
        <f t="shared" si="64"/>
        <v>2057.2336212730388</v>
      </c>
      <c r="W179" s="732">
        <f t="shared" si="64"/>
        <v>1987.5585167787908</v>
      </c>
      <c r="X179" s="732">
        <f t="shared" si="64"/>
        <v>1936.6534333824293</v>
      </c>
      <c r="Y179" s="732">
        <f t="shared" si="64"/>
        <v>1958.5681700569246</v>
      </c>
      <c r="Z179" s="732">
        <f t="shared" si="64"/>
        <v>1993.6514032084713</v>
      </c>
      <c r="AA179" s="732">
        <f t="shared" si="64"/>
        <v>2043.2789459018352</v>
      </c>
      <c r="AB179" s="732">
        <f t="shared" si="64"/>
        <v>2113.9367740137736</v>
      </c>
      <c r="AC179" s="733">
        <f t="shared" si="64"/>
        <v>2182.1377930814861</v>
      </c>
      <c r="AD179" s="35"/>
    </row>
    <row r="180" spans="3:30" s="1171" customFormat="1" ht="14.85" customHeight="1" x14ac:dyDescent="0.3">
      <c r="C180" s="1216"/>
      <c r="D180" s="1174"/>
      <c r="E180" s="1283"/>
      <c r="F180" s="1283"/>
      <c r="G180" s="1283"/>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4"/>
      <c r="AB180" s="1284"/>
      <c r="AC180" s="1284"/>
      <c r="AD180" s="1216"/>
    </row>
    <row r="181" spans="3:30" x14ac:dyDescent="0.3">
      <c r="C181" s="35"/>
      <c r="D181" s="1703" t="s">
        <v>903</v>
      </c>
      <c r="E181" s="1720"/>
      <c r="F181" s="1600">
        <v>2019</v>
      </c>
      <c r="G181" s="1622"/>
      <c r="H181" s="1637"/>
      <c r="I181" s="1600">
        <v>2020</v>
      </c>
      <c r="J181" s="1622"/>
      <c r="K181" s="1622"/>
      <c r="L181" s="1637"/>
      <c r="M181" s="1600">
        <v>2021</v>
      </c>
      <c r="N181" s="1622"/>
      <c r="O181" s="1622"/>
      <c r="P181" s="1601"/>
      <c r="Q181" s="1600">
        <v>2022</v>
      </c>
      <c r="R181" s="1601"/>
      <c r="S181" s="1601"/>
      <c r="T181" s="1637"/>
      <c r="U181" s="1242"/>
      <c r="V181" s="1243">
        <v>2023</v>
      </c>
      <c r="W181" s="1243"/>
      <c r="X181" s="1244"/>
      <c r="Y181" s="1609">
        <v>2024</v>
      </c>
      <c r="Z181" s="1607"/>
      <c r="AA181" s="1607"/>
      <c r="AB181" s="1608"/>
      <c r="AC181" s="178">
        <v>2025</v>
      </c>
      <c r="AD181" s="35"/>
    </row>
    <row r="182" spans="3:30" x14ac:dyDescent="0.3">
      <c r="C182" s="35"/>
      <c r="D182" s="1723"/>
      <c r="E182" s="1724"/>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40" t="s">
        <v>283</v>
      </c>
      <c r="V182" s="190" t="s">
        <v>284</v>
      </c>
      <c r="W182" s="190" t="s">
        <v>238</v>
      </c>
      <c r="X182" s="191" t="s">
        <v>282</v>
      </c>
      <c r="Y182" s="189" t="s">
        <v>283</v>
      </c>
      <c r="Z182" s="186" t="s">
        <v>284</v>
      </c>
      <c r="AA182" s="190" t="s">
        <v>238</v>
      </c>
      <c r="AB182" s="190" t="s">
        <v>282</v>
      </c>
      <c r="AC182" s="324" t="s">
        <v>283</v>
      </c>
      <c r="AD182" s="35"/>
    </row>
    <row r="183" spans="3:30" ht="27.6" customHeight="1" x14ac:dyDescent="0.3">
      <c r="C183" s="35"/>
      <c r="D183" s="1461" t="s">
        <v>505</v>
      </c>
      <c r="E183" s="1462"/>
      <c r="F183" s="1479"/>
      <c r="G183" s="1480" t="e">
        <f t="shared" ref="G183:AC183" si="65">(G122/F122)^4-1</f>
        <v>#DIV/0!</v>
      </c>
      <c r="H183" s="1480" t="e">
        <f t="shared" si="65"/>
        <v>#DIV/0!</v>
      </c>
      <c r="I183" s="1480" t="e">
        <f t="shared" si="65"/>
        <v>#DIV/0!</v>
      </c>
      <c r="J183" s="1480">
        <f t="shared" si="65"/>
        <v>-0.21070155504838917</v>
      </c>
      <c r="K183" s="1480">
        <f t="shared" si="65"/>
        <v>0.20409656990320446</v>
      </c>
      <c r="L183" s="1480">
        <f t="shared" si="65"/>
        <v>0.10445079655049061</v>
      </c>
      <c r="M183" s="1480">
        <f t="shared" si="65"/>
        <v>1.0038022914703681E-2</v>
      </c>
      <c r="N183" s="1480">
        <f t="shared" si="65"/>
        <v>0.12746591651095995</v>
      </c>
      <c r="O183" s="1480">
        <f t="shared" si="65"/>
        <v>8.7536504987418162E-2</v>
      </c>
      <c r="P183" s="1480">
        <f t="shared" si="65"/>
        <v>9.6257802203331799E-2</v>
      </c>
      <c r="Q183" s="1480">
        <f t="shared" si="65"/>
        <v>5.3130466022335732E-2</v>
      </c>
      <c r="R183" s="1480">
        <f t="shared" si="65"/>
        <v>5.8700506146537323E-2</v>
      </c>
      <c r="S183" s="1480">
        <f t="shared" si="65"/>
        <v>6.6224916945864853E-2</v>
      </c>
      <c r="T183" s="1481">
        <f t="shared" si="65"/>
        <v>8.9223823992267803E-2</v>
      </c>
      <c r="U183" s="720">
        <f t="shared" si="65"/>
        <v>5.0898852075559109E-2</v>
      </c>
      <c r="V183" s="720">
        <f t="shared" si="65"/>
        <v>5.39354314600895E-2</v>
      </c>
      <c r="W183" s="720">
        <f t="shared" si="65"/>
        <v>4.9798063494010059E-2</v>
      </c>
      <c r="X183" s="720">
        <f t="shared" si="65"/>
        <v>5.229066242697944E-2</v>
      </c>
      <c r="Y183" s="720">
        <f t="shared" si="65"/>
        <v>4.4380405600340955E-2</v>
      </c>
      <c r="Z183" s="720">
        <f t="shared" si="65"/>
        <v>4.1428724323071764E-2</v>
      </c>
      <c r="AA183" s="720">
        <f t="shared" si="65"/>
        <v>4.1178170772385725E-2</v>
      </c>
      <c r="AB183" s="720">
        <f t="shared" si="65"/>
        <v>4.1361780021860417E-2</v>
      </c>
      <c r="AC183" s="721">
        <f t="shared" si="65"/>
        <v>4.2346474891928665E-2</v>
      </c>
      <c r="AD183" s="35"/>
    </row>
    <row r="184" spans="3:30" ht="27.6" customHeight="1" x14ac:dyDescent="0.3">
      <c r="C184" s="35"/>
      <c r="D184" s="1451"/>
      <c r="E184" s="1466"/>
      <c r="F184" s="856"/>
      <c r="G184" s="1453"/>
      <c r="H184" s="1453"/>
      <c r="I184" s="1453"/>
      <c r="J184" s="1453"/>
      <c r="K184" s="1453"/>
      <c r="L184" s="1453"/>
      <c r="M184" s="1453"/>
      <c r="N184" s="1453"/>
      <c r="O184" s="1453"/>
      <c r="P184" s="1453"/>
      <c r="Q184" s="1453"/>
      <c r="R184" s="1453"/>
      <c r="S184" s="1453"/>
      <c r="T184" s="1482"/>
      <c r="U184" s="671"/>
      <c r="V184" s="671"/>
      <c r="W184" s="671"/>
      <c r="X184" s="671"/>
      <c r="Y184" s="671"/>
      <c r="Z184" s="671"/>
      <c r="AA184" s="671"/>
      <c r="AB184" s="671"/>
      <c r="AC184" s="722"/>
      <c r="AD184" s="35"/>
    </row>
    <row r="185" spans="3:30" ht="27.6" customHeight="1" x14ac:dyDescent="0.3">
      <c r="C185" s="35"/>
      <c r="D185" s="1470" t="s">
        <v>506</v>
      </c>
      <c r="E185" s="1471"/>
      <c r="F185" s="856"/>
      <c r="G185" s="1453" t="e">
        <f t="shared" ref="G185:AC185" si="66">(G123/F123)^4-1</f>
        <v>#DIV/0!</v>
      </c>
      <c r="H185" s="1453" t="e">
        <f t="shared" si="66"/>
        <v>#DIV/0!</v>
      </c>
      <c r="I185" s="1453" t="e">
        <f t="shared" si="66"/>
        <v>#DIV/0!</v>
      </c>
      <c r="J185" s="1453">
        <f t="shared" si="66"/>
        <v>-0.23688314079507089</v>
      </c>
      <c r="K185" s="1453">
        <f t="shared" si="66"/>
        <v>0.20520050761606656</v>
      </c>
      <c r="L185" s="1453">
        <f t="shared" si="66"/>
        <v>0.16094955415161705</v>
      </c>
      <c r="M185" s="1453">
        <f t="shared" si="66"/>
        <v>2.7883833548878467E-2</v>
      </c>
      <c r="N185" s="1453">
        <f t="shared" si="66"/>
        <v>0.12185900162885499</v>
      </c>
      <c r="O185" s="1453">
        <f t="shared" si="66"/>
        <v>0.11675899119493027</v>
      </c>
      <c r="P185" s="1453">
        <f t="shared" si="66"/>
        <v>0.13115208751063179</v>
      </c>
      <c r="Q185" s="1453">
        <f t="shared" si="66"/>
        <v>6.7554374316260324E-2</v>
      </c>
      <c r="R185" s="1453">
        <f t="shared" si="66"/>
        <v>4.9399992962044781E-2</v>
      </c>
      <c r="S185" s="1453">
        <f t="shared" si="66"/>
        <v>6.9721013529006282E-2</v>
      </c>
      <c r="T185" s="1482">
        <f t="shared" si="66"/>
        <v>6.0215303838485168E-2</v>
      </c>
      <c r="U185" s="671">
        <f t="shared" si="66"/>
        <v>4.4794184982262397E-2</v>
      </c>
      <c r="V185" s="671">
        <f t="shared" si="66"/>
        <v>3.8971806498267147E-2</v>
      </c>
      <c r="W185" s="671">
        <f t="shared" si="66"/>
        <v>4.3834530964215634E-2</v>
      </c>
      <c r="X185" s="671">
        <f t="shared" si="66"/>
        <v>4.9651733025286138E-2</v>
      </c>
      <c r="Y185" s="671">
        <f t="shared" si="66"/>
        <v>4.8903912261530902E-2</v>
      </c>
      <c r="Z185" s="671">
        <f t="shared" si="66"/>
        <v>4.7591930307703478E-2</v>
      </c>
      <c r="AA185" s="671">
        <f t="shared" si="66"/>
        <v>4.8050806277727842E-2</v>
      </c>
      <c r="AB185" s="671">
        <f t="shared" si="66"/>
        <v>4.9696481519596158E-2</v>
      </c>
      <c r="AC185" s="722">
        <f t="shared" si="66"/>
        <v>5.1411412231850306E-2</v>
      </c>
      <c r="AD185" s="35"/>
    </row>
    <row r="186" spans="3:30" ht="27.6" customHeight="1" x14ac:dyDescent="0.3">
      <c r="C186" s="35"/>
      <c r="D186" s="1470"/>
      <c r="E186" s="1471"/>
      <c r="F186" s="856"/>
      <c r="G186" s="1453"/>
      <c r="H186" s="1453"/>
      <c r="I186" s="1453"/>
      <c r="J186" s="1453"/>
      <c r="K186" s="1453"/>
      <c r="L186" s="1453"/>
      <c r="M186" s="1453"/>
      <c r="N186" s="1453"/>
      <c r="O186" s="1453"/>
      <c r="P186" s="1453"/>
      <c r="Q186" s="1453"/>
      <c r="R186" s="1453"/>
      <c r="S186" s="1453"/>
      <c r="T186" s="1482"/>
      <c r="U186" s="671"/>
      <c r="V186" s="671"/>
      <c r="W186" s="671"/>
      <c r="X186" s="671"/>
      <c r="Y186" s="671"/>
      <c r="Z186" s="671"/>
      <c r="AA186" s="671"/>
      <c r="AB186" s="671"/>
      <c r="AC186" s="722"/>
      <c r="AD186" s="35"/>
    </row>
    <row r="187" spans="3:30" x14ac:dyDescent="0.3">
      <c r="C187" s="35"/>
      <c r="D187" s="1470" t="s">
        <v>902</v>
      </c>
      <c r="E187" s="1471"/>
      <c r="F187" s="856"/>
      <c r="G187" s="1453" t="e">
        <f t="shared" ref="G187:AC187" si="67">(G124/F124)^4-1</f>
        <v>#DIV/0!</v>
      </c>
      <c r="H187" s="1453" t="e">
        <f t="shared" si="67"/>
        <v>#DIV/0!</v>
      </c>
      <c r="I187" s="1453" t="e">
        <f t="shared" si="67"/>
        <v>#DIV/0!</v>
      </c>
      <c r="J187" s="1453">
        <f t="shared" si="67"/>
        <v>-0.16336002849894693</v>
      </c>
      <c r="K187" s="1453">
        <f t="shared" si="67"/>
        <v>0.20221386896849047</v>
      </c>
      <c r="L187" s="1453">
        <f t="shared" si="67"/>
        <v>1.2745999464862878E-2</v>
      </c>
      <c r="M187" s="1453">
        <f t="shared" si="67"/>
        <v>-2.0933426342402583E-2</v>
      </c>
      <c r="N187" s="1453">
        <f t="shared" si="67"/>
        <v>0.13754934573019617</v>
      </c>
      <c r="O187" s="1453">
        <f t="shared" si="67"/>
        <v>3.6864487370476651E-2</v>
      </c>
      <c r="P187" s="1453">
        <f t="shared" si="67"/>
        <v>3.4953421847994104E-2</v>
      </c>
      <c r="Q187" s="1453">
        <f t="shared" si="67"/>
        <v>2.6732902126662683E-2</v>
      </c>
      <c r="R187" s="1453">
        <f t="shared" si="67"/>
        <v>7.630767003118466E-2</v>
      </c>
      <c r="S187" s="1453">
        <f t="shared" si="67"/>
        <v>5.9733145707485225E-2</v>
      </c>
      <c r="T187" s="1482">
        <f t="shared" si="67"/>
        <v>0.14499498323752569</v>
      </c>
      <c r="U187" s="671">
        <f t="shared" si="67"/>
        <v>6.2153196479126871E-2</v>
      </c>
      <c r="V187" s="671">
        <f t="shared" si="67"/>
        <v>8.1654954647559119E-2</v>
      </c>
      <c r="W187" s="671">
        <f t="shared" si="67"/>
        <v>6.0635288713164925E-2</v>
      </c>
      <c r="X187" s="671">
        <f t="shared" si="67"/>
        <v>5.7051148629246429E-2</v>
      </c>
      <c r="Y187" s="671">
        <f t="shared" si="67"/>
        <v>3.6292752006835016E-2</v>
      </c>
      <c r="Z187" s="671">
        <f t="shared" si="67"/>
        <v>3.0394491009306357E-2</v>
      </c>
      <c r="AA187" s="671">
        <f t="shared" si="67"/>
        <v>2.8831843214639719E-2</v>
      </c>
      <c r="AB187" s="671">
        <f t="shared" si="67"/>
        <v>2.634196107872655E-2</v>
      </c>
      <c r="AC187" s="722">
        <f t="shared" si="67"/>
        <v>2.5931062463653953E-2</v>
      </c>
      <c r="AD187" s="35"/>
    </row>
    <row r="188" spans="3:30" x14ac:dyDescent="0.3">
      <c r="C188" s="35"/>
      <c r="D188" s="1470"/>
      <c r="E188" s="1471"/>
      <c r="F188" s="856"/>
      <c r="G188" s="1453"/>
      <c r="H188" s="1453"/>
      <c r="I188" s="1453"/>
      <c r="J188" s="1453"/>
      <c r="K188" s="1453"/>
      <c r="L188" s="1453"/>
      <c r="M188" s="1453"/>
      <c r="N188" s="1453"/>
      <c r="O188" s="1453"/>
      <c r="P188" s="1453"/>
      <c r="Q188" s="1453"/>
      <c r="R188" s="1453"/>
      <c r="S188" s="1453"/>
      <c r="T188" s="1482"/>
      <c r="U188" s="671"/>
      <c r="V188" s="671"/>
      <c r="W188" s="671"/>
      <c r="X188" s="671"/>
      <c r="Y188" s="671"/>
      <c r="Z188" s="671"/>
      <c r="AA188" s="671"/>
      <c r="AB188" s="671"/>
      <c r="AC188" s="722"/>
      <c r="AD188" s="35"/>
    </row>
    <row r="189" spans="3:30" x14ac:dyDescent="0.3">
      <c r="C189" s="35"/>
      <c r="D189" s="1472" t="s">
        <v>507</v>
      </c>
      <c r="E189" s="1471"/>
      <c r="F189" s="856"/>
      <c r="G189" s="1453"/>
      <c r="H189" s="1453"/>
      <c r="I189" s="1453"/>
      <c r="J189" s="1453"/>
      <c r="K189" s="1453"/>
      <c r="L189" s="1453"/>
      <c r="M189" s="1453"/>
      <c r="N189" s="1453">
        <f t="shared" ref="N189:AC189" si="68">(N125/M125)^4-1</f>
        <v>0.1928451879925992</v>
      </c>
      <c r="O189" s="1453">
        <f t="shared" si="68"/>
        <v>8.7145430326741824E-2</v>
      </c>
      <c r="P189" s="1453">
        <f t="shared" si="68"/>
        <v>9.5040522503139657E-2</v>
      </c>
      <c r="Q189" s="1453">
        <f t="shared" si="68"/>
        <v>8.9242780231497676E-2</v>
      </c>
      <c r="R189" s="1453">
        <f t="shared" si="68"/>
        <v>9.481178927373124E-2</v>
      </c>
      <c r="S189" s="1453">
        <f t="shared" si="68"/>
        <v>6.0607843328261746E-2</v>
      </c>
      <c r="T189" s="1482">
        <f t="shared" si="68"/>
        <v>7.8477513818825395E-2</v>
      </c>
      <c r="U189" s="671">
        <f t="shared" si="68"/>
        <v>4.8542770037778959E-2</v>
      </c>
      <c r="V189" s="671">
        <f t="shared" si="68"/>
        <v>4.2375780152070552E-2</v>
      </c>
      <c r="W189" s="671">
        <f t="shared" si="68"/>
        <v>4.4668994972735243E-2</v>
      </c>
      <c r="X189" s="671">
        <f t="shared" si="68"/>
        <v>4.3302762153154983E-2</v>
      </c>
      <c r="Y189" s="671">
        <f t="shared" si="68"/>
        <v>4.0737932279044653E-2</v>
      </c>
      <c r="Z189" s="671">
        <f t="shared" si="68"/>
        <v>3.9408847565527205E-2</v>
      </c>
      <c r="AA189" s="671">
        <f t="shared" si="68"/>
        <v>3.8721435847691943E-2</v>
      </c>
      <c r="AB189" s="671">
        <f t="shared" si="68"/>
        <v>4.0387459196791431E-2</v>
      </c>
      <c r="AC189" s="722">
        <f t="shared" si="68"/>
        <v>4.1195159376754775E-2</v>
      </c>
      <c r="AD189" s="35"/>
    </row>
    <row r="190" spans="3:30" x14ac:dyDescent="0.3">
      <c r="C190" s="35"/>
      <c r="D190" s="1472"/>
      <c r="E190" s="1471"/>
      <c r="F190" s="856"/>
      <c r="G190" s="1453"/>
      <c r="H190" s="1453"/>
      <c r="I190" s="1453"/>
      <c r="J190" s="1453"/>
      <c r="K190" s="1453"/>
      <c r="L190" s="1453"/>
      <c r="M190" s="1453"/>
      <c r="N190" s="1453"/>
      <c r="O190" s="1453"/>
      <c r="P190" s="1453"/>
      <c r="Q190" s="1453"/>
      <c r="R190" s="1453"/>
      <c r="S190" s="1453"/>
      <c r="T190" s="1482"/>
      <c r="U190" s="671"/>
      <c r="V190" s="671"/>
      <c r="W190" s="671"/>
      <c r="X190" s="671"/>
      <c r="Y190" s="671"/>
      <c r="Z190" s="671"/>
      <c r="AA190" s="671"/>
      <c r="AB190" s="671"/>
      <c r="AC190" s="722"/>
      <c r="AD190" s="35"/>
    </row>
    <row r="191" spans="3:30" x14ac:dyDescent="0.3">
      <c r="D191" s="1474" t="s">
        <v>513</v>
      </c>
      <c r="E191" s="1475"/>
      <c r="F191" s="857"/>
      <c r="G191" s="1459"/>
      <c r="H191" s="1459"/>
      <c r="I191" s="1459"/>
      <c r="J191" s="1459"/>
      <c r="K191" s="1459"/>
      <c r="L191" s="1459"/>
      <c r="M191" s="1459"/>
      <c r="N191" s="1459">
        <f t="shared" ref="N191:AC191" si="69">(N126/M126)^4-1</f>
        <v>0.56301012914725668</v>
      </c>
      <c r="O191" s="1459">
        <f t="shared" si="69"/>
        <v>4.1681341019436546E-2</v>
      </c>
      <c r="P191" s="1459">
        <f t="shared" si="69"/>
        <v>1.8883812263239985E-2</v>
      </c>
      <c r="Q191" s="1459">
        <f t="shared" si="69"/>
        <v>-1.7080068525602621E-2</v>
      </c>
      <c r="R191" s="1459">
        <f t="shared" si="69"/>
        <v>0.18639186970056576</v>
      </c>
      <c r="S191" s="1459">
        <f t="shared" si="69"/>
        <v>-4.155915873861038E-2</v>
      </c>
      <c r="T191" s="1483">
        <f t="shared" si="69"/>
        <v>-0.19581299458313783</v>
      </c>
      <c r="U191" s="723">
        <f t="shared" si="69"/>
        <v>-0.24267720394260905</v>
      </c>
      <c r="V191" s="723">
        <f t="shared" si="69"/>
        <v>-0.20818613090691662</v>
      </c>
      <c r="W191" s="723">
        <f t="shared" si="69"/>
        <v>-0.12874508356170977</v>
      </c>
      <c r="X191" s="723">
        <f t="shared" si="69"/>
        <v>-9.8578431708765346E-2</v>
      </c>
      <c r="Y191" s="723">
        <f t="shared" si="69"/>
        <v>4.6037197407029051E-2</v>
      </c>
      <c r="Z191" s="723">
        <f t="shared" si="69"/>
        <v>7.3599058606389711E-2</v>
      </c>
      <c r="AA191" s="723">
        <f t="shared" si="69"/>
        <v>0.10335114277663515</v>
      </c>
      <c r="AB191" s="723">
        <f t="shared" si="69"/>
        <v>0.14566418086862276</v>
      </c>
      <c r="AC191" s="724">
        <f t="shared" si="69"/>
        <v>0.13543089965831157</v>
      </c>
    </row>
    <row r="192" spans="3:30" x14ac:dyDescent="0.3">
      <c r="D192" s="159"/>
      <c r="E192" s="485"/>
      <c r="G192" s="485"/>
      <c r="H192" s="650"/>
      <c r="I192" s="650"/>
      <c r="J192" s="650"/>
      <c r="K192" s="650"/>
      <c r="L192" s="650"/>
      <c r="M192" s="650"/>
      <c r="N192" s="650"/>
      <c r="O192" s="650"/>
      <c r="P192" s="650"/>
      <c r="Q192" s="650"/>
      <c r="R192" s="650"/>
      <c r="S192" s="650"/>
      <c r="T192" s="650"/>
      <c r="U192" s="650"/>
      <c r="V192" s="650"/>
      <c r="W192" s="650"/>
      <c r="X192" s="650"/>
      <c r="Y192" s="650"/>
      <c r="Z192" s="650"/>
      <c r="AA192" s="650"/>
      <c r="AB192" s="650"/>
      <c r="AC192" s="650"/>
    </row>
    <row r="193" ht="14.85" customHeight="1" x14ac:dyDescent="0.3"/>
    <row r="194" ht="14.85" customHeight="1" x14ac:dyDescent="0.3"/>
    <row r="195" ht="14.85" customHeight="1" x14ac:dyDescent="0.3"/>
  </sheetData>
  <mergeCells count="4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 ref="Y130:AB130"/>
    <mergeCell ref="O87:V87"/>
    <mergeCell ref="P88:S88"/>
    <mergeCell ref="F5:T5"/>
    <mergeCell ref="Q6:T6"/>
    <mergeCell ref="Q120:T120"/>
    <mergeCell ref="V5:AC5"/>
    <mergeCell ref="M120:P12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610" t="s">
        <v>316</v>
      </c>
      <c r="I1" s="1610"/>
      <c r="J1" s="1610"/>
      <c r="K1" s="1610"/>
      <c r="L1" s="1610"/>
      <c r="M1" s="1610"/>
      <c r="N1" s="1610"/>
      <c r="O1" s="1610"/>
      <c r="P1" s="1610"/>
      <c r="Q1" s="1610"/>
      <c r="R1" s="1610"/>
      <c r="S1" s="1610"/>
    </row>
    <row r="2" spans="8:22" x14ac:dyDescent="0.3">
      <c r="H2" s="1650" t="s">
        <v>317</v>
      </c>
      <c r="I2" s="1650"/>
      <c r="J2" s="1650"/>
      <c r="K2" s="1650"/>
      <c r="L2" s="1650"/>
      <c r="M2" s="1650"/>
      <c r="N2" s="1650"/>
      <c r="O2" s="1650"/>
      <c r="P2" s="1650"/>
      <c r="Q2" s="1650"/>
      <c r="R2" s="1650"/>
      <c r="S2" s="1650"/>
    </row>
    <row r="3" spans="8:22" x14ac:dyDescent="0.3">
      <c r="H3" s="1650"/>
      <c r="I3" s="1650"/>
      <c r="J3" s="1650"/>
      <c r="K3" s="1650"/>
      <c r="L3" s="1650"/>
      <c r="M3" s="1650"/>
      <c r="N3" s="1650"/>
      <c r="O3" s="1650"/>
      <c r="P3" s="1650"/>
      <c r="Q3" s="1650"/>
      <c r="R3" s="1650"/>
      <c r="S3" s="1650"/>
    </row>
    <row r="4" spans="8:22" x14ac:dyDescent="0.3">
      <c r="H4" s="1650"/>
      <c r="I4" s="1650"/>
      <c r="J4" s="1650"/>
      <c r="K4" s="1650"/>
      <c r="L4" s="1650"/>
      <c r="M4" s="1650"/>
      <c r="N4" s="1650"/>
      <c r="O4" s="1650"/>
      <c r="P4" s="1650"/>
      <c r="Q4" s="1650"/>
      <c r="R4" s="1650"/>
      <c r="S4" s="1650"/>
    </row>
    <row r="5" spans="8:22" ht="54.75" customHeight="1" x14ac:dyDescent="0.3">
      <c r="H5" s="1650"/>
      <c r="I5" s="1650"/>
      <c r="J5" s="1650"/>
      <c r="K5" s="1650"/>
      <c r="L5" s="1650"/>
      <c r="M5" s="1650"/>
      <c r="N5" s="1650"/>
      <c r="O5" s="1650"/>
      <c r="P5" s="1650"/>
      <c r="Q5" s="1650"/>
      <c r="R5" s="1650"/>
      <c r="S5" s="1650"/>
    </row>
    <row r="6" spans="8:22" x14ac:dyDescent="0.3">
      <c r="H6" s="375"/>
      <c r="I6" s="375"/>
      <c r="J6" s="375"/>
      <c r="K6" s="375"/>
      <c r="L6" s="375"/>
      <c r="M6" s="375"/>
      <c r="N6" s="375"/>
      <c r="O6" s="375"/>
      <c r="P6" s="375"/>
      <c r="Q6" s="375"/>
      <c r="R6" s="375"/>
      <c r="S6" s="375"/>
    </row>
    <row r="7" spans="8:22" x14ac:dyDescent="0.3">
      <c r="H7" s="804" t="s">
        <v>318</v>
      </c>
    </row>
    <row r="8" spans="8:22" ht="16.350000000000001" customHeight="1" x14ac:dyDescent="0.3"/>
    <row r="9" spans="8:22" ht="15.75" customHeight="1" x14ac:dyDescent="0.3">
      <c r="L9" s="1600">
        <v>2020</v>
      </c>
      <c r="M9" s="1622"/>
      <c r="N9" s="1622"/>
      <c r="O9" s="814">
        <v>2021</v>
      </c>
      <c r="P9" s="814"/>
      <c r="Q9" s="814"/>
      <c r="R9" s="813"/>
    </row>
    <row r="10" spans="8:22" ht="41.85" customHeight="1" x14ac:dyDescent="0.3">
      <c r="H10" s="817" t="s">
        <v>319</v>
      </c>
      <c r="I10" s="817" t="s">
        <v>320</v>
      </c>
      <c r="J10" s="818" t="s">
        <v>321</v>
      </c>
      <c r="K10" s="162"/>
      <c r="L10" s="811" t="s">
        <v>284</v>
      </c>
      <c r="M10" s="812" t="s">
        <v>238</v>
      </c>
      <c r="N10" s="812" t="s">
        <v>282</v>
      </c>
      <c r="O10" s="812" t="s">
        <v>283</v>
      </c>
      <c r="P10" s="812" t="s">
        <v>284</v>
      </c>
      <c r="Q10" s="812" t="s">
        <v>238</v>
      </c>
      <c r="R10" s="815" t="s">
        <v>282</v>
      </c>
      <c r="S10" s="375" t="s">
        <v>322</v>
      </c>
      <c r="T10" s="162"/>
      <c r="U10" s="162"/>
      <c r="V10" s="162"/>
    </row>
    <row r="11" spans="8:22" x14ac:dyDescent="0.3">
      <c r="H11" s="819">
        <v>43934</v>
      </c>
      <c r="I11" s="159">
        <v>248</v>
      </c>
      <c r="J11" s="492">
        <f>I11</f>
        <v>248</v>
      </c>
      <c r="K11" s="159"/>
      <c r="L11" s="704">
        <f>S11/26*J11</f>
        <v>95.384615384615387</v>
      </c>
      <c r="M11" s="372">
        <f>13/26*J11</f>
        <v>124</v>
      </c>
      <c r="N11" s="372">
        <f>J11-SUM(L11:M11)</f>
        <v>28.615384615384613</v>
      </c>
      <c r="O11" s="372"/>
      <c r="P11" s="372"/>
      <c r="Q11" s="372"/>
      <c r="R11" s="809"/>
      <c r="S11" s="159">
        <v>10</v>
      </c>
      <c r="T11" s="159"/>
      <c r="U11" s="806"/>
      <c r="V11" s="159"/>
    </row>
    <row r="12" spans="8:22" x14ac:dyDescent="0.3">
      <c r="H12" s="807">
        <v>43937</v>
      </c>
      <c r="I12" s="159">
        <v>342</v>
      </c>
      <c r="J12" s="492">
        <f>I12-I11</f>
        <v>94</v>
      </c>
      <c r="K12" s="159"/>
      <c r="L12" s="704">
        <f t="shared" ref="L12:L20" si="0">S12/26*J12</f>
        <v>36.153846153846153</v>
      </c>
      <c r="M12" s="372">
        <f t="shared" ref="M12:M20" si="1">13/26*J12</f>
        <v>47</v>
      </c>
      <c r="N12" s="372">
        <f t="shared" ref="N12:N21" si="2">J12-SUM(L12:M12)</f>
        <v>10.84615384615384</v>
      </c>
      <c r="O12" s="372"/>
      <c r="P12" s="372"/>
      <c r="Q12" s="372"/>
      <c r="R12" s="809"/>
      <c r="S12" s="159">
        <v>10</v>
      </c>
      <c r="T12" s="159"/>
      <c r="U12" s="159"/>
      <c r="V12" s="159"/>
    </row>
    <row r="13" spans="8:22" x14ac:dyDescent="0.3">
      <c r="H13" s="807">
        <v>43952</v>
      </c>
      <c r="I13" s="159">
        <v>518</v>
      </c>
      <c r="J13" s="492">
        <f>I13-I12</f>
        <v>176</v>
      </c>
      <c r="K13" s="159"/>
      <c r="L13" s="704">
        <f t="shared" si="0"/>
        <v>54.15384615384616</v>
      </c>
      <c r="M13" s="372">
        <f t="shared" si="1"/>
        <v>88</v>
      </c>
      <c r="N13" s="372">
        <f t="shared" si="2"/>
        <v>33.84615384615384</v>
      </c>
      <c r="O13" s="372"/>
      <c r="P13" s="372"/>
      <c r="Q13" s="372"/>
      <c r="R13" s="809"/>
      <c r="S13" s="159">
        <v>8</v>
      </c>
      <c r="T13" s="159"/>
      <c r="U13" s="159"/>
      <c r="V13" s="159"/>
    </row>
    <row r="14" spans="8:22" x14ac:dyDescent="0.3">
      <c r="H14" s="807">
        <v>43959</v>
      </c>
      <c r="I14" s="159">
        <v>531</v>
      </c>
      <c r="J14" s="492">
        <f t="shared" ref="J14:J45" si="3">I14-I13</f>
        <v>13</v>
      </c>
      <c r="K14" s="159"/>
      <c r="L14" s="704">
        <f t="shared" si="0"/>
        <v>3.5</v>
      </c>
      <c r="M14" s="372">
        <f t="shared" si="1"/>
        <v>6.5</v>
      </c>
      <c r="N14" s="372">
        <f t="shared" si="2"/>
        <v>3</v>
      </c>
      <c r="O14" s="372"/>
      <c r="P14" s="372"/>
      <c r="Q14" s="372"/>
      <c r="R14" s="809"/>
      <c r="S14" s="159">
        <f t="shared" ref="S14:S20" si="4">S13-1</f>
        <v>7</v>
      </c>
      <c r="T14" s="159"/>
      <c r="U14" s="159"/>
      <c r="V14" s="159"/>
    </row>
    <row r="15" spans="8:22" x14ac:dyDescent="0.3">
      <c r="H15" s="807">
        <v>43967</v>
      </c>
      <c r="I15" s="159">
        <v>513</v>
      </c>
      <c r="J15" s="492">
        <f t="shared" si="3"/>
        <v>-18</v>
      </c>
      <c r="K15" s="159"/>
      <c r="L15" s="704">
        <f t="shared" ref="L15:L17" si="5">S15/26*J15</f>
        <v>-4.1538461538461542</v>
      </c>
      <c r="M15" s="372">
        <f t="shared" ref="M15:M17" si="6">13/26*J15</f>
        <v>-9</v>
      </c>
      <c r="N15" s="372">
        <f t="shared" ref="N15:N17" si="7">J15-SUM(L15:M15)</f>
        <v>-4.8461538461538467</v>
      </c>
      <c r="O15" s="372"/>
      <c r="P15" s="372"/>
      <c r="Q15" s="372"/>
      <c r="R15" s="809"/>
      <c r="S15" s="159">
        <f t="shared" si="4"/>
        <v>6</v>
      </c>
      <c r="T15" s="159"/>
      <c r="U15" s="159"/>
      <c r="V15" s="159"/>
    </row>
    <row r="16" spans="8:22" x14ac:dyDescent="0.3">
      <c r="H16" s="807">
        <v>43974</v>
      </c>
      <c r="I16" s="159">
        <v>511</v>
      </c>
      <c r="J16" s="492">
        <f t="shared" si="3"/>
        <v>-2</v>
      </c>
      <c r="K16" s="159"/>
      <c r="L16" s="704">
        <f t="shared" si="5"/>
        <v>-0.38461538461538464</v>
      </c>
      <c r="M16" s="372">
        <f t="shared" si="6"/>
        <v>-1</v>
      </c>
      <c r="N16" s="372">
        <f t="shared" si="7"/>
        <v>-0.61538461538461542</v>
      </c>
      <c r="O16" s="372"/>
      <c r="P16" s="372"/>
      <c r="Q16" s="372"/>
      <c r="R16" s="809"/>
      <c r="S16" s="159">
        <f t="shared" si="4"/>
        <v>5</v>
      </c>
      <c r="T16" s="159"/>
      <c r="U16" s="159"/>
      <c r="V16" s="159"/>
    </row>
    <row r="17" spans="8:22" x14ac:dyDescent="0.3">
      <c r="H17" s="807">
        <v>43981</v>
      </c>
      <c r="I17" s="159">
        <v>510</v>
      </c>
      <c r="J17" s="492">
        <f t="shared" si="3"/>
        <v>-1</v>
      </c>
      <c r="K17" s="159"/>
      <c r="L17" s="704">
        <f t="shared" si="5"/>
        <v>-0.15384615384615385</v>
      </c>
      <c r="M17" s="372">
        <f t="shared" si="6"/>
        <v>-0.5</v>
      </c>
      <c r="N17" s="372">
        <f t="shared" si="7"/>
        <v>-0.34615384615384615</v>
      </c>
      <c r="O17" s="372"/>
      <c r="P17" s="372"/>
      <c r="Q17" s="372"/>
      <c r="R17" s="809"/>
      <c r="S17" s="159">
        <f t="shared" si="4"/>
        <v>4</v>
      </c>
      <c r="T17" s="159"/>
      <c r="U17" s="159"/>
      <c r="V17" s="159"/>
    </row>
    <row r="18" spans="8:22" x14ac:dyDescent="0.3">
      <c r="H18" s="807">
        <v>43988</v>
      </c>
      <c r="I18" s="159">
        <v>511</v>
      </c>
      <c r="J18" s="492">
        <f t="shared" si="3"/>
        <v>1</v>
      </c>
      <c r="K18" s="159"/>
      <c r="L18" s="704">
        <f t="shared" si="0"/>
        <v>0.11538461538461539</v>
      </c>
      <c r="M18" s="372">
        <f t="shared" si="1"/>
        <v>0.5</v>
      </c>
      <c r="N18" s="372">
        <f t="shared" si="2"/>
        <v>0.38461538461538458</v>
      </c>
      <c r="O18" s="372"/>
      <c r="P18" s="372"/>
      <c r="Q18" s="372"/>
      <c r="R18" s="809"/>
      <c r="S18" s="159">
        <f t="shared" si="4"/>
        <v>3</v>
      </c>
      <c r="T18" s="159"/>
      <c r="U18" s="159"/>
      <c r="V18" s="159"/>
    </row>
    <row r="19" spans="8:22" x14ac:dyDescent="0.3">
      <c r="H19" s="807">
        <v>43994</v>
      </c>
      <c r="I19" s="159">
        <v>512</v>
      </c>
      <c r="J19" s="492">
        <f t="shared" si="3"/>
        <v>1</v>
      </c>
      <c r="K19" s="159"/>
      <c r="L19" s="704">
        <f t="shared" si="0"/>
        <v>7.6923076923076927E-2</v>
      </c>
      <c r="M19" s="372">
        <f t="shared" si="1"/>
        <v>0.5</v>
      </c>
      <c r="N19" s="372">
        <f t="shared" si="2"/>
        <v>0.42307692307692313</v>
      </c>
      <c r="O19" s="372"/>
      <c r="P19" s="372"/>
      <c r="Q19" s="372"/>
      <c r="R19" s="809"/>
      <c r="S19" s="159">
        <f t="shared" si="4"/>
        <v>2</v>
      </c>
      <c r="T19" s="159"/>
      <c r="U19" s="159"/>
      <c r="V19" s="159"/>
    </row>
    <row r="20" spans="8:22" x14ac:dyDescent="0.3">
      <c r="H20" s="807">
        <v>44002</v>
      </c>
      <c r="I20" s="159">
        <v>515</v>
      </c>
      <c r="J20" s="492">
        <f t="shared" si="3"/>
        <v>3</v>
      </c>
      <c r="K20" s="159"/>
      <c r="L20" s="704">
        <f t="shared" si="0"/>
        <v>0.11538461538461539</v>
      </c>
      <c r="M20" s="372">
        <f t="shared" si="1"/>
        <v>1.5</v>
      </c>
      <c r="N20" s="372">
        <f t="shared" si="2"/>
        <v>1.3846153846153846</v>
      </c>
      <c r="O20" s="372"/>
      <c r="P20" s="372"/>
      <c r="Q20" s="372"/>
      <c r="R20" s="809"/>
      <c r="S20" s="159">
        <f t="shared" si="4"/>
        <v>1</v>
      </c>
      <c r="T20" s="159"/>
      <c r="U20" s="159"/>
      <c r="V20" s="159"/>
    </row>
    <row r="21" spans="8:22" x14ac:dyDescent="0.3">
      <c r="H21" s="807">
        <v>44009</v>
      </c>
      <c r="I21" s="159">
        <v>519</v>
      </c>
      <c r="J21" s="492">
        <f t="shared" si="3"/>
        <v>4</v>
      </c>
      <c r="K21" s="159"/>
      <c r="L21" s="704"/>
      <c r="M21" s="372">
        <f>S21/26*J21</f>
        <v>2</v>
      </c>
      <c r="N21" s="372">
        <f t="shared" si="2"/>
        <v>2</v>
      </c>
      <c r="O21" s="372"/>
      <c r="P21" s="372"/>
      <c r="Q21" s="372"/>
      <c r="R21" s="809"/>
      <c r="S21" s="159">
        <v>13</v>
      </c>
      <c r="T21" s="159"/>
      <c r="U21" s="159"/>
      <c r="V21" s="159"/>
    </row>
    <row r="22" spans="8:22" x14ac:dyDescent="0.3">
      <c r="H22" s="807">
        <v>44012</v>
      </c>
      <c r="I22" s="159">
        <v>521</v>
      </c>
      <c r="J22" s="492">
        <f t="shared" si="3"/>
        <v>2</v>
      </c>
      <c r="K22" s="159"/>
      <c r="L22" s="704"/>
      <c r="M22" s="372">
        <f t="shared" ref="M22:M26" si="8">S22/26*J22</f>
        <v>1</v>
      </c>
      <c r="N22" s="372">
        <f>J22-SUM(L22:M22)</f>
        <v>1</v>
      </c>
      <c r="O22" s="372"/>
      <c r="P22" s="372"/>
      <c r="Q22" s="372"/>
      <c r="R22" s="809"/>
      <c r="S22" s="159">
        <v>13</v>
      </c>
      <c r="T22" s="159"/>
      <c r="U22" s="159"/>
      <c r="V22" s="159"/>
    </row>
    <row r="23" spans="8:22" x14ac:dyDescent="0.3">
      <c r="H23" s="807">
        <v>44029</v>
      </c>
      <c r="I23" s="159">
        <v>518</v>
      </c>
      <c r="J23" s="492">
        <f t="shared" si="3"/>
        <v>-3</v>
      </c>
      <c r="K23" s="159"/>
      <c r="L23" s="704"/>
      <c r="M23" s="372">
        <f t="shared" ref="M23" si="9">S23/26*J23</f>
        <v>-1.153846153846154</v>
      </c>
      <c r="N23" s="372">
        <f t="shared" ref="N23" si="10">13/26*J23</f>
        <v>-1.5</v>
      </c>
      <c r="O23" s="372">
        <f t="shared" ref="O23" si="11">J23-N23-M23</f>
        <v>-0.34615384615384603</v>
      </c>
      <c r="P23" s="372"/>
      <c r="Q23" s="372"/>
      <c r="R23" s="809"/>
      <c r="S23" s="159">
        <f>S22-3</f>
        <v>10</v>
      </c>
      <c r="T23" s="159"/>
      <c r="U23" s="159"/>
      <c r="V23" s="159"/>
    </row>
    <row r="24" spans="8:22" x14ac:dyDescent="0.3">
      <c r="H24" s="807">
        <v>44036</v>
      </c>
      <c r="I24" s="159">
        <v>520</v>
      </c>
      <c r="J24" s="492">
        <f t="shared" si="3"/>
        <v>2</v>
      </c>
      <c r="K24" s="159"/>
      <c r="L24" s="704"/>
      <c r="M24" s="372">
        <f t="shared" si="8"/>
        <v>0.69230769230769229</v>
      </c>
      <c r="N24" s="372">
        <f t="shared" ref="N24:N26" si="12">13/26*J24</f>
        <v>1</v>
      </c>
      <c r="O24" s="372">
        <f t="shared" ref="O24:O26" si="13">J24-N24-M24</f>
        <v>0.30769230769230771</v>
      </c>
      <c r="P24" s="372"/>
      <c r="Q24" s="372"/>
      <c r="R24" s="809"/>
      <c r="S24" s="159">
        <f>S23-1</f>
        <v>9</v>
      </c>
      <c r="T24" s="159"/>
      <c r="U24" s="159"/>
      <c r="V24" s="159"/>
    </row>
    <row r="25" spans="8:22" x14ac:dyDescent="0.3">
      <c r="H25" s="807">
        <v>44043</v>
      </c>
      <c r="I25" s="159">
        <v>521</v>
      </c>
      <c r="J25" s="492">
        <f t="shared" si="3"/>
        <v>1</v>
      </c>
      <c r="K25" s="159"/>
      <c r="L25" s="704"/>
      <c r="M25" s="372">
        <f t="shared" si="8"/>
        <v>0.30769230769230771</v>
      </c>
      <c r="N25" s="372">
        <f t="shared" si="12"/>
        <v>0.5</v>
      </c>
      <c r="O25" s="372">
        <f t="shared" si="13"/>
        <v>0.19230769230769229</v>
      </c>
      <c r="P25" s="372"/>
      <c r="Q25" s="372"/>
      <c r="R25" s="809"/>
      <c r="S25" s="159">
        <f>S24-1</f>
        <v>8</v>
      </c>
      <c r="T25" s="159"/>
      <c r="U25" s="159"/>
      <c r="V25" s="159"/>
    </row>
    <row r="26" spans="8:22" x14ac:dyDescent="0.3">
      <c r="H26" s="807">
        <v>44051</v>
      </c>
      <c r="I26" s="159">
        <v>525</v>
      </c>
      <c r="J26" s="492">
        <f t="shared" si="3"/>
        <v>4</v>
      </c>
      <c r="K26" s="159"/>
      <c r="L26" s="704"/>
      <c r="M26" s="372">
        <f t="shared" si="8"/>
        <v>1.0769230769230769</v>
      </c>
      <c r="N26" s="372">
        <f t="shared" si="12"/>
        <v>2</v>
      </c>
      <c r="O26" s="372">
        <f t="shared" si="13"/>
        <v>0.92307692307692313</v>
      </c>
      <c r="P26" s="372"/>
      <c r="Q26" s="372"/>
      <c r="R26" s="809"/>
      <c r="S26" s="159">
        <f>S25-1</f>
        <v>7</v>
      </c>
      <c r="T26" s="159"/>
      <c r="U26" s="159"/>
      <c r="V26" s="159"/>
    </row>
    <row r="27" spans="8:22" x14ac:dyDescent="0.3">
      <c r="H27" s="807">
        <v>44220</v>
      </c>
      <c r="I27" s="159">
        <v>558</v>
      </c>
      <c r="J27" s="492">
        <f t="shared" si="3"/>
        <v>33</v>
      </c>
      <c r="K27" s="159"/>
      <c r="L27" s="704"/>
      <c r="M27" s="372"/>
      <c r="N27" s="372"/>
      <c r="O27" s="372">
        <f>S27/26*J27</f>
        <v>12.692307692307693</v>
      </c>
      <c r="P27" s="372">
        <f>J27/2</f>
        <v>16.5</v>
      </c>
      <c r="Q27" s="372">
        <f>J27-P27-O27</f>
        <v>3.8076923076923066</v>
      </c>
      <c r="R27" s="809"/>
      <c r="S27" s="159">
        <v>10</v>
      </c>
      <c r="T27" s="159">
        <v>10</v>
      </c>
      <c r="U27" s="159"/>
      <c r="V27" s="159"/>
    </row>
    <row r="28" spans="8:22" x14ac:dyDescent="0.3">
      <c r="H28" s="807">
        <v>44227</v>
      </c>
      <c r="I28" s="159">
        <v>596</v>
      </c>
      <c r="J28" s="492">
        <f t="shared" si="3"/>
        <v>38</v>
      </c>
      <c r="K28" s="159"/>
      <c r="L28" s="704"/>
      <c r="M28" s="372"/>
      <c r="N28" s="372"/>
      <c r="O28" s="372">
        <f t="shared" ref="O28:O36" si="14">S28/26*J28</f>
        <v>13.153846153846153</v>
      </c>
      <c r="P28" s="372">
        <f t="shared" ref="P28:P36" si="15">J28/2</f>
        <v>19</v>
      </c>
      <c r="Q28" s="372">
        <f t="shared" ref="Q28:Q36" si="16">J28-P28-O28</f>
        <v>5.8461538461538467</v>
      </c>
      <c r="R28" s="809"/>
      <c r="S28" s="159">
        <f>S27-1</f>
        <v>9</v>
      </c>
      <c r="T28" s="159">
        <f>T27-1</f>
        <v>9</v>
      </c>
      <c r="U28" s="159"/>
      <c r="V28" s="159"/>
    </row>
    <row r="29" spans="8:22" x14ac:dyDescent="0.3">
      <c r="H29" s="807">
        <v>44234</v>
      </c>
      <c r="I29" s="159">
        <v>623</v>
      </c>
      <c r="J29" s="492">
        <f t="shared" si="3"/>
        <v>27</v>
      </c>
      <c r="K29" s="159"/>
      <c r="L29" s="704"/>
      <c r="M29" s="372"/>
      <c r="N29" s="372"/>
      <c r="O29" s="372">
        <f t="shared" si="14"/>
        <v>8.3076923076923084</v>
      </c>
      <c r="P29" s="372">
        <f t="shared" si="15"/>
        <v>13.5</v>
      </c>
      <c r="Q29" s="372">
        <f t="shared" si="16"/>
        <v>5.1923076923076916</v>
      </c>
      <c r="R29" s="809"/>
      <c r="S29" s="159">
        <f t="shared" ref="S29:S36" si="17">S28-1</f>
        <v>8</v>
      </c>
      <c r="T29" s="159">
        <f t="shared" ref="T29:T36" si="18">T28-1</f>
        <v>8</v>
      </c>
      <c r="U29" s="159"/>
      <c r="V29" s="159"/>
    </row>
    <row r="30" spans="8:22" x14ac:dyDescent="0.3">
      <c r="H30" s="807">
        <v>44242</v>
      </c>
      <c r="I30" s="159">
        <v>648</v>
      </c>
      <c r="J30" s="492">
        <f t="shared" si="3"/>
        <v>25</v>
      </c>
      <c r="K30" s="159"/>
      <c r="L30" s="704"/>
      <c r="M30" s="372"/>
      <c r="N30" s="372"/>
      <c r="O30" s="372">
        <f t="shared" si="14"/>
        <v>6.7307692307692308</v>
      </c>
      <c r="P30" s="372">
        <f t="shared" si="15"/>
        <v>12.5</v>
      </c>
      <c r="Q30" s="372">
        <f t="shared" si="16"/>
        <v>5.7692307692307692</v>
      </c>
      <c r="R30" s="809"/>
      <c r="S30" s="159">
        <f t="shared" si="17"/>
        <v>7</v>
      </c>
      <c r="T30" s="159">
        <f t="shared" si="18"/>
        <v>7</v>
      </c>
      <c r="U30" s="159"/>
      <c r="V30" s="159"/>
    </row>
    <row r="31" spans="8:22" x14ac:dyDescent="0.3">
      <c r="H31" s="807">
        <v>44248</v>
      </c>
      <c r="I31" s="159">
        <v>663</v>
      </c>
      <c r="J31" s="492">
        <f t="shared" si="3"/>
        <v>15</v>
      </c>
      <c r="K31" s="159"/>
      <c r="L31" s="704"/>
      <c r="M31" s="372"/>
      <c r="N31" s="372"/>
      <c r="O31" s="372">
        <f t="shared" si="14"/>
        <v>3.4615384615384617</v>
      </c>
      <c r="P31" s="372">
        <f t="shared" si="15"/>
        <v>7.5</v>
      </c>
      <c r="Q31" s="372">
        <f t="shared" si="16"/>
        <v>4.0384615384615383</v>
      </c>
      <c r="R31" s="809"/>
      <c r="S31" s="159">
        <f t="shared" si="17"/>
        <v>6</v>
      </c>
      <c r="T31" s="159">
        <f t="shared" si="18"/>
        <v>6</v>
      </c>
      <c r="U31" s="159"/>
      <c r="V31" s="159"/>
    </row>
    <row r="32" spans="8:22" x14ac:dyDescent="0.3">
      <c r="H32" s="807">
        <v>44255</v>
      </c>
      <c r="I32" s="159">
        <v>679</v>
      </c>
      <c r="J32" s="492">
        <f t="shared" si="3"/>
        <v>16</v>
      </c>
      <c r="K32" s="159"/>
      <c r="L32" s="704"/>
      <c r="M32" s="372"/>
      <c r="N32" s="372"/>
      <c r="O32" s="372">
        <f t="shared" si="14"/>
        <v>3.0769230769230771</v>
      </c>
      <c r="P32" s="372">
        <f t="shared" si="15"/>
        <v>8</v>
      </c>
      <c r="Q32" s="372">
        <f t="shared" si="16"/>
        <v>4.9230769230769234</v>
      </c>
      <c r="R32" s="809"/>
      <c r="S32" s="159">
        <f t="shared" si="17"/>
        <v>5</v>
      </c>
      <c r="T32" s="159">
        <f t="shared" si="18"/>
        <v>5</v>
      </c>
      <c r="U32" s="159"/>
      <c r="V32" s="159"/>
    </row>
    <row r="33" spans="8:22" x14ac:dyDescent="0.3">
      <c r="H33" s="807">
        <v>44262</v>
      </c>
      <c r="I33" s="159">
        <v>687</v>
      </c>
      <c r="J33" s="492">
        <f t="shared" si="3"/>
        <v>8</v>
      </c>
      <c r="K33" s="159"/>
      <c r="L33" s="704"/>
      <c r="M33" s="372"/>
      <c r="N33" s="372"/>
      <c r="O33" s="372">
        <f t="shared" si="14"/>
        <v>1.2307692307692308</v>
      </c>
      <c r="P33" s="372">
        <f t="shared" si="15"/>
        <v>4</v>
      </c>
      <c r="Q33" s="372">
        <f t="shared" si="16"/>
        <v>2.7692307692307692</v>
      </c>
      <c r="R33" s="809"/>
      <c r="S33" s="159">
        <f t="shared" si="17"/>
        <v>4</v>
      </c>
      <c r="T33" s="159">
        <f t="shared" si="18"/>
        <v>4</v>
      </c>
      <c r="U33" s="159"/>
      <c r="V33" s="159"/>
    </row>
    <row r="34" spans="8:22" x14ac:dyDescent="0.3">
      <c r="H34" s="807">
        <v>44269</v>
      </c>
      <c r="I34" s="159">
        <v>704</v>
      </c>
      <c r="J34" s="492">
        <f t="shared" si="3"/>
        <v>17</v>
      </c>
      <c r="K34" s="159"/>
      <c r="L34" s="704"/>
      <c r="M34" s="372"/>
      <c r="N34" s="372"/>
      <c r="O34" s="372">
        <f t="shared" si="14"/>
        <v>1.9615384615384617</v>
      </c>
      <c r="P34" s="372">
        <f t="shared" si="15"/>
        <v>8.5</v>
      </c>
      <c r="Q34" s="372">
        <f t="shared" si="16"/>
        <v>6.5384615384615383</v>
      </c>
      <c r="R34" s="809"/>
      <c r="S34" s="159">
        <f t="shared" si="17"/>
        <v>3</v>
      </c>
      <c r="T34" s="159">
        <f t="shared" si="18"/>
        <v>3</v>
      </c>
      <c r="U34" s="159"/>
      <c r="V34" s="159"/>
    </row>
    <row r="35" spans="8:22" x14ac:dyDescent="0.3">
      <c r="H35" s="807">
        <v>44276</v>
      </c>
      <c r="I35" s="159">
        <v>718</v>
      </c>
      <c r="J35" s="492">
        <f t="shared" si="3"/>
        <v>14</v>
      </c>
      <c r="K35" s="159"/>
      <c r="L35" s="704"/>
      <c r="M35" s="372"/>
      <c r="N35" s="372"/>
      <c r="O35" s="372">
        <f t="shared" si="14"/>
        <v>1.0769230769230771</v>
      </c>
      <c r="P35" s="372">
        <f t="shared" si="15"/>
        <v>7</v>
      </c>
      <c r="Q35" s="372">
        <f t="shared" si="16"/>
        <v>5.9230769230769234</v>
      </c>
      <c r="R35" s="809"/>
      <c r="S35" s="159">
        <f t="shared" si="17"/>
        <v>2</v>
      </c>
      <c r="T35" s="159">
        <f t="shared" si="18"/>
        <v>2</v>
      </c>
      <c r="U35" s="159"/>
      <c r="V35" s="159"/>
    </row>
    <row r="36" spans="8:22" x14ac:dyDescent="0.3">
      <c r="H36" s="807">
        <v>44283</v>
      </c>
      <c r="I36" s="159">
        <v>734</v>
      </c>
      <c r="J36" s="492">
        <f t="shared" si="3"/>
        <v>16</v>
      </c>
      <c r="K36" s="159"/>
      <c r="L36" s="704"/>
      <c r="M36" s="372"/>
      <c r="N36" s="372"/>
      <c r="O36" s="372">
        <f t="shared" si="14"/>
        <v>0.61538461538461542</v>
      </c>
      <c r="P36" s="372">
        <f t="shared" si="15"/>
        <v>8</v>
      </c>
      <c r="Q36" s="372">
        <f t="shared" si="16"/>
        <v>7.384615384615385</v>
      </c>
      <c r="R36" s="809"/>
      <c r="S36" s="159">
        <f t="shared" si="17"/>
        <v>1</v>
      </c>
      <c r="T36" s="159">
        <f t="shared" si="18"/>
        <v>1</v>
      </c>
      <c r="U36" s="159"/>
      <c r="V36" s="159"/>
    </row>
    <row r="37" spans="8:22" x14ac:dyDescent="0.3">
      <c r="H37" s="807">
        <v>44290</v>
      </c>
      <c r="I37" s="159">
        <v>746</v>
      </c>
      <c r="J37" s="492">
        <f t="shared" si="3"/>
        <v>12</v>
      </c>
      <c r="K37" s="159"/>
      <c r="L37" s="704"/>
      <c r="M37" s="372"/>
      <c r="N37" s="372"/>
      <c r="O37" s="372"/>
      <c r="P37" s="372">
        <f>T37/26*J37</f>
        <v>6</v>
      </c>
      <c r="Q37" s="372">
        <f>J37/2</f>
        <v>6</v>
      </c>
      <c r="R37" s="809">
        <f>J37-Q37-P37</f>
        <v>0</v>
      </c>
      <c r="S37" s="159">
        <v>13</v>
      </c>
      <c r="T37" s="159">
        <v>13</v>
      </c>
      <c r="U37" s="159"/>
      <c r="V37" s="159"/>
    </row>
    <row r="38" spans="8:22" x14ac:dyDescent="0.3">
      <c r="H38" s="807">
        <v>44297</v>
      </c>
      <c r="I38" s="159">
        <v>755</v>
      </c>
      <c r="J38" s="492">
        <f t="shared" si="3"/>
        <v>9</v>
      </c>
      <c r="K38" s="159"/>
      <c r="L38" s="704"/>
      <c r="M38" s="372"/>
      <c r="N38" s="372"/>
      <c r="O38" s="372"/>
      <c r="P38" s="372">
        <f t="shared" ref="P38:P45" si="19">T38/26*J38</f>
        <v>4.1538461538461542</v>
      </c>
      <c r="Q38" s="372">
        <f t="shared" ref="Q38:Q45" si="20">J38/2</f>
        <v>4.5</v>
      </c>
      <c r="R38" s="809">
        <f t="shared" ref="R38:R45" si="21">J38-Q38-P38</f>
        <v>0.34615384615384581</v>
      </c>
      <c r="S38" s="159">
        <f>S37-1</f>
        <v>12</v>
      </c>
      <c r="T38" s="159">
        <f>T37-1</f>
        <v>12</v>
      </c>
      <c r="U38" s="159"/>
      <c r="V38" s="159"/>
    </row>
    <row r="39" spans="8:22" x14ac:dyDescent="0.3">
      <c r="H39" s="807">
        <v>44304</v>
      </c>
      <c r="I39" s="159">
        <v>762</v>
      </c>
      <c r="J39" s="492">
        <f t="shared" si="3"/>
        <v>7</v>
      </c>
      <c r="K39" s="159"/>
      <c r="L39" s="704"/>
      <c r="M39" s="372"/>
      <c r="N39" s="372"/>
      <c r="O39" s="372"/>
      <c r="P39" s="372">
        <f t="shared" si="19"/>
        <v>2.9615384615384617</v>
      </c>
      <c r="Q39" s="372">
        <f t="shared" si="20"/>
        <v>3.5</v>
      </c>
      <c r="R39" s="809">
        <f t="shared" si="21"/>
        <v>0.53846153846153832</v>
      </c>
      <c r="S39" s="159">
        <f t="shared" ref="S39:S45" si="22">S38-1</f>
        <v>11</v>
      </c>
      <c r="T39" s="159">
        <f t="shared" ref="T39:T45" si="23">T38-1</f>
        <v>11</v>
      </c>
      <c r="U39" s="159"/>
      <c r="V39" s="159"/>
    </row>
    <row r="40" spans="8:22" x14ac:dyDescent="0.3">
      <c r="H40" s="807">
        <v>44311</v>
      </c>
      <c r="I40" s="159">
        <v>771</v>
      </c>
      <c r="J40" s="492">
        <f t="shared" si="3"/>
        <v>9</v>
      </c>
      <c r="K40" s="159"/>
      <c r="L40" s="704"/>
      <c r="M40" s="372"/>
      <c r="N40" s="372"/>
      <c r="O40" s="372"/>
      <c r="P40" s="372">
        <f t="shared" si="19"/>
        <v>3.4615384615384617</v>
      </c>
      <c r="Q40" s="372">
        <f t="shared" si="20"/>
        <v>4.5</v>
      </c>
      <c r="R40" s="809">
        <f t="shared" si="21"/>
        <v>1.0384615384615383</v>
      </c>
      <c r="S40" s="159">
        <f t="shared" si="22"/>
        <v>10</v>
      </c>
      <c r="T40" s="159">
        <f t="shared" si="23"/>
        <v>10</v>
      </c>
      <c r="U40" s="159"/>
      <c r="V40" s="159"/>
    </row>
    <row r="41" spans="8:22" x14ac:dyDescent="0.3">
      <c r="H41" s="807">
        <v>44318</v>
      </c>
      <c r="I41" s="159">
        <v>780</v>
      </c>
      <c r="J41" s="492">
        <f t="shared" si="3"/>
        <v>9</v>
      </c>
      <c r="K41" s="159"/>
      <c r="L41" s="704"/>
      <c r="M41" s="372"/>
      <c r="N41" s="372"/>
      <c r="O41" s="372"/>
      <c r="P41" s="372">
        <f t="shared" si="19"/>
        <v>3.1153846153846154</v>
      </c>
      <c r="Q41" s="372">
        <f t="shared" si="20"/>
        <v>4.5</v>
      </c>
      <c r="R41" s="809">
        <f t="shared" si="21"/>
        <v>1.3846153846153846</v>
      </c>
      <c r="S41" s="159">
        <f t="shared" si="22"/>
        <v>9</v>
      </c>
      <c r="T41" s="159">
        <f t="shared" si="23"/>
        <v>9</v>
      </c>
      <c r="U41" s="159"/>
      <c r="V41" s="159"/>
    </row>
    <row r="42" spans="8:22" x14ac:dyDescent="0.3">
      <c r="H42" s="807">
        <v>44325</v>
      </c>
      <c r="I42" s="159">
        <v>782</v>
      </c>
      <c r="J42" s="492">
        <f t="shared" si="3"/>
        <v>2</v>
      </c>
      <c r="K42" s="159"/>
      <c r="L42" s="704"/>
      <c r="M42" s="372"/>
      <c r="N42" s="372"/>
      <c r="O42" s="372"/>
      <c r="P42" s="372">
        <f t="shared" si="19"/>
        <v>0.61538461538461542</v>
      </c>
      <c r="Q42" s="372">
        <f t="shared" si="20"/>
        <v>1</v>
      </c>
      <c r="R42" s="809">
        <f t="shared" si="21"/>
        <v>0.38461538461538458</v>
      </c>
      <c r="S42" s="159">
        <f t="shared" si="22"/>
        <v>8</v>
      </c>
      <c r="T42" s="159">
        <f t="shared" si="23"/>
        <v>8</v>
      </c>
      <c r="U42" s="159"/>
      <c r="V42" s="159"/>
    </row>
    <row r="43" spans="8:22" x14ac:dyDescent="0.3">
      <c r="H43" s="807">
        <v>44332</v>
      </c>
      <c r="I43" s="159">
        <v>788</v>
      </c>
      <c r="J43" s="492">
        <f t="shared" si="3"/>
        <v>6</v>
      </c>
      <c r="K43" s="159"/>
      <c r="L43" s="704"/>
      <c r="M43" s="372"/>
      <c r="N43" s="372"/>
      <c r="O43" s="372"/>
      <c r="P43" s="372">
        <f t="shared" si="19"/>
        <v>1.6153846153846154</v>
      </c>
      <c r="Q43" s="372">
        <f t="shared" si="20"/>
        <v>3</v>
      </c>
      <c r="R43" s="809">
        <f t="shared" si="21"/>
        <v>1.3846153846153846</v>
      </c>
      <c r="S43" s="159">
        <f t="shared" si="22"/>
        <v>7</v>
      </c>
      <c r="T43" s="159">
        <f t="shared" si="23"/>
        <v>7</v>
      </c>
      <c r="U43" s="159"/>
      <c r="V43" s="159"/>
    </row>
    <row r="44" spans="8:22" x14ac:dyDescent="0.3">
      <c r="H44" s="807">
        <v>44339</v>
      </c>
      <c r="I44" s="159">
        <v>796</v>
      </c>
      <c r="J44" s="492">
        <f t="shared" si="3"/>
        <v>8</v>
      </c>
      <c r="K44" s="159"/>
      <c r="L44" s="704"/>
      <c r="M44" s="372"/>
      <c r="N44" s="372"/>
      <c r="O44" s="372"/>
      <c r="P44" s="372">
        <f t="shared" si="19"/>
        <v>1.8461538461538463</v>
      </c>
      <c r="Q44" s="372">
        <f t="shared" si="20"/>
        <v>4</v>
      </c>
      <c r="R44" s="809">
        <f t="shared" si="21"/>
        <v>2.1538461538461537</v>
      </c>
      <c r="S44" s="159">
        <f t="shared" si="22"/>
        <v>6</v>
      </c>
      <c r="T44" s="159">
        <f t="shared" si="23"/>
        <v>6</v>
      </c>
      <c r="U44" s="159"/>
      <c r="V44" s="159"/>
    </row>
    <row r="45" spans="8:22" x14ac:dyDescent="0.3">
      <c r="H45" s="808">
        <v>44347</v>
      </c>
      <c r="I45" s="487">
        <v>800</v>
      </c>
      <c r="J45" s="493">
        <f t="shared" si="3"/>
        <v>4</v>
      </c>
      <c r="K45" s="159"/>
      <c r="L45" s="704"/>
      <c r="M45" s="372"/>
      <c r="N45" s="372"/>
      <c r="O45" s="372"/>
      <c r="P45" s="372">
        <f t="shared" si="19"/>
        <v>0.76923076923076927</v>
      </c>
      <c r="Q45" s="372">
        <f t="shared" si="20"/>
        <v>2</v>
      </c>
      <c r="R45" s="809">
        <f t="shared" si="21"/>
        <v>1.2307692307692308</v>
      </c>
      <c r="S45" s="159">
        <f t="shared" si="22"/>
        <v>5</v>
      </c>
      <c r="T45" s="159">
        <f t="shared" si="23"/>
        <v>5</v>
      </c>
      <c r="U45" s="159"/>
      <c r="V45" s="159"/>
    </row>
    <row r="46" spans="8:22" x14ac:dyDescent="0.3">
      <c r="H46" s="159"/>
      <c r="I46" s="159"/>
      <c r="J46" s="159"/>
      <c r="K46" s="159"/>
      <c r="L46" s="704">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809">
        <f t="shared" si="24"/>
        <v>8.4615384615384599</v>
      </c>
      <c r="S46" s="159"/>
      <c r="T46" s="159"/>
      <c r="U46" s="159"/>
      <c r="V46" s="159"/>
    </row>
    <row r="47" spans="8:22" x14ac:dyDescent="0.3">
      <c r="H47" s="159"/>
      <c r="I47" s="159"/>
      <c r="J47" s="159"/>
      <c r="K47" s="159"/>
      <c r="L47" s="705">
        <f>L46*4</f>
        <v>739.23076923076917</v>
      </c>
      <c r="M47" s="706">
        <f t="shared" ref="M47:R47" si="25">M46*4</f>
        <v>1045.6923076923078</v>
      </c>
      <c r="N47" s="706">
        <f t="shared" si="25"/>
        <v>310.76923076923077</v>
      </c>
      <c r="O47" s="706">
        <f t="shared" si="25"/>
        <v>213.53846153846158</v>
      </c>
      <c r="P47" s="706">
        <f t="shared" si="25"/>
        <v>516.15384615384619</v>
      </c>
      <c r="Q47" s="706">
        <f t="shared" si="25"/>
        <v>340.76923076923077</v>
      </c>
      <c r="R47" s="810">
        <f t="shared" si="25"/>
        <v>33.84615384615384</v>
      </c>
      <c r="S47" s="159" t="s">
        <v>323</v>
      </c>
      <c r="T47" s="159"/>
      <c r="U47" s="159"/>
      <c r="V47" s="159"/>
    </row>
    <row r="48" spans="8:22" x14ac:dyDescent="0.3">
      <c r="J48" s="163" t="s">
        <v>324</v>
      </c>
      <c r="L48" s="163">
        <v>634</v>
      </c>
      <c r="M48" s="599">
        <f>K55</f>
        <v>900.7</v>
      </c>
      <c r="N48" s="599">
        <f t="shared" ref="N48:P48" si="26">L55</f>
        <v>270.7</v>
      </c>
      <c r="O48" s="599">
        <f t="shared" si="26"/>
        <v>208.7</v>
      </c>
      <c r="P48" s="599">
        <f t="shared" si="26"/>
        <v>469.7</v>
      </c>
      <c r="Q48" s="599">
        <v>279</v>
      </c>
      <c r="R48" s="599"/>
    </row>
    <row r="50" spans="8:29" x14ac:dyDescent="0.3">
      <c r="H50" s="1706" t="s">
        <v>325</v>
      </c>
      <c r="I50" s="1707"/>
      <c r="J50" s="1625" t="s">
        <v>280</v>
      </c>
      <c r="K50" s="1626"/>
      <c r="L50" s="1626"/>
      <c r="M50" s="1660"/>
      <c r="N50" s="1660"/>
      <c r="O50" s="1660"/>
      <c r="P50" s="1630"/>
      <c r="Q50" s="431"/>
      <c r="R50" s="431"/>
      <c r="S50" s="431"/>
      <c r="T50" s="431"/>
      <c r="U50" s="431"/>
      <c r="V50" s="431"/>
      <c r="W50" s="431"/>
      <c r="X50" s="431"/>
      <c r="Y50" s="431"/>
    </row>
    <row r="51" spans="8:29" x14ac:dyDescent="0.3">
      <c r="H51" s="1708"/>
      <c r="I51" s="1709"/>
      <c r="J51" s="1600">
        <v>2020</v>
      </c>
      <c r="K51" s="1622"/>
      <c r="L51" s="1622"/>
      <c r="M51" s="1600">
        <v>2021</v>
      </c>
      <c r="N51" s="1622"/>
      <c r="O51" s="1622"/>
      <c r="P51" s="1637"/>
      <c r="Q51" s="1656"/>
      <c r="R51" s="1656"/>
      <c r="S51" s="1656"/>
      <c r="T51" s="1656"/>
      <c r="U51" s="1656"/>
      <c r="V51" s="1656"/>
      <c r="W51" s="1656"/>
      <c r="X51" s="1656"/>
    </row>
    <row r="52" spans="8:29" x14ac:dyDescent="0.3">
      <c r="H52" s="1732"/>
      <c r="I52" s="1733"/>
      <c r="J52" s="118" t="s">
        <v>284</v>
      </c>
      <c r="K52" s="132" t="s">
        <v>238</v>
      </c>
      <c r="L52" s="132" t="s">
        <v>282</v>
      </c>
      <c r="M52" s="570" t="s">
        <v>283</v>
      </c>
      <c r="N52" s="571" t="s">
        <v>284</v>
      </c>
      <c r="O52" s="571" t="s">
        <v>238</v>
      </c>
      <c r="P52" s="569" t="s">
        <v>282</v>
      </c>
      <c r="Q52" s="159"/>
      <c r="S52" s="163"/>
      <c r="T52" s="163"/>
      <c r="U52" s="159"/>
      <c r="V52" s="163"/>
      <c r="W52" s="163"/>
      <c r="X52" s="163"/>
      <c r="Y52" s="163"/>
      <c r="Z52" s="163"/>
      <c r="AA52" s="163"/>
    </row>
    <row r="53" spans="8:29" ht="32.85" customHeight="1" x14ac:dyDescent="0.3">
      <c r="H53" s="392" t="s">
        <v>326</v>
      </c>
      <c r="I53" s="159" t="s">
        <v>327</v>
      </c>
      <c r="J53" s="802">
        <f>'Haver Pivoted'!GU47</f>
        <v>57.2</v>
      </c>
      <c r="K53" s="816">
        <f>'Haver Pivoted'!GV47</f>
        <v>81.2</v>
      </c>
      <c r="L53" s="816">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
      <c r="H54" s="392" t="s">
        <v>328</v>
      </c>
      <c r="I54" s="161" t="s">
        <v>329</v>
      </c>
      <c r="J54" s="801">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
      <c r="H55" s="494" t="s">
        <v>312</v>
      </c>
      <c r="I55" s="159"/>
      <c r="J55" s="801">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
      <c r="H56" s="229" t="s">
        <v>330</v>
      </c>
      <c r="I56" s="487"/>
      <c r="J56" s="707">
        <f t="shared" ref="J56:P56" si="29">J53/J55</f>
        <v>9.0206592020186091E-2</v>
      </c>
      <c r="K56" s="708">
        <f t="shared" si="29"/>
        <v>9.015210391917397E-2</v>
      </c>
      <c r="L56" s="708">
        <f t="shared" si="29"/>
        <v>9.0136682674547469E-2</v>
      </c>
      <c r="M56" s="708">
        <f t="shared" si="29"/>
        <v>5.6061332055582176E-2</v>
      </c>
      <c r="N56" s="708">
        <f t="shared" si="29"/>
        <v>6.0677027890142649E-2</v>
      </c>
      <c r="O56" s="709">
        <f t="shared" si="29"/>
        <v>6.3620981387478848E-2</v>
      </c>
      <c r="P56" s="709">
        <f t="shared" si="29"/>
        <v>5.3691275167785234E-2</v>
      </c>
      <c r="Q56" s="805"/>
      <c r="R56" s="670"/>
    </row>
    <row r="58" spans="8:29" x14ac:dyDescent="0.3">
      <c r="H58" s="163" t="s">
        <v>824</v>
      </c>
    </row>
    <row r="59" spans="8:29" x14ac:dyDescent="0.3">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
      <c r="P60" s="164"/>
      <c r="Q60" s="163"/>
      <c r="R60" s="163"/>
      <c r="S60" s="163"/>
      <c r="T60" s="163"/>
      <c r="U60" s="163"/>
      <c r="V60" s="163"/>
      <c r="W60" s="163"/>
      <c r="X60" s="163"/>
      <c r="Y60" s="163"/>
      <c r="Z60" s="163"/>
      <c r="AA60" s="163"/>
      <c r="AB60" s="163"/>
      <c r="AC60" s="163"/>
    </row>
    <row r="61" spans="8:29" x14ac:dyDescent="0.3">
      <c r="P61" s="164"/>
      <c r="Q61" s="803"/>
      <c r="R61" s="803"/>
      <c r="S61" s="803"/>
      <c r="T61" s="803"/>
      <c r="U61" s="803"/>
      <c r="V61" s="803"/>
      <c r="W61" s="803"/>
      <c r="X61" s="803"/>
      <c r="Y61" s="803"/>
      <c r="Z61" s="803"/>
      <c r="AA61" s="803"/>
      <c r="AB61" s="803"/>
      <c r="AC61" s="163"/>
    </row>
    <row r="62" spans="8:29" x14ac:dyDescent="0.3">
      <c r="P62" s="164"/>
      <c r="Q62" s="803"/>
      <c r="R62" s="803"/>
      <c r="S62" s="803"/>
      <c r="T62" s="803"/>
      <c r="U62" s="803"/>
      <c r="V62" s="803"/>
      <c r="W62" s="803"/>
      <c r="X62" s="803"/>
      <c r="Y62" s="803"/>
      <c r="Z62" s="803"/>
      <c r="AA62" s="803"/>
      <c r="AB62" s="803"/>
      <c r="AC62" s="163"/>
    </row>
    <row r="63" spans="8:29" x14ac:dyDescent="0.3">
      <c r="I63" s="163" t="s">
        <v>283</v>
      </c>
      <c r="J63" s="163" t="s">
        <v>284</v>
      </c>
      <c r="K63" s="163" t="s">
        <v>238</v>
      </c>
      <c r="L63" s="163" t="s">
        <v>282</v>
      </c>
      <c r="P63" s="670"/>
      <c r="Q63" s="803"/>
      <c r="R63" s="803"/>
      <c r="S63" s="803"/>
      <c r="T63" s="803"/>
      <c r="U63" s="803"/>
      <c r="V63" s="803"/>
      <c r="W63" s="803"/>
      <c r="X63" s="803"/>
      <c r="Y63" s="803"/>
      <c r="Z63" s="803"/>
      <c r="AA63" s="803"/>
      <c r="AB63" s="803"/>
      <c r="AC63" s="163"/>
    </row>
    <row r="64" spans="8:29" x14ac:dyDescent="0.3">
      <c r="H64" s="163" t="s">
        <v>825</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
      <c r="H65" s="163" t="s">
        <v>473</v>
      </c>
      <c r="I65" s="599">
        <f>M53</f>
        <v>11.7</v>
      </c>
      <c r="J65" s="599">
        <f t="shared" ref="J65:K65" si="30">N53</f>
        <v>28.5</v>
      </c>
      <c r="K65" s="599">
        <f t="shared" si="30"/>
        <v>18.8</v>
      </c>
      <c r="L65" s="163" t="e">
        <f>#REF!</f>
        <v>#REF!</v>
      </c>
      <c r="P65" s="163"/>
      <c r="Q65" s="163"/>
      <c r="R65" s="163"/>
      <c r="S65" s="163"/>
      <c r="T65" s="163"/>
      <c r="U65" s="163"/>
      <c r="V65" s="163"/>
      <c r="W65" s="163"/>
      <c r="X65" s="163"/>
      <c r="Y65" s="163"/>
      <c r="Z65" s="163"/>
      <c r="AA65" s="163"/>
      <c r="AB65" s="163"/>
      <c r="AC65" s="163"/>
    </row>
    <row r="66" spans="7:29" x14ac:dyDescent="0.3">
      <c r="H66" s="163" t="s">
        <v>826</v>
      </c>
      <c r="I66" s="599">
        <f>I67-SUM(I64:I65)</f>
        <v>115.39999999999999</v>
      </c>
      <c r="J66" s="599">
        <f t="shared" ref="J66:K66" si="31">J67-SUM(J64:J65)</f>
        <v>252.29999999999998</v>
      </c>
      <c r="K66" s="599">
        <f t="shared" si="31"/>
        <v>159.5</v>
      </c>
      <c r="L66" s="599" t="e">
        <f>1.26*L64</f>
        <v>#REF!</v>
      </c>
      <c r="P66" s="163"/>
      <c r="Q66" s="163"/>
      <c r="R66" s="163"/>
      <c r="S66" s="163"/>
      <c r="T66" s="163"/>
      <c r="U66" s="163"/>
      <c r="V66" s="163"/>
      <c r="W66" s="163"/>
      <c r="X66" s="163"/>
      <c r="Y66" s="163"/>
      <c r="Z66" s="163"/>
      <c r="AA66" s="163"/>
      <c r="AB66" s="163"/>
      <c r="AC66" s="163"/>
    </row>
    <row r="67" spans="7:29" x14ac:dyDescent="0.3">
      <c r="H67" s="163" t="s">
        <v>312</v>
      </c>
      <c r="I67" s="599">
        <f>M55</f>
        <v>208.7</v>
      </c>
      <c r="J67" s="599">
        <f>N55</f>
        <v>469.7</v>
      </c>
      <c r="K67" s="599">
        <f>O55</f>
        <v>295.5</v>
      </c>
      <c r="L67" s="599" t="e">
        <f>SUM(L64:L66)</f>
        <v>#REF!</v>
      </c>
    </row>
    <row r="68" spans="7:29" x14ac:dyDescent="0.3">
      <c r="G68" s="163" t="s">
        <v>827</v>
      </c>
    </row>
    <row r="69" spans="7:29" x14ac:dyDescent="0.3">
      <c r="H69" s="163" t="s">
        <v>825</v>
      </c>
      <c r="I69" s="537">
        <f>I64/I$67</f>
        <v>0.39099185433636796</v>
      </c>
      <c r="J69" s="537">
        <f t="shared" ref="J69:L69" si="32">J64/J$67</f>
        <v>0.40217159889291038</v>
      </c>
      <c r="K69" s="537">
        <f t="shared" si="32"/>
        <v>0.3966159052453469</v>
      </c>
      <c r="L69" s="537" t="e">
        <f t="shared" si="32"/>
        <v>#REF!</v>
      </c>
    </row>
    <row r="70" spans="7:29" x14ac:dyDescent="0.3">
      <c r="H70" s="163" t="s">
        <v>473</v>
      </c>
      <c r="I70" s="537">
        <f t="shared" ref="I70:L71" si="33">I65/I$67</f>
        <v>5.6061332055582176E-2</v>
      </c>
      <c r="J70" s="537">
        <f t="shared" si="33"/>
        <v>6.0677027890142649E-2</v>
      </c>
      <c r="K70" s="537">
        <f t="shared" si="33"/>
        <v>6.3620981387478848E-2</v>
      </c>
      <c r="L70" s="537" t="e">
        <f t="shared" si="33"/>
        <v>#REF!</v>
      </c>
    </row>
    <row r="71" spans="7:29" x14ac:dyDescent="0.3">
      <c r="H71" s="163" t="s">
        <v>826</v>
      </c>
      <c r="I71" s="537">
        <f t="shared" si="33"/>
        <v>0.55294681360804987</v>
      </c>
      <c r="J71" s="537">
        <f t="shared" si="33"/>
        <v>0.53715137321694695</v>
      </c>
      <c r="K71" s="537">
        <f t="shared" si="33"/>
        <v>0.53976311336717431</v>
      </c>
      <c r="L71" s="537" t="e">
        <f t="shared" si="33"/>
        <v>#REF!</v>
      </c>
    </row>
    <row r="73" spans="7:29" x14ac:dyDescent="0.3">
      <c r="H73" s="163" t="s">
        <v>828</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563" t="s">
        <v>152</v>
      </c>
      <c r="C1" s="1563"/>
      <c r="D1" s="1563"/>
      <c r="E1" s="1563"/>
      <c r="F1" s="1563"/>
      <c r="G1" s="1563"/>
      <c r="H1" s="1563"/>
      <c r="I1" s="1563"/>
      <c r="J1" s="1563"/>
      <c r="K1" s="1563"/>
      <c r="L1" s="1563"/>
      <c r="M1" s="1563"/>
      <c r="N1" s="1563"/>
      <c r="O1" s="1563"/>
      <c r="P1" s="1563"/>
      <c r="Q1" s="1563"/>
      <c r="R1" s="1563"/>
      <c r="S1" s="1563"/>
      <c r="T1" s="1563"/>
    </row>
    <row r="2" spans="1:22" x14ac:dyDescent="0.3">
      <c r="B2" s="1734" t="s">
        <v>864</v>
      </c>
      <c r="C2" s="1734"/>
      <c r="D2" s="1734"/>
      <c r="E2" s="1734"/>
      <c r="F2" s="1734"/>
      <c r="G2" s="1734"/>
      <c r="H2" s="1734"/>
      <c r="I2" s="1734"/>
      <c r="J2" s="1734"/>
      <c r="K2" s="1734"/>
      <c r="L2" s="1734"/>
      <c r="M2" s="1734"/>
      <c r="N2" s="1734"/>
      <c r="O2" s="1734"/>
      <c r="P2" s="1734"/>
      <c r="Q2" s="1734"/>
      <c r="R2" s="1734"/>
      <c r="S2" s="1734"/>
      <c r="T2" s="1734"/>
    </row>
    <row r="3" spans="1:22" x14ac:dyDescent="0.3">
      <c r="B3" s="1734"/>
      <c r="C3" s="1734"/>
      <c r="D3" s="1734"/>
      <c r="E3" s="1734"/>
      <c r="F3" s="1734"/>
      <c r="G3" s="1734"/>
      <c r="H3" s="1734"/>
      <c r="I3" s="1734"/>
      <c r="J3" s="1734"/>
      <c r="K3" s="1734"/>
      <c r="L3" s="1734"/>
      <c r="M3" s="1734"/>
      <c r="N3" s="1734"/>
      <c r="O3" s="1734"/>
      <c r="P3" s="1734"/>
      <c r="Q3" s="1734"/>
      <c r="R3" s="1734"/>
      <c r="S3" s="1734"/>
      <c r="T3" s="1734"/>
    </row>
    <row r="4" spans="1:22" x14ac:dyDescent="0.3">
      <c r="B4" s="1734"/>
      <c r="C4" s="1734"/>
      <c r="D4" s="1734"/>
      <c r="E4" s="1734"/>
      <c r="F4" s="1734"/>
      <c r="G4" s="1734"/>
      <c r="H4" s="1734"/>
      <c r="I4" s="1734"/>
      <c r="J4" s="1734"/>
      <c r="K4" s="1734"/>
      <c r="L4" s="1734"/>
      <c r="M4" s="1734"/>
      <c r="N4" s="1734"/>
      <c r="O4" s="1734"/>
      <c r="P4" s="1734"/>
      <c r="Q4" s="1734"/>
      <c r="R4" s="1734"/>
      <c r="S4" s="1734"/>
      <c r="T4" s="1734"/>
    </row>
    <row r="5" spans="1:22" x14ac:dyDescent="0.3">
      <c r="B5" s="1734"/>
      <c r="C5" s="1734"/>
      <c r="D5" s="1734"/>
      <c r="E5" s="1734"/>
      <c r="F5" s="1734"/>
      <c r="G5" s="1734"/>
      <c r="H5" s="1734"/>
      <c r="I5" s="1734"/>
      <c r="J5" s="1734"/>
      <c r="K5" s="1734"/>
      <c r="L5" s="1734"/>
      <c r="M5" s="1734"/>
      <c r="N5" s="1734"/>
      <c r="O5" s="1734"/>
      <c r="P5" s="1734"/>
      <c r="Q5" s="1734"/>
      <c r="R5" s="1734"/>
      <c r="S5" s="1734"/>
      <c r="T5" s="1734"/>
    </row>
    <row r="6" spans="1:22" x14ac:dyDescent="0.3">
      <c r="B6" s="1734"/>
      <c r="C6" s="1734"/>
      <c r="D6" s="1734"/>
      <c r="E6" s="1734"/>
      <c r="F6" s="1734"/>
      <c r="G6" s="1734"/>
      <c r="H6" s="1734"/>
      <c r="I6" s="1734"/>
      <c r="J6" s="1734"/>
      <c r="K6" s="1734"/>
      <c r="L6" s="1734"/>
      <c r="M6" s="1734"/>
      <c r="N6" s="1734"/>
      <c r="O6" s="1734"/>
      <c r="P6" s="1734"/>
      <c r="Q6" s="1734"/>
      <c r="R6" s="1734"/>
      <c r="S6" s="1734"/>
      <c r="T6" s="1734"/>
    </row>
    <row r="7" spans="1:22" x14ac:dyDescent="0.3">
      <c r="J7" s="137"/>
      <c r="K7" s="137"/>
      <c r="M7" s="137"/>
    </row>
    <row r="9" spans="1:22" ht="14.85" customHeight="1" x14ac:dyDescent="0.3">
      <c r="A9" s="109"/>
      <c r="B9" s="1735" t="s">
        <v>304</v>
      </c>
      <c r="C9" s="1736"/>
      <c r="D9" s="835">
        <v>2018</v>
      </c>
      <c r="E9" s="1741">
        <v>2019</v>
      </c>
      <c r="F9" s="1742"/>
      <c r="G9" s="1742"/>
      <c r="H9" s="1743"/>
      <c r="I9" s="1739">
        <v>2020</v>
      </c>
      <c r="J9" s="1740"/>
      <c r="K9" s="1740"/>
      <c r="L9" s="1740"/>
      <c r="M9" s="1744">
        <v>2021</v>
      </c>
      <c r="N9" s="1745"/>
      <c r="O9" s="1745"/>
      <c r="P9" s="1746"/>
      <c r="Q9" s="1739">
        <v>2022</v>
      </c>
      <c r="R9" s="1747"/>
      <c r="S9" s="1747"/>
      <c r="T9" s="1748"/>
    </row>
    <row r="10" spans="1:22" x14ac:dyDescent="0.3">
      <c r="B10" s="1737"/>
      <c r="C10" s="1738"/>
      <c r="D10" s="839" t="s">
        <v>282</v>
      </c>
      <c r="E10" s="840" t="s">
        <v>283</v>
      </c>
      <c r="F10" s="112" t="s">
        <v>284</v>
      </c>
      <c r="G10" s="112" t="s">
        <v>238</v>
      </c>
      <c r="H10" s="841" t="s">
        <v>282</v>
      </c>
      <c r="I10" s="840" t="s">
        <v>283</v>
      </c>
      <c r="J10" s="112" t="s">
        <v>284</v>
      </c>
      <c r="K10" s="112" t="s">
        <v>238</v>
      </c>
      <c r="L10" s="112" t="s">
        <v>282</v>
      </c>
      <c r="M10" s="118" t="s">
        <v>283</v>
      </c>
      <c r="N10" s="132" t="s">
        <v>284</v>
      </c>
      <c r="O10" s="132" t="s">
        <v>238</v>
      </c>
      <c r="P10" s="115" t="s">
        <v>282</v>
      </c>
      <c r="Q10" s="112" t="s">
        <v>283</v>
      </c>
      <c r="R10" s="112" t="s">
        <v>284</v>
      </c>
      <c r="S10" s="112" t="s">
        <v>238</v>
      </c>
      <c r="T10" s="841" t="s">
        <v>282</v>
      </c>
    </row>
    <row r="11" spans="1:22" ht="29.1" customHeight="1" x14ac:dyDescent="0.3">
      <c r="A11" s="833"/>
      <c r="B11" s="843" t="s">
        <v>139</v>
      </c>
      <c r="C11" s="838" t="s">
        <v>305</v>
      </c>
      <c r="D11" s="827"/>
      <c r="E11" s="828"/>
      <c r="F11" s="828"/>
      <c r="G11" s="828"/>
      <c r="H11" s="828"/>
      <c r="I11" s="828"/>
      <c r="J11" s="820">
        <f>'Haver Pivoted'!GU48</f>
        <v>160.9</v>
      </c>
      <c r="K11" s="820">
        <f>'Haver Pivoted'!GV48</f>
        <v>58.4</v>
      </c>
      <c r="L11" s="820">
        <f>'Haver Pivoted'!GW48</f>
        <v>34.5</v>
      </c>
      <c r="M11" s="820">
        <f>'Haver Pivoted'!GX48</f>
        <v>21.4</v>
      </c>
      <c r="N11" s="820">
        <f>'Haver Pivoted'!GY48</f>
        <v>13.3</v>
      </c>
      <c r="O11" s="820">
        <f>'Haver Pivoted'!GZ48</f>
        <v>18.7</v>
      </c>
      <c r="P11" s="820">
        <f>'Haver Pivoted'!HA48</f>
        <v>32.200000000000003</v>
      </c>
      <c r="Q11" s="820">
        <f>'Haver Pivoted'!HB48</f>
        <v>26.9</v>
      </c>
      <c r="R11" s="820">
        <f>'Haver Pivoted'!HC48</f>
        <v>20</v>
      </c>
      <c r="S11" s="826">
        <f>'Haver Pivoted'!HD48</f>
        <v>8.1</v>
      </c>
      <c r="T11" s="821">
        <f>'Haver Pivoted'!HE48</f>
        <v>4.9000000000000004</v>
      </c>
    </row>
    <row r="12" spans="1:22" ht="29.1" customHeight="1" x14ac:dyDescent="0.3">
      <c r="A12" s="833"/>
      <c r="B12" s="831" t="s">
        <v>306</v>
      </c>
      <c r="C12" s="97" t="s">
        <v>307</v>
      </c>
      <c r="D12" s="831"/>
      <c r="E12" s="97"/>
      <c r="F12" s="97"/>
      <c r="G12" s="97"/>
      <c r="H12" s="97"/>
      <c r="I12" s="97"/>
      <c r="J12" s="822">
        <f>'Haver Pivoted'!GU58</f>
        <v>64.400000000000006</v>
      </c>
      <c r="K12" s="822">
        <f>'Haver Pivoted'!GV58</f>
        <v>23.4</v>
      </c>
      <c r="L12" s="822">
        <f>'Haver Pivoted'!GW58</f>
        <v>13.8</v>
      </c>
      <c r="M12" s="822">
        <f>'Haver Pivoted'!GX58</f>
        <v>12</v>
      </c>
      <c r="N12" s="822">
        <f>'Haver Pivoted'!GY58</f>
        <v>7.5</v>
      </c>
      <c r="O12" s="822">
        <f>'Haver Pivoted'!GZ58</f>
        <v>10.5</v>
      </c>
      <c r="P12" s="822">
        <f>'Haver Pivoted'!HA58</f>
        <v>18</v>
      </c>
      <c r="Q12" s="822">
        <f>'Haver Pivoted'!HB58</f>
        <v>15</v>
      </c>
      <c r="R12" s="822">
        <f>'Haver Pivoted'!HC58</f>
        <v>11.2</v>
      </c>
      <c r="S12" s="825">
        <f>'Haver Pivoted'!HD58</f>
        <v>7.5</v>
      </c>
      <c r="T12" s="829">
        <f>'Haver Pivoted'!HE58</f>
        <v>6.2</v>
      </c>
    </row>
    <row r="13" spans="1:22" ht="47.1" customHeight="1" x14ac:dyDescent="0.3">
      <c r="A13" s="833"/>
      <c r="B13" s="831" t="s">
        <v>308</v>
      </c>
      <c r="C13" s="97" t="s">
        <v>309</v>
      </c>
      <c r="D13" s="831"/>
      <c r="E13" s="97"/>
      <c r="F13" s="97"/>
      <c r="G13" s="97"/>
      <c r="H13" s="97"/>
      <c r="I13" s="97"/>
      <c r="J13" s="822">
        <f>'Haver Pivoted'!GU54</f>
        <v>96.6</v>
      </c>
      <c r="K13" s="822">
        <f>'Haver Pivoted'!GV54</f>
        <v>35.1</v>
      </c>
      <c r="L13" s="822">
        <f>'Haver Pivoted'!GW54</f>
        <v>20.7</v>
      </c>
      <c r="M13" s="822">
        <f>'Haver Pivoted'!GX54</f>
        <v>15.4</v>
      </c>
      <c r="N13" s="822">
        <f>'Haver Pivoted'!GY54</f>
        <v>9.6</v>
      </c>
      <c r="O13" s="822">
        <f>'Haver Pivoted'!GZ54</f>
        <v>13.5</v>
      </c>
      <c r="P13" s="822">
        <f>'Haver Pivoted'!HA54</f>
        <v>23.2</v>
      </c>
      <c r="Q13" s="822">
        <f>'Haver Pivoted'!HB54</f>
        <v>19.3</v>
      </c>
      <c r="R13" s="822">
        <f>'Haver Pivoted'!HC54</f>
        <v>14.4</v>
      </c>
      <c r="S13" s="825">
        <f>'Haver Pivoted'!HD54</f>
        <v>5.9</v>
      </c>
      <c r="T13" s="829">
        <f>'Haver Pivoted'!HE54</f>
        <v>3.6</v>
      </c>
      <c r="U13" s="823" t="s">
        <v>310</v>
      </c>
      <c r="V13" s="836" t="s">
        <v>311</v>
      </c>
    </row>
    <row r="14" spans="1:22" x14ac:dyDescent="0.3">
      <c r="B14" s="54" t="s">
        <v>312</v>
      </c>
      <c r="C14" s="56"/>
      <c r="D14" s="54"/>
      <c r="E14" s="56"/>
      <c r="F14" s="56"/>
      <c r="G14" s="56"/>
      <c r="H14" s="56"/>
      <c r="I14" s="56"/>
      <c r="J14" s="822">
        <f t="shared" ref="J14:T14" si="0">J13+J12+J11</f>
        <v>321.89999999999998</v>
      </c>
      <c r="K14" s="822">
        <f t="shared" si="0"/>
        <v>116.9</v>
      </c>
      <c r="L14" s="822">
        <f t="shared" si="0"/>
        <v>69</v>
      </c>
      <c r="M14" s="822">
        <f t="shared" si="0"/>
        <v>48.8</v>
      </c>
      <c r="N14" s="822">
        <f t="shared" si="0"/>
        <v>30.400000000000002</v>
      </c>
      <c r="O14" s="822">
        <f t="shared" si="0"/>
        <v>42.7</v>
      </c>
      <c r="P14" s="822">
        <f t="shared" si="0"/>
        <v>73.400000000000006</v>
      </c>
      <c r="Q14" s="822">
        <f t="shared" si="0"/>
        <v>61.199999999999996</v>
      </c>
      <c r="R14" s="822">
        <f t="shared" si="0"/>
        <v>45.6</v>
      </c>
      <c r="S14" s="825">
        <f t="shared" si="0"/>
        <v>21.5</v>
      </c>
      <c r="T14" s="829">
        <f t="shared" si="0"/>
        <v>14.700000000000001</v>
      </c>
      <c r="U14" s="824">
        <v>236</v>
      </c>
      <c r="V14" s="842">
        <f>SUM(J14:S14)/4</f>
        <v>207.85</v>
      </c>
    </row>
    <row r="15" spans="1:22" x14ac:dyDescent="0.3">
      <c r="B15" s="832" t="s">
        <v>313</v>
      </c>
      <c r="C15" s="58"/>
      <c r="D15" s="832"/>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41">
        <f t="shared" si="2"/>
        <v>0.33333333333333331</v>
      </c>
    </row>
    <row r="16" spans="1:22" x14ac:dyDescent="0.3">
      <c r="B16" s="832" t="s">
        <v>314</v>
      </c>
      <c r="C16" s="58"/>
      <c r="D16" s="832"/>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41">
        <f t="shared" si="3"/>
        <v>0.42176870748299317</v>
      </c>
      <c r="U16" s="80"/>
    </row>
    <row r="17" spans="2:21" x14ac:dyDescent="0.3">
      <c r="B17" s="834" t="s">
        <v>315</v>
      </c>
      <c r="C17" s="837"/>
      <c r="D17" s="834"/>
      <c r="E17" s="837"/>
      <c r="F17" s="837"/>
      <c r="G17" s="837"/>
      <c r="H17" s="837"/>
      <c r="I17" s="837"/>
      <c r="J17" s="572">
        <f t="shared" si="1"/>
        <v>0.30009319664492079</v>
      </c>
      <c r="K17" s="572">
        <f t="shared" si="1"/>
        <v>0.30025662959794697</v>
      </c>
      <c r="L17" s="572">
        <f t="shared" si="1"/>
        <v>0.3</v>
      </c>
      <c r="M17" s="572">
        <f t="shared" si="1"/>
        <v>0.3155737704918033</v>
      </c>
      <c r="N17" s="572">
        <f t="shared" si="1"/>
        <v>0.31578947368421051</v>
      </c>
      <c r="O17" s="572">
        <f t="shared" ref="O17:T17" si="4">O13/O$14</f>
        <v>0.31615925058548006</v>
      </c>
      <c r="P17" s="572">
        <f t="shared" si="4"/>
        <v>0.3160762942779291</v>
      </c>
      <c r="Q17" s="572">
        <f t="shared" si="4"/>
        <v>0.31535947712418305</v>
      </c>
      <c r="R17" s="572">
        <f t="shared" si="4"/>
        <v>0.31578947368421051</v>
      </c>
      <c r="S17" s="844">
        <f t="shared" si="4"/>
        <v>0.2744186046511628</v>
      </c>
      <c r="T17" s="830">
        <f t="shared" si="4"/>
        <v>0.24489795918367346</v>
      </c>
    </row>
    <row r="18" spans="2:21" x14ac:dyDescent="0.3">
      <c r="B18" s="58"/>
      <c r="C18" s="58"/>
      <c r="D18" s="58"/>
      <c r="E18" s="58"/>
      <c r="F18" s="58"/>
      <c r="G18" s="58"/>
      <c r="H18" s="58"/>
      <c r="I18" s="58"/>
      <c r="J18" s="109"/>
      <c r="K18" s="109"/>
      <c r="L18" s="109"/>
      <c r="M18" s="109"/>
      <c r="N18" s="109"/>
      <c r="O18" s="109"/>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610" t="s">
        <v>56</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1:29" ht="14.85" customHeight="1" x14ac:dyDescent="0.3">
      <c r="B2" s="1611" t="s">
        <v>461</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1:29"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1:29"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1:29"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
      <c r="B6" s="1629" t="s">
        <v>406</v>
      </c>
      <c r="C6" s="1630"/>
      <c r="D6" s="1631" t="s">
        <v>280</v>
      </c>
      <c r="E6" s="1632"/>
      <c r="F6" s="1632"/>
      <c r="G6" s="1632"/>
      <c r="H6" s="1632"/>
      <c r="I6" s="1632"/>
      <c r="J6" s="1632"/>
      <c r="K6" s="1632"/>
      <c r="L6" s="1632"/>
      <c r="M6" s="1632"/>
      <c r="N6" s="1632"/>
      <c r="O6" s="1632"/>
      <c r="P6" s="1632"/>
      <c r="Q6" s="1659"/>
      <c r="R6" s="1659"/>
      <c r="S6" s="1659"/>
      <c r="T6" s="1630"/>
      <c r="U6" s="1635" t="s">
        <v>281</v>
      </c>
      <c r="V6" s="1635"/>
      <c r="W6" s="1635"/>
      <c r="X6" s="1635"/>
      <c r="Y6" s="1635"/>
      <c r="Z6" s="1635"/>
      <c r="AA6" s="1635"/>
      <c r="AB6" s="1635"/>
      <c r="AC6" s="1636"/>
    </row>
    <row r="7" spans="1:29" x14ac:dyDescent="0.3">
      <c r="B7" s="1617"/>
      <c r="C7" s="1618"/>
      <c r="D7" s="127">
        <v>2018</v>
      </c>
      <c r="E7" s="1600">
        <v>2019</v>
      </c>
      <c r="F7" s="1622"/>
      <c r="G7" s="1622"/>
      <c r="H7" s="1637"/>
      <c r="I7" s="1600">
        <v>2020</v>
      </c>
      <c r="J7" s="1622"/>
      <c r="K7" s="1622"/>
      <c r="L7" s="1622"/>
      <c r="M7" s="1600">
        <v>2021</v>
      </c>
      <c r="N7" s="1622"/>
      <c r="O7" s="1622"/>
      <c r="P7" s="1622"/>
      <c r="Q7" s="1600">
        <v>2022</v>
      </c>
      <c r="R7" s="1601"/>
      <c r="S7" s="1601"/>
      <c r="T7" s="1637"/>
      <c r="U7" s="1640">
        <v>2023</v>
      </c>
      <c r="V7" s="1607"/>
      <c r="W7" s="1607"/>
      <c r="X7" s="1607"/>
      <c r="Y7" s="1628">
        <v>2024</v>
      </c>
      <c r="Z7" s="1607"/>
      <c r="AA7" s="1607"/>
      <c r="AB7" s="1641"/>
      <c r="AC7" s="178">
        <v>2025</v>
      </c>
    </row>
    <row r="8" spans="1:29" x14ac:dyDescent="0.3">
      <c r="B8" s="1619"/>
      <c r="C8" s="1620"/>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
      <c r="B9" s="512" t="s">
        <v>56</v>
      </c>
      <c r="C9" s="400" t="s">
        <v>462</v>
      </c>
      <c r="D9" s="512"/>
      <c r="E9" s="588"/>
      <c r="F9" s="588"/>
      <c r="G9" s="588"/>
      <c r="H9" s="588"/>
      <c r="I9" s="588"/>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
      <c r="B10" s="513" t="s">
        <v>214</v>
      </c>
      <c r="C10" s="177"/>
      <c r="D10" s="513"/>
      <c r="E10" s="177"/>
      <c r="F10" s="177"/>
      <c r="G10" s="177"/>
      <c r="H10" s="177"/>
      <c r="I10" s="177"/>
      <c r="J10" s="573"/>
      <c r="K10" s="573"/>
      <c r="L10" s="573"/>
      <c r="M10" s="573">
        <f t="shared" ref="M10:T10" si="0">M9-M11</f>
        <v>1348.1</v>
      </c>
      <c r="N10" s="573">
        <f t="shared" si="0"/>
        <v>290.10000000000002</v>
      </c>
      <c r="O10" s="573">
        <f t="shared" si="0"/>
        <v>38.9</v>
      </c>
      <c r="P10" s="573">
        <f t="shared" si="0"/>
        <v>14.2</v>
      </c>
      <c r="Q10" s="573">
        <f t="shared" si="0"/>
        <v>0</v>
      </c>
      <c r="R10" s="573">
        <f t="shared" si="0"/>
        <v>0</v>
      </c>
      <c r="S10" s="845">
        <f t="shared" si="0"/>
        <v>0</v>
      </c>
      <c r="T10" s="846">
        <f t="shared" si="0"/>
        <v>0</v>
      </c>
      <c r="U10" s="601"/>
      <c r="V10" s="601"/>
      <c r="W10" s="601"/>
      <c r="X10" s="601"/>
      <c r="Y10" s="601"/>
      <c r="Z10" s="601"/>
      <c r="AA10" s="601"/>
      <c r="AB10" s="601"/>
      <c r="AC10" s="602"/>
    </row>
    <row r="11" spans="1:29" x14ac:dyDescent="0.3">
      <c r="B11" s="450" t="s">
        <v>463</v>
      </c>
      <c r="C11" s="451"/>
      <c r="D11" s="450"/>
      <c r="E11" s="451"/>
      <c r="F11" s="451"/>
      <c r="G11" s="451"/>
      <c r="H11" s="451"/>
      <c r="I11" s="451"/>
      <c r="J11" s="574">
        <f t="shared" ref="J11:L11" si="1">J9-J10</f>
        <v>1078.0999999999999</v>
      </c>
      <c r="K11" s="574">
        <f t="shared" si="1"/>
        <v>15.6</v>
      </c>
      <c r="L11" s="574">
        <f t="shared" si="1"/>
        <v>5</v>
      </c>
      <c r="M11" s="574">
        <f>SUM(C17:D17)/12*4</f>
        <v>585.6</v>
      </c>
      <c r="N11" s="574">
        <v>0</v>
      </c>
      <c r="O11" s="574">
        <v>0</v>
      </c>
      <c r="P11" s="574">
        <v>0</v>
      </c>
      <c r="Q11" s="574">
        <v>0</v>
      </c>
      <c r="R11" s="574">
        <v>0</v>
      </c>
      <c r="S11" s="574">
        <v>0</v>
      </c>
      <c r="T11" s="847"/>
      <c r="U11" s="849"/>
      <c r="V11" s="849"/>
      <c r="W11" s="849"/>
      <c r="X11" s="849"/>
      <c r="Y11" s="849"/>
      <c r="Z11" s="849"/>
      <c r="AA11" s="849"/>
      <c r="AB11" s="849"/>
      <c r="AC11" s="850"/>
    </row>
    <row r="12" spans="1:29"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
      <c r="A13" s="74"/>
      <c r="B13" s="74"/>
      <c r="C13" s="74"/>
      <c r="D13" s="74"/>
      <c r="E13" s="74"/>
      <c r="F13" s="74"/>
      <c r="G13" s="74"/>
      <c r="H13" s="74"/>
      <c r="I13" s="74"/>
      <c r="J13" s="74"/>
      <c r="K13" s="74"/>
      <c r="L13" s="91"/>
      <c r="M13" s="91"/>
      <c r="N13" s="91"/>
    </row>
    <row r="14" spans="1:29" x14ac:dyDescent="0.3">
      <c r="A14" s="74"/>
      <c r="N14" s="35"/>
    </row>
    <row r="15" spans="1:29" x14ac:dyDescent="0.3">
      <c r="A15" s="109"/>
      <c r="B15" s="1749" t="s">
        <v>464</v>
      </c>
      <c r="C15" s="1739">
        <v>2021</v>
      </c>
      <c r="D15" s="1740"/>
      <c r="E15" s="1740"/>
      <c r="F15" s="1740"/>
      <c r="G15" s="47"/>
      <c r="K15" s="1751"/>
      <c r="L15" s="1751"/>
      <c r="M15" s="35"/>
      <c r="N15" s="35"/>
    </row>
    <row r="16" spans="1:29" x14ac:dyDescent="0.3">
      <c r="B16" s="1750"/>
      <c r="C16" s="852" t="s">
        <v>234</v>
      </c>
      <c r="D16" s="844" t="s">
        <v>235</v>
      </c>
      <c r="E16" s="844" t="s">
        <v>236</v>
      </c>
      <c r="F16" s="844" t="s">
        <v>237</v>
      </c>
      <c r="G16" s="848"/>
      <c r="H16" s="109"/>
      <c r="I16" s="109"/>
      <c r="J16" s="109"/>
      <c r="K16" s="109"/>
      <c r="L16" s="109"/>
      <c r="M16" s="109"/>
      <c r="N16" s="109"/>
    </row>
    <row r="17" spans="2:29" ht="16.350000000000001" customHeight="1" x14ac:dyDescent="0.3">
      <c r="B17" s="851" t="s">
        <v>465</v>
      </c>
      <c r="C17" s="853">
        <v>1660.9</v>
      </c>
      <c r="D17" s="853">
        <v>95.9</v>
      </c>
      <c r="E17" s="853">
        <v>4044.2</v>
      </c>
      <c r="F17" s="854">
        <v>688</v>
      </c>
      <c r="G17" s="87"/>
      <c r="H17" s="87"/>
      <c r="I17" s="87"/>
      <c r="J17" s="87"/>
      <c r="K17" s="87"/>
      <c r="L17" s="87"/>
      <c r="M17" s="163"/>
      <c r="N17" s="163"/>
    </row>
    <row r="18" spans="2:29" x14ac:dyDescent="0.3">
      <c r="B18" s="804" t="s">
        <v>466</v>
      </c>
      <c r="C18" s="163"/>
      <c r="D18" s="163"/>
      <c r="E18" s="163"/>
      <c r="F18" s="163"/>
      <c r="G18" s="163"/>
      <c r="H18" s="163"/>
      <c r="I18" s="163"/>
      <c r="J18" s="163"/>
      <c r="K18" s="163"/>
      <c r="L18" s="163"/>
      <c r="M18" s="163"/>
      <c r="N18" s="163"/>
    </row>
    <row r="19" spans="2:29" x14ac:dyDescent="0.3">
      <c r="B19" s="163"/>
      <c r="C19" s="163"/>
      <c r="D19" s="163"/>
      <c r="E19" s="163"/>
      <c r="F19" s="163"/>
      <c r="G19" s="163"/>
      <c r="H19" s="163"/>
      <c r="I19" s="163"/>
      <c r="J19" s="163"/>
      <c r="K19" s="163"/>
      <c r="L19" s="163"/>
      <c r="M19" s="163"/>
      <c r="N19" s="163"/>
    </row>
    <row r="20" spans="2:29" x14ac:dyDescent="0.3">
      <c r="B20" s="804"/>
      <c r="C20" s="163"/>
      <c r="D20" s="163"/>
      <c r="E20" s="163"/>
      <c r="F20" s="163"/>
      <c r="G20" s="163"/>
      <c r="H20" s="163"/>
      <c r="I20" s="163"/>
      <c r="J20" s="163"/>
      <c r="K20" s="163"/>
      <c r="L20" s="163"/>
      <c r="M20" s="163"/>
      <c r="N20" s="163"/>
    </row>
    <row r="21" spans="2:29" x14ac:dyDescent="0.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
      <c r="B22" s="74"/>
      <c r="C22" s="74"/>
      <c r="D22" s="74"/>
      <c r="E22" s="74"/>
      <c r="F22" s="74"/>
      <c r="G22" s="74"/>
      <c r="H22" s="74"/>
      <c r="I22" s="74"/>
      <c r="J22" s="74"/>
      <c r="K22" s="74"/>
      <c r="L22" s="91"/>
      <c r="M22" s="91"/>
      <c r="N22" s="91"/>
    </row>
    <row r="23" spans="2:29" x14ac:dyDescent="0.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53" t="s">
        <v>527</v>
      </c>
      <c r="B3" s="163"/>
    </row>
    <row r="4" spans="1:17" x14ac:dyDescent="0.3">
      <c r="A4" s="919" t="s">
        <v>528</v>
      </c>
      <c r="B4" s="920"/>
      <c r="C4" s="920"/>
    </row>
    <row r="7" spans="1:17" x14ac:dyDescent="0.3">
      <c r="A7" s="1753" t="s">
        <v>529</v>
      </c>
      <c r="B7" s="1754"/>
      <c r="C7" s="1754"/>
      <c r="D7" s="1754"/>
      <c r="E7" s="1754"/>
      <c r="F7" s="1754"/>
      <c r="G7" s="1754"/>
      <c r="H7" s="1754"/>
      <c r="I7" s="1754"/>
      <c r="J7" s="1754"/>
      <c r="K7" s="1754"/>
      <c r="L7" s="1754"/>
      <c r="M7" s="1754"/>
      <c r="N7" s="1754"/>
      <c r="O7" s="1754"/>
      <c r="P7" s="1754"/>
    </row>
    <row r="8" spans="1:17" x14ac:dyDescent="0.3">
      <c r="A8" s="230" t="s">
        <v>530</v>
      </c>
      <c r="B8" s="230"/>
      <c r="C8" s="230"/>
      <c r="D8" s="924"/>
      <c r="E8" s="230"/>
      <c r="F8" s="230"/>
      <c r="G8" s="230"/>
      <c r="H8" s="230"/>
      <c r="I8" s="230"/>
      <c r="J8" s="230"/>
      <c r="K8" s="230"/>
      <c r="L8" s="230"/>
      <c r="M8" s="230"/>
      <c r="N8" s="230"/>
      <c r="O8" s="230"/>
      <c r="P8" s="230"/>
    </row>
    <row r="9" spans="1:17" x14ac:dyDescent="0.3">
      <c r="A9" s="163"/>
      <c r="B9" s="163"/>
      <c r="C9" s="163"/>
      <c r="D9" s="915"/>
      <c r="E9" s="163"/>
      <c r="F9" s="163"/>
      <c r="G9" s="163"/>
      <c r="H9" s="163"/>
      <c r="I9" s="163"/>
      <c r="J9" s="163"/>
      <c r="K9" s="163"/>
      <c r="L9" s="163"/>
      <c r="M9" s="163"/>
      <c r="N9" s="163"/>
      <c r="O9" s="163"/>
      <c r="P9" s="163"/>
    </row>
    <row r="10" spans="1:17" x14ac:dyDescent="0.3">
      <c r="A10" s="163"/>
      <c r="B10" s="163"/>
      <c r="C10" s="163"/>
      <c r="D10" s="915"/>
      <c r="E10" s="163"/>
      <c r="F10" s="163"/>
      <c r="G10" s="163"/>
      <c r="H10" s="163"/>
      <c r="I10" s="163"/>
      <c r="J10" s="163"/>
      <c r="K10" s="163"/>
      <c r="L10" s="163"/>
      <c r="M10" s="163"/>
      <c r="N10" s="163"/>
      <c r="O10" s="1755" t="s">
        <v>312</v>
      </c>
      <c r="P10" s="1755"/>
    </row>
    <row r="11" spans="1:17" x14ac:dyDescent="0.3">
      <c r="A11" s="163"/>
      <c r="B11" s="163"/>
      <c r="C11" s="599"/>
      <c r="D11" s="185"/>
      <c r="E11" s="599"/>
      <c r="F11" s="599"/>
      <c r="G11" s="599"/>
      <c r="H11" s="599"/>
      <c r="I11" s="599"/>
      <c r="J11" s="599"/>
      <c r="K11" s="599"/>
      <c r="L11" s="599"/>
      <c r="M11" s="599"/>
      <c r="N11" s="599"/>
      <c r="O11" s="923" t="s">
        <v>531</v>
      </c>
      <c r="P11" s="923" t="s">
        <v>531</v>
      </c>
    </row>
    <row r="12" spans="1:17" x14ac:dyDescent="0.3">
      <c r="A12" s="230"/>
      <c r="B12" s="230"/>
      <c r="C12" s="230"/>
      <c r="D12" s="924">
        <v>2020</v>
      </c>
      <c r="E12" s="924">
        <v>2021</v>
      </c>
      <c r="F12" s="924">
        <v>2022</v>
      </c>
      <c r="G12" s="924">
        <v>2023</v>
      </c>
      <c r="H12" s="924">
        <v>2024</v>
      </c>
      <c r="I12" s="924">
        <v>2025</v>
      </c>
      <c r="J12" s="924">
        <v>2026</v>
      </c>
      <c r="K12" s="924">
        <v>2027</v>
      </c>
      <c r="L12" s="924">
        <v>2028</v>
      </c>
      <c r="M12" s="924">
        <v>2029</v>
      </c>
      <c r="N12" s="924">
        <v>2030</v>
      </c>
      <c r="O12" s="643">
        <v>2025</v>
      </c>
      <c r="P12" s="643">
        <v>2030</v>
      </c>
    </row>
    <row r="13" spans="1:17" x14ac:dyDescent="0.3">
      <c r="A13" s="599" t="s">
        <v>532</v>
      </c>
      <c r="B13" s="599"/>
      <c r="C13" s="599"/>
      <c r="D13" s="567">
        <v>540.56299999999999</v>
      </c>
      <c r="E13" s="567">
        <v>0</v>
      </c>
      <c r="F13" s="567">
        <v>0</v>
      </c>
      <c r="G13" s="567">
        <v>0</v>
      </c>
      <c r="H13" s="567">
        <v>0</v>
      </c>
      <c r="I13" s="567">
        <v>0</v>
      </c>
      <c r="J13" s="567">
        <v>0</v>
      </c>
      <c r="K13" s="567">
        <v>0</v>
      </c>
      <c r="L13" s="567">
        <v>0</v>
      </c>
      <c r="M13" s="567">
        <v>0</v>
      </c>
      <c r="N13" s="567">
        <v>0</v>
      </c>
      <c r="O13" s="567">
        <v>0</v>
      </c>
      <c r="P13" s="567">
        <v>0</v>
      </c>
      <c r="Q13" t="s">
        <v>50</v>
      </c>
    </row>
    <row r="14" spans="1:17" x14ac:dyDescent="0.3">
      <c r="A14" s="163" t="s">
        <v>533</v>
      </c>
      <c r="B14" s="163"/>
      <c r="C14" s="163"/>
      <c r="D14" s="185"/>
      <c r="E14" s="599"/>
      <c r="F14" s="599"/>
      <c r="G14" s="599"/>
      <c r="H14" s="599"/>
      <c r="I14" s="599"/>
      <c r="J14" s="599"/>
      <c r="K14" s="599"/>
      <c r="L14" s="599"/>
      <c r="M14" s="599"/>
      <c r="N14" s="599"/>
      <c r="O14" s="599"/>
      <c r="P14" s="599"/>
      <c r="Q14" t="s">
        <v>534</v>
      </c>
    </row>
    <row r="15" spans="1:17" x14ac:dyDescent="0.3">
      <c r="A15" s="163"/>
      <c r="B15" s="163" t="s">
        <v>535</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
      <c r="A16" s="599"/>
      <c r="B16" s="163" t="s">
        <v>536</v>
      </c>
      <c r="C16" s="599"/>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
      <c r="A17" s="599"/>
      <c r="B17" s="163" t="s">
        <v>537</v>
      </c>
      <c r="C17" s="599"/>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
      <c r="A18" s="599"/>
      <c r="B18" s="163" t="s">
        <v>538</v>
      </c>
      <c r="C18" s="599"/>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
      <c r="A19" s="599"/>
      <c r="B19" s="163"/>
      <c r="C19" s="599"/>
      <c r="D19" s="185" t="s">
        <v>539</v>
      </c>
      <c r="E19" s="185" t="s">
        <v>539</v>
      </c>
      <c r="F19" s="185" t="s">
        <v>539</v>
      </c>
      <c r="G19" s="185" t="s">
        <v>539</v>
      </c>
      <c r="H19" s="185" t="s">
        <v>539</v>
      </c>
      <c r="I19" s="185" t="s">
        <v>539</v>
      </c>
      <c r="J19" s="185" t="s">
        <v>539</v>
      </c>
      <c r="K19" s="185" t="s">
        <v>539</v>
      </c>
      <c r="L19" s="185" t="s">
        <v>539</v>
      </c>
      <c r="M19" s="185" t="s">
        <v>539</v>
      </c>
      <c r="N19" s="185" t="s">
        <v>539</v>
      </c>
      <c r="O19" s="185" t="s">
        <v>539</v>
      </c>
      <c r="P19" s="185" t="s">
        <v>539</v>
      </c>
    </row>
    <row r="20" spans="1:17" x14ac:dyDescent="0.3">
      <c r="A20" s="599"/>
      <c r="B20" s="163"/>
      <c r="C20" s="599" t="s">
        <v>540</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
      <c r="A21" s="599"/>
      <c r="B21" s="163"/>
      <c r="C21" s="599"/>
      <c r="D21" s="185"/>
      <c r="E21" s="185"/>
      <c r="F21" s="185"/>
      <c r="G21" s="185"/>
      <c r="H21" s="185"/>
      <c r="I21" s="185"/>
      <c r="J21" s="185"/>
      <c r="K21" s="185"/>
      <c r="L21" s="185"/>
      <c r="M21" s="185"/>
      <c r="N21" s="185"/>
      <c r="O21" s="185"/>
      <c r="P21" s="185"/>
    </row>
    <row r="22" spans="1:17" ht="17.100000000000001" customHeight="1" x14ac:dyDescent="0.3">
      <c r="A22" s="599" t="s">
        <v>541</v>
      </c>
      <c r="B22" s="163"/>
      <c r="C22" s="599"/>
      <c r="D22" s="185">
        <v>271.98399999999998</v>
      </c>
      <c r="E22" s="185">
        <v>9.327</v>
      </c>
      <c r="F22" s="185">
        <v>0</v>
      </c>
      <c r="G22" s="185">
        <v>0</v>
      </c>
      <c r="H22" s="185">
        <v>0</v>
      </c>
      <c r="I22" s="185">
        <v>0</v>
      </c>
      <c r="J22" s="185">
        <v>0</v>
      </c>
      <c r="K22" s="185">
        <v>0</v>
      </c>
      <c r="L22" s="185">
        <v>0</v>
      </c>
      <c r="M22" s="185">
        <v>0</v>
      </c>
      <c r="N22" s="185">
        <v>0</v>
      </c>
      <c r="O22" s="185">
        <v>9.327</v>
      </c>
      <c r="P22" s="185">
        <v>9.327</v>
      </c>
      <c r="Q22" t="s">
        <v>542</v>
      </c>
    </row>
    <row r="23" spans="1:17" x14ac:dyDescent="0.3">
      <c r="A23" s="599"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
      <c r="A24" s="599" t="s">
        <v>543</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544</v>
      </c>
    </row>
    <row r="25" spans="1:17" x14ac:dyDescent="0.3">
      <c r="A25" s="599" t="s">
        <v>545</v>
      </c>
      <c r="B25" s="163"/>
      <c r="C25" s="163"/>
      <c r="D25" s="185"/>
      <c r="E25" s="185"/>
      <c r="F25" s="185"/>
      <c r="G25" s="185"/>
      <c r="H25" s="185"/>
      <c r="I25" s="185"/>
      <c r="J25" s="185"/>
      <c r="K25" s="185"/>
      <c r="L25" s="185"/>
      <c r="M25" s="185"/>
      <c r="N25" s="185"/>
      <c r="O25" s="185"/>
      <c r="P25" s="185"/>
    </row>
    <row r="26" spans="1:17" x14ac:dyDescent="0.3">
      <c r="A26" s="599" t="s">
        <v>546</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
      <c r="A27" s="599" t="s">
        <v>547</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
      <c r="A28" s="599" t="s">
        <v>548</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
      <c r="A29" s="599" t="s">
        <v>549</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550</v>
      </c>
    </row>
    <row r="30" spans="1:17" x14ac:dyDescent="0.3">
      <c r="A30" s="599" t="s">
        <v>551</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
      <c r="A31" s="599"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552</v>
      </c>
    </row>
    <row r="32" spans="1:17" x14ac:dyDescent="0.3">
      <c r="A32" s="599" t="s">
        <v>553</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554</v>
      </c>
    </row>
    <row r="33" spans="1:16" x14ac:dyDescent="0.3">
      <c r="A33" s="599"/>
      <c r="B33" s="163"/>
      <c r="C33" s="163"/>
      <c r="D33" s="185"/>
      <c r="E33" s="185"/>
      <c r="F33" s="185"/>
      <c r="G33" s="185"/>
      <c r="H33" s="185"/>
      <c r="I33" s="185"/>
      <c r="J33" s="185"/>
      <c r="K33" s="185"/>
      <c r="L33" s="185"/>
      <c r="M33" s="185"/>
      <c r="N33" s="185"/>
      <c r="O33" s="185"/>
      <c r="P33" s="185"/>
    </row>
    <row r="34" spans="1:16" x14ac:dyDescent="0.3">
      <c r="A34" s="922"/>
      <c r="B34" s="922"/>
      <c r="C34" s="922" t="s">
        <v>312</v>
      </c>
      <c r="D34" s="587">
        <v>1777.13</v>
      </c>
      <c r="E34" s="587">
        <v>307.48399999999998</v>
      </c>
      <c r="F34" s="587">
        <v>99.084999999999994</v>
      </c>
      <c r="G34" s="587">
        <v>20.696999999999999</v>
      </c>
      <c r="H34" s="587">
        <v>10.087999999999999</v>
      </c>
      <c r="I34" s="587">
        <v>6.1630000000000003</v>
      </c>
      <c r="J34" s="587">
        <v>4.7300000000000004</v>
      </c>
      <c r="K34" s="587">
        <v>4.415</v>
      </c>
      <c r="L34" s="587">
        <v>4.468</v>
      </c>
      <c r="M34" s="587">
        <v>14.403</v>
      </c>
      <c r="N34" s="587">
        <v>-31.518000000000001</v>
      </c>
      <c r="O34" s="587">
        <v>443.517</v>
      </c>
      <c r="P34" s="587">
        <v>440.01499999999999</v>
      </c>
    </row>
    <row r="35" spans="1:16" x14ac:dyDescent="0.3">
      <c r="A35" s="163"/>
      <c r="B35" s="163"/>
      <c r="C35" s="163"/>
      <c r="D35" s="921"/>
      <c r="E35" s="407"/>
      <c r="F35" s="599"/>
      <c r="G35" s="599"/>
      <c r="H35" s="599"/>
      <c r="I35" s="599"/>
      <c r="J35" s="599"/>
      <c r="K35" s="599"/>
      <c r="L35" s="599"/>
      <c r="M35" s="599"/>
      <c r="N35" s="599"/>
      <c r="O35" s="599"/>
      <c r="P35" s="599"/>
    </row>
    <row r="36" spans="1:16" x14ac:dyDescent="0.3">
      <c r="A36" s="914" t="s">
        <v>555</v>
      </c>
      <c r="B36" s="914"/>
      <c r="C36" s="914"/>
      <c r="D36" s="916"/>
      <c r="E36" s="914"/>
      <c r="F36" s="914"/>
      <c r="G36" s="914"/>
      <c r="H36" s="914"/>
      <c r="I36" s="914"/>
      <c r="J36" s="914"/>
      <c r="K36" s="914"/>
      <c r="L36" s="914"/>
      <c r="M36" s="914"/>
      <c r="N36" s="914"/>
      <c r="O36" s="914"/>
      <c r="P36" s="914"/>
    </row>
    <row r="37" spans="1:16" x14ac:dyDescent="0.3">
      <c r="A37" s="914"/>
      <c r="B37" s="914"/>
      <c r="C37" s="914"/>
      <c r="D37" s="916"/>
      <c r="E37" s="914"/>
      <c r="F37" s="914"/>
      <c r="G37" s="914"/>
      <c r="H37" s="914"/>
      <c r="I37" s="914"/>
      <c r="J37" s="914"/>
      <c r="K37" s="914"/>
      <c r="L37" s="914"/>
      <c r="M37" s="914"/>
      <c r="N37" s="914"/>
      <c r="O37" s="914"/>
      <c r="P37" s="914"/>
    </row>
    <row r="38" spans="1:16" x14ac:dyDescent="0.3">
      <c r="A38" s="1758" t="s">
        <v>556</v>
      </c>
      <c r="B38" s="1758"/>
      <c r="C38" s="1758"/>
      <c r="D38" s="1758"/>
      <c r="E38" s="1758"/>
      <c r="F38" s="1758"/>
      <c r="G38" s="1758"/>
      <c r="H38" s="1758"/>
      <c r="I38" s="1758"/>
      <c r="J38" s="1758"/>
      <c r="K38" s="1758"/>
      <c r="L38" s="1758"/>
      <c r="M38" s="1758"/>
      <c r="N38" s="1758"/>
      <c r="O38" s="1758"/>
      <c r="P38" s="1758"/>
    </row>
    <row r="39" spans="1:16" x14ac:dyDescent="0.3">
      <c r="A39" s="1758"/>
      <c r="B39" s="1758"/>
      <c r="C39" s="1758"/>
      <c r="D39" s="1758"/>
      <c r="E39" s="1758"/>
      <c r="F39" s="1758"/>
      <c r="G39" s="1758"/>
      <c r="H39" s="1758"/>
      <c r="I39" s="1758"/>
      <c r="J39" s="1758"/>
      <c r="K39" s="1758"/>
      <c r="L39" s="1758"/>
      <c r="M39" s="1758"/>
      <c r="N39" s="1758"/>
      <c r="O39" s="1758"/>
      <c r="P39" s="1758"/>
    </row>
    <row r="40" spans="1:16" x14ac:dyDescent="0.3">
      <c r="A40" s="1758"/>
      <c r="B40" s="1758"/>
      <c r="C40" s="1758"/>
      <c r="D40" s="1758"/>
      <c r="E40" s="1758"/>
      <c r="F40" s="1758"/>
      <c r="G40" s="1758"/>
      <c r="H40" s="1758"/>
      <c r="I40" s="1758"/>
      <c r="J40" s="1758"/>
      <c r="K40" s="1758"/>
      <c r="L40" s="1758"/>
      <c r="M40" s="1758"/>
      <c r="N40" s="1758"/>
      <c r="O40" s="1758"/>
      <c r="P40" s="1758"/>
    </row>
    <row r="41" spans="1:16" x14ac:dyDescent="0.3">
      <c r="A41" s="1758"/>
      <c r="B41" s="1758"/>
      <c r="C41" s="1758"/>
      <c r="D41" s="1758"/>
      <c r="E41" s="1758"/>
      <c r="F41" s="1758"/>
      <c r="G41" s="1758"/>
      <c r="H41" s="1758"/>
      <c r="I41" s="1758"/>
      <c r="J41" s="1758"/>
      <c r="K41" s="1758"/>
      <c r="L41" s="1758"/>
      <c r="M41" s="1758"/>
      <c r="N41" s="1758"/>
      <c r="O41" s="1758"/>
      <c r="P41" s="1758"/>
    </row>
    <row r="42" spans="1:16" x14ac:dyDescent="0.3">
      <c r="A42" s="1758"/>
      <c r="B42" s="1758"/>
      <c r="C42" s="1758"/>
      <c r="D42" s="1758"/>
      <c r="E42" s="1758"/>
      <c r="F42" s="1758"/>
      <c r="G42" s="1758"/>
      <c r="H42" s="1758"/>
      <c r="I42" s="1758"/>
      <c r="J42" s="1758"/>
      <c r="K42" s="1758"/>
      <c r="L42" s="1758"/>
      <c r="M42" s="1758"/>
      <c r="N42" s="1758"/>
      <c r="O42" s="1758"/>
      <c r="P42" s="1758"/>
    </row>
    <row r="43" spans="1:16" x14ac:dyDescent="0.3">
      <c r="A43" s="160"/>
      <c r="B43" s="160"/>
      <c r="C43" s="160"/>
      <c r="D43" s="160"/>
      <c r="E43" s="160"/>
      <c r="F43" s="160"/>
      <c r="G43" s="160"/>
      <c r="H43" s="160"/>
      <c r="I43" s="160"/>
      <c r="J43" s="160"/>
      <c r="K43" s="160"/>
      <c r="L43" s="160"/>
      <c r="M43" s="160"/>
      <c r="N43" s="160"/>
      <c r="O43" s="160"/>
      <c r="P43" s="160"/>
    </row>
    <row r="44" spans="1:16" x14ac:dyDescent="0.3">
      <c r="A44" s="1650" t="s">
        <v>557</v>
      </c>
      <c r="B44" s="1650"/>
      <c r="C44" s="1650"/>
      <c r="D44" s="1650"/>
      <c r="E44" s="1650"/>
      <c r="F44" s="1650"/>
      <c r="G44" s="1650"/>
      <c r="H44" s="1650"/>
      <c r="I44" s="1650"/>
      <c r="J44" s="1650"/>
      <c r="K44" s="1650"/>
      <c r="L44" s="1650"/>
      <c r="M44" s="1650"/>
      <c r="N44" s="1650"/>
      <c r="O44" s="1650"/>
      <c r="P44" s="1650"/>
    </row>
    <row r="45" spans="1:16" x14ac:dyDescent="0.3">
      <c r="A45" s="1650"/>
      <c r="B45" s="1650"/>
      <c r="C45" s="1650"/>
      <c r="D45" s="1650"/>
      <c r="E45" s="1650"/>
      <c r="F45" s="1650"/>
      <c r="G45" s="1650"/>
      <c r="H45" s="1650"/>
      <c r="I45" s="1650"/>
      <c r="J45" s="1650"/>
      <c r="K45" s="1650"/>
      <c r="L45" s="1650"/>
      <c r="M45" s="1650"/>
      <c r="N45" s="1650"/>
      <c r="O45" s="1650"/>
      <c r="P45" s="1650"/>
    </row>
    <row r="46" spans="1:16" x14ac:dyDescent="0.3">
      <c r="A46" s="1650"/>
      <c r="B46" s="1650"/>
      <c r="C46" s="1650"/>
      <c r="D46" s="1650"/>
      <c r="E46" s="1650"/>
      <c r="F46" s="1650"/>
      <c r="G46" s="1650"/>
      <c r="H46" s="1650"/>
      <c r="I46" s="1650"/>
      <c r="J46" s="1650"/>
      <c r="K46" s="1650"/>
      <c r="L46" s="1650"/>
      <c r="M46" s="1650"/>
      <c r="N46" s="1650"/>
      <c r="O46" s="1650"/>
      <c r="P46" s="1650"/>
    </row>
    <row r="47" spans="1:16" x14ac:dyDescent="0.3">
      <c r="A47" s="914"/>
      <c r="B47" s="914"/>
      <c r="C47" s="914"/>
      <c r="D47" s="916"/>
      <c r="E47" s="914"/>
      <c r="F47" s="914"/>
      <c r="G47" s="914"/>
      <c r="H47" s="914"/>
      <c r="I47" s="914"/>
      <c r="J47" s="914"/>
      <c r="K47" s="914"/>
      <c r="L47" s="914"/>
      <c r="M47" s="914"/>
      <c r="N47" s="914"/>
      <c r="O47" s="914"/>
      <c r="P47" s="914"/>
    </row>
    <row r="48" spans="1:16" x14ac:dyDescent="0.3">
      <c r="A48" s="1756" t="s">
        <v>558</v>
      </c>
      <c r="B48" s="1757"/>
      <c r="C48" s="1757"/>
      <c r="D48" s="1757"/>
      <c r="E48" s="1757"/>
      <c r="F48" s="1757"/>
      <c r="G48" s="1757"/>
      <c r="H48" s="1757"/>
      <c r="I48" s="1757"/>
      <c r="J48" s="1757"/>
      <c r="K48" s="1757"/>
      <c r="L48" s="1757"/>
      <c r="M48" s="1757"/>
      <c r="N48" s="1757"/>
      <c r="O48" s="1757"/>
      <c r="P48" s="1757"/>
    </row>
    <row r="49" spans="1:16" x14ac:dyDescent="0.3">
      <c r="A49" s="1757"/>
      <c r="B49" s="1757"/>
      <c r="C49" s="1757"/>
      <c r="D49" s="1757"/>
      <c r="E49" s="1757"/>
      <c r="F49" s="1757"/>
      <c r="G49" s="1757"/>
      <c r="H49" s="1757"/>
      <c r="I49" s="1757"/>
      <c r="J49" s="1757"/>
      <c r="K49" s="1757"/>
      <c r="L49" s="1757"/>
      <c r="M49" s="1757"/>
      <c r="N49" s="1757"/>
      <c r="O49" s="1757"/>
      <c r="P49" s="1757"/>
    </row>
    <row r="50" spans="1:16" x14ac:dyDescent="0.3">
      <c r="A50" s="914"/>
      <c r="B50" s="914"/>
      <c r="C50" s="914"/>
      <c r="D50" s="916"/>
      <c r="E50" s="914"/>
      <c r="F50" s="914"/>
      <c r="G50" s="914"/>
      <c r="H50" s="914"/>
      <c r="I50" s="914"/>
      <c r="J50" s="914"/>
      <c r="K50" s="914"/>
      <c r="L50" s="914"/>
      <c r="M50" s="914"/>
      <c r="N50" s="914"/>
      <c r="O50" s="914"/>
      <c r="P50" s="914"/>
    </row>
    <row r="51" spans="1:16" x14ac:dyDescent="0.3">
      <c r="A51" s="1752" t="s">
        <v>559</v>
      </c>
      <c r="B51" s="1752"/>
      <c r="C51" s="1752"/>
      <c r="D51" s="1752"/>
      <c r="E51" s="1752"/>
      <c r="F51" s="1752"/>
      <c r="G51" s="1752"/>
      <c r="H51" s="1752"/>
      <c r="I51" s="1752"/>
      <c r="J51" s="1752"/>
      <c r="K51" s="1752"/>
      <c r="L51" s="1752"/>
      <c r="M51" s="1752"/>
      <c r="N51" s="1752"/>
      <c r="O51" s="1752"/>
      <c r="P51" s="1752"/>
    </row>
    <row r="52" spans="1:16" x14ac:dyDescent="0.3">
      <c r="A52" s="1752"/>
      <c r="B52" s="1752"/>
      <c r="C52" s="1752"/>
      <c r="D52" s="1752"/>
      <c r="E52" s="1752"/>
      <c r="F52" s="1752"/>
      <c r="G52" s="1752"/>
      <c r="H52" s="1752"/>
      <c r="I52" s="1752"/>
      <c r="J52" s="1752"/>
      <c r="K52" s="1752"/>
      <c r="L52" s="1752"/>
      <c r="M52" s="1752"/>
      <c r="N52" s="1752"/>
      <c r="O52" s="1752"/>
      <c r="P52" s="1752"/>
    </row>
    <row r="53" spans="1:16" x14ac:dyDescent="0.3">
      <c r="A53" s="1752"/>
      <c r="B53" s="1752"/>
      <c r="C53" s="1752"/>
      <c r="D53" s="1752"/>
      <c r="E53" s="1752"/>
      <c r="F53" s="1752"/>
      <c r="G53" s="1752"/>
      <c r="H53" s="1752"/>
      <c r="I53" s="1752"/>
      <c r="J53" s="1752"/>
      <c r="K53" s="1752"/>
      <c r="L53" s="1752"/>
      <c r="M53" s="1752"/>
      <c r="N53" s="1752"/>
      <c r="O53" s="1752"/>
      <c r="P53" s="1752"/>
    </row>
    <row r="54" spans="1:16" x14ac:dyDescent="0.3">
      <c r="A54" s="917"/>
      <c r="B54" s="917"/>
      <c r="C54" s="917"/>
      <c r="D54" s="918"/>
      <c r="E54" s="917"/>
      <c r="F54" s="917"/>
      <c r="G54" s="917"/>
      <c r="H54" s="917"/>
      <c r="I54" s="917"/>
      <c r="J54" s="917"/>
      <c r="K54" s="917"/>
      <c r="L54" s="917"/>
      <c r="M54" s="917"/>
      <c r="N54" s="917"/>
      <c r="O54" s="917"/>
      <c r="P54" s="917"/>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77" t="s">
        <v>1398</v>
      </c>
      <c r="D1" s="926">
        <v>2022</v>
      </c>
      <c r="E1" s="926">
        <v>2023</v>
      </c>
      <c r="F1" s="926">
        <v>2024</v>
      </c>
      <c r="G1" s="926">
        <v>2025</v>
      </c>
      <c r="H1" s="926">
        <v>2026</v>
      </c>
      <c r="I1" s="926">
        <v>2027</v>
      </c>
      <c r="J1" s="926">
        <v>2028</v>
      </c>
      <c r="K1" s="926">
        <v>2029</v>
      </c>
      <c r="L1" s="926">
        <v>2030</v>
      </c>
      <c r="M1" s="927">
        <v>2031</v>
      </c>
      <c r="N1" s="928" t="s">
        <v>1197</v>
      </c>
      <c r="O1" s="928" t="s">
        <v>1198</v>
      </c>
    </row>
    <row r="2" spans="1:15" x14ac:dyDescent="0.3">
      <c r="C2" s="1759" t="s">
        <v>1399</v>
      </c>
      <c r="D2" s="1759"/>
      <c r="E2" s="1759"/>
      <c r="F2" s="1759"/>
      <c r="G2" s="1759"/>
      <c r="H2" s="1759"/>
      <c r="I2" s="1759"/>
      <c r="J2" s="1759"/>
      <c r="K2" s="1759"/>
      <c r="L2" s="1759"/>
      <c r="M2" s="1759"/>
      <c r="N2" s="1759"/>
      <c r="O2" s="1759"/>
    </row>
    <row r="3" spans="1:15" x14ac:dyDescent="0.3">
      <c r="A3" s="35" t="s">
        <v>1206</v>
      </c>
      <c r="B3" s="35">
        <v>13601</v>
      </c>
      <c r="C3" s="35" t="s">
        <v>1400</v>
      </c>
      <c r="D3" s="35">
        <v>0</v>
      </c>
      <c r="E3" s="35">
        <v>0</v>
      </c>
      <c r="F3" s="35">
        <v>601</v>
      </c>
      <c r="G3" s="35">
        <v>1038</v>
      </c>
      <c r="H3" s="35">
        <v>1251</v>
      </c>
      <c r="I3" s="35">
        <v>1431</v>
      </c>
      <c r="J3" s="35">
        <v>1492</v>
      </c>
      <c r="K3" s="35">
        <v>1530</v>
      </c>
      <c r="L3" s="35">
        <v>1567</v>
      </c>
      <c r="M3" s="35">
        <v>1606</v>
      </c>
      <c r="N3" s="35">
        <v>2890</v>
      </c>
      <c r="O3" s="35">
        <v>10516</v>
      </c>
    </row>
    <row r="4" spans="1:15" x14ac:dyDescent="0.3">
      <c r="A4" s="35" t="s">
        <v>1219</v>
      </c>
      <c r="B4" s="35">
        <v>10301</v>
      </c>
      <c r="C4" s="35" t="s">
        <v>1400</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1221</v>
      </c>
      <c r="B5" s="35">
        <v>13802</v>
      </c>
      <c r="C5" s="35" t="s">
        <v>1400</v>
      </c>
      <c r="D5" s="35">
        <v>0</v>
      </c>
      <c r="E5" s="35">
        <v>55</v>
      </c>
      <c r="F5" s="35">
        <v>55</v>
      </c>
      <c r="G5" s="35">
        <v>55</v>
      </c>
      <c r="H5" s="35">
        <v>55</v>
      </c>
      <c r="I5" s="35">
        <v>55</v>
      </c>
      <c r="J5" s="35">
        <v>55</v>
      </c>
      <c r="K5" s="35">
        <v>55</v>
      </c>
      <c r="L5" s="35">
        <v>55</v>
      </c>
      <c r="M5" s="35">
        <v>55</v>
      </c>
      <c r="N5" s="35">
        <v>220</v>
      </c>
      <c r="O5" s="35">
        <v>495</v>
      </c>
    </row>
    <row r="6" spans="1:15" x14ac:dyDescent="0.3">
      <c r="A6" s="35" t="s">
        <v>1223</v>
      </c>
      <c r="B6" s="35">
        <v>22005</v>
      </c>
      <c r="C6" s="35" t="s">
        <v>1400</v>
      </c>
      <c r="D6" s="35">
        <v>0</v>
      </c>
      <c r="E6" s="35">
        <v>19</v>
      </c>
      <c r="F6" s="35">
        <v>26</v>
      </c>
      <c r="G6" s="35">
        <v>27</v>
      </c>
      <c r="H6" s="35">
        <v>17</v>
      </c>
      <c r="I6" s="35">
        <v>7</v>
      </c>
      <c r="J6" s="35">
        <v>3</v>
      </c>
      <c r="K6" s="35">
        <v>1</v>
      </c>
      <c r="L6" s="35">
        <v>0</v>
      </c>
      <c r="M6" s="35">
        <v>0</v>
      </c>
      <c r="N6" s="35">
        <v>89</v>
      </c>
      <c r="O6" s="35">
        <v>100</v>
      </c>
    </row>
    <row r="7" spans="1:15" x14ac:dyDescent="0.3">
      <c r="A7" s="35" t="s">
        <v>1209</v>
      </c>
      <c r="B7" s="35">
        <v>23001</v>
      </c>
      <c r="C7" s="35" t="s">
        <v>1400</v>
      </c>
      <c r="D7" s="35">
        <v>0</v>
      </c>
      <c r="E7" s="35">
        <v>35</v>
      </c>
      <c r="F7" s="35">
        <v>125</v>
      </c>
      <c r="G7" s="35">
        <v>170</v>
      </c>
      <c r="H7" s="35">
        <v>375</v>
      </c>
      <c r="I7" s="35">
        <v>470</v>
      </c>
      <c r="J7" s="35">
        <v>415</v>
      </c>
      <c r="K7" s="35">
        <v>280</v>
      </c>
      <c r="L7" s="35">
        <v>217</v>
      </c>
      <c r="M7" s="35">
        <v>58</v>
      </c>
      <c r="N7" s="35">
        <v>705</v>
      </c>
      <c r="O7" s="35">
        <v>2145</v>
      </c>
    </row>
    <row r="8" spans="1:15" x14ac:dyDescent="0.3">
      <c r="A8" s="35" t="s">
        <v>1225</v>
      </c>
      <c r="B8" s="35">
        <v>23005</v>
      </c>
      <c r="C8" s="35" t="s">
        <v>1400</v>
      </c>
      <c r="D8" s="35">
        <v>0</v>
      </c>
      <c r="E8" s="35">
        <v>15</v>
      </c>
      <c r="F8" s="35">
        <v>15</v>
      </c>
      <c r="G8" s="35">
        <v>15</v>
      </c>
      <c r="H8" s="35">
        <v>10</v>
      </c>
      <c r="I8" s="35">
        <v>10</v>
      </c>
      <c r="J8" s="35">
        <v>10</v>
      </c>
      <c r="K8" s="35">
        <v>10</v>
      </c>
      <c r="L8" s="35">
        <v>10</v>
      </c>
      <c r="M8" s="35">
        <v>5</v>
      </c>
      <c r="N8" s="35">
        <v>55</v>
      </c>
      <c r="O8" s="35">
        <v>100</v>
      </c>
    </row>
    <row r="9" spans="1:15" x14ac:dyDescent="0.3">
      <c r="A9" s="35" t="s">
        <v>1278</v>
      </c>
      <c r="B9" s="35">
        <v>23003</v>
      </c>
      <c r="C9" s="35" t="s">
        <v>1265</v>
      </c>
      <c r="D9" s="35">
        <v>0</v>
      </c>
      <c r="E9" s="35">
        <v>65</v>
      </c>
      <c r="F9" s="35">
        <v>150</v>
      </c>
      <c r="G9" s="35">
        <v>290</v>
      </c>
      <c r="H9" s="35">
        <v>290</v>
      </c>
      <c r="I9" s="35">
        <v>290</v>
      </c>
      <c r="J9" s="35">
        <v>285</v>
      </c>
      <c r="K9" s="35">
        <v>250</v>
      </c>
      <c r="L9" s="35">
        <v>220</v>
      </c>
      <c r="M9" s="35">
        <v>160</v>
      </c>
      <c r="N9" s="35">
        <v>795</v>
      </c>
      <c r="O9" s="35">
        <v>2000</v>
      </c>
    </row>
    <row r="10" spans="1:15" x14ac:dyDescent="0.3">
      <c r="A10" s="35" t="s">
        <v>1306</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1308</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1310</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1306</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1313</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1401</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1315</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1317</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1319</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1331</v>
      </c>
      <c r="B26" s="35">
        <v>12001</v>
      </c>
      <c r="C26" s="35" t="s">
        <v>1402</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1333</v>
      </c>
      <c r="B27" s="35">
        <v>22003</v>
      </c>
      <c r="C27" s="35" t="s">
        <v>1402</v>
      </c>
      <c r="D27" s="35">
        <v>0</v>
      </c>
      <c r="E27" s="35">
        <v>24</v>
      </c>
      <c r="F27" s="35">
        <v>65</v>
      </c>
      <c r="G27" s="35">
        <v>112</v>
      </c>
      <c r="H27" s="35">
        <v>130</v>
      </c>
      <c r="I27" s="35">
        <v>98</v>
      </c>
      <c r="J27" s="35">
        <v>56</v>
      </c>
      <c r="K27" s="35">
        <v>15</v>
      </c>
      <c r="L27" s="35">
        <v>0</v>
      </c>
      <c r="M27" s="35">
        <v>0</v>
      </c>
      <c r="N27" s="35">
        <v>331</v>
      </c>
      <c r="O27" s="35">
        <v>500</v>
      </c>
    </row>
    <row r="28" spans="1:15" x14ac:dyDescent="0.3">
      <c r="A28" s="35" t="s">
        <v>1335</v>
      </c>
      <c r="B28" s="35">
        <v>22004</v>
      </c>
      <c r="C28" s="35" t="s">
        <v>1402</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1403</v>
      </c>
      <c r="B29" s="35">
        <v>22007</v>
      </c>
      <c r="C29" s="35" t="s">
        <v>1402</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1337</v>
      </c>
      <c r="B30" s="35">
        <v>23002</v>
      </c>
      <c r="C30" s="35" t="s">
        <v>1402</v>
      </c>
      <c r="D30" s="35">
        <v>0</v>
      </c>
      <c r="E30" s="35">
        <v>30</v>
      </c>
      <c r="F30" s="35">
        <v>90</v>
      </c>
      <c r="G30" s="35">
        <v>90</v>
      </c>
      <c r="H30" s="35">
        <v>85</v>
      </c>
      <c r="I30" s="35">
        <v>70</v>
      </c>
      <c r="J30" s="35">
        <v>65</v>
      </c>
      <c r="K30" s="35">
        <v>65</v>
      </c>
      <c r="L30" s="35">
        <v>35</v>
      </c>
      <c r="M30" s="35">
        <v>15</v>
      </c>
      <c r="N30" s="35">
        <v>295</v>
      </c>
      <c r="O30" s="35">
        <v>545</v>
      </c>
    </row>
    <row r="31" spans="1:15" x14ac:dyDescent="0.3">
      <c r="A31" s="35" t="s">
        <v>1328</v>
      </c>
      <c r="B31" s="35">
        <v>30002</v>
      </c>
      <c r="C31" s="35" t="s">
        <v>1402</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1404</v>
      </c>
      <c r="B32" s="35">
        <v>13104</v>
      </c>
      <c r="C32" s="35" t="s">
        <v>1405</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1406</v>
      </c>
      <c r="B33" s="35">
        <v>13105</v>
      </c>
      <c r="C33" s="35" t="s">
        <v>1405</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1365</v>
      </c>
      <c r="B34" s="35">
        <v>13204</v>
      </c>
      <c r="C34" s="35" t="s">
        <v>1405</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1407</v>
      </c>
      <c r="B35" s="35">
        <v>13502</v>
      </c>
      <c r="C35" s="35" t="s">
        <v>1405</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1408</v>
      </c>
      <c r="B36" s="35">
        <v>13701</v>
      </c>
      <c r="C36" s="35" t="s">
        <v>1405</v>
      </c>
      <c r="D36" s="35">
        <v>0</v>
      </c>
      <c r="E36" s="35">
        <v>1</v>
      </c>
      <c r="F36" s="35">
        <v>1</v>
      </c>
      <c r="G36" s="35">
        <v>2</v>
      </c>
      <c r="H36" s="35">
        <v>2</v>
      </c>
      <c r="I36" s="35">
        <v>3</v>
      </c>
      <c r="J36" s="35">
        <v>3</v>
      </c>
      <c r="K36" s="35">
        <v>4</v>
      </c>
      <c r="L36" s="35">
        <v>5</v>
      </c>
      <c r="M36" s="35">
        <v>6</v>
      </c>
      <c r="N36" s="35">
        <v>6</v>
      </c>
      <c r="O36" s="35">
        <v>26</v>
      </c>
    </row>
    <row r="37" spans="1:15" x14ac:dyDescent="0.3">
      <c r="A37" s="35" t="s">
        <v>1347</v>
      </c>
      <c r="B37" s="35">
        <v>21001</v>
      </c>
      <c r="C37" s="35" t="s">
        <v>1405</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1405</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1359</v>
      </c>
      <c r="B39" s="35">
        <v>22002</v>
      </c>
      <c r="C39" s="35" t="s">
        <v>1405</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1375</v>
      </c>
      <c r="B40" s="35">
        <v>30001</v>
      </c>
      <c r="C40" s="35" t="s">
        <v>1405</v>
      </c>
      <c r="D40" s="35">
        <v>0</v>
      </c>
      <c r="E40" s="35">
        <v>25</v>
      </c>
      <c r="F40" s="35">
        <v>100</v>
      </c>
      <c r="G40" s="35">
        <v>125</v>
      </c>
      <c r="H40" s="35">
        <v>100</v>
      </c>
      <c r="I40" s="35">
        <v>75</v>
      </c>
      <c r="J40" s="35">
        <v>30</v>
      </c>
      <c r="K40" s="35">
        <v>20</v>
      </c>
      <c r="L40" s="35">
        <v>0</v>
      </c>
      <c r="M40" s="35">
        <v>0</v>
      </c>
      <c r="N40" s="35">
        <v>350</v>
      </c>
      <c r="O40" s="35">
        <v>475</v>
      </c>
    </row>
    <row r="42" spans="1:15" x14ac:dyDescent="0.3">
      <c r="C42" s="1760" t="s">
        <v>1409</v>
      </c>
      <c r="D42" s="1760"/>
      <c r="E42" s="1760"/>
      <c r="F42" s="1760"/>
      <c r="G42" s="1760"/>
      <c r="H42" s="1760"/>
      <c r="I42" s="1760"/>
      <c r="J42" s="1760"/>
      <c r="K42" s="1760"/>
      <c r="L42" s="1760"/>
      <c r="M42" s="1760"/>
      <c r="N42" s="1760"/>
      <c r="O42" s="1760"/>
    </row>
    <row r="43" spans="1:15" x14ac:dyDescent="0.3">
      <c r="A43" s="35" t="s">
        <v>1410</v>
      </c>
      <c r="B43" s="35">
        <v>10101</v>
      </c>
      <c r="C43" s="35" t="s">
        <v>1411</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1412</v>
      </c>
      <c r="B44" s="35" t="s">
        <v>1413</v>
      </c>
      <c r="C44" s="35" t="s">
        <v>1411</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1414</v>
      </c>
      <c r="B45" s="35">
        <v>13101</v>
      </c>
      <c r="C45" s="35" t="s">
        <v>1411</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1415</v>
      </c>
      <c r="B46" s="35">
        <v>13102</v>
      </c>
      <c r="C46" s="35" t="s">
        <v>1411</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1416</v>
      </c>
      <c r="B47" s="35">
        <v>13104</v>
      </c>
      <c r="C47" s="35" t="s">
        <v>1411</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1417</v>
      </c>
      <c r="B48" s="35">
        <v>13105</v>
      </c>
      <c r="C48" s="35" t="s">
        <v>1411</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1418</v>
      </c>
      <c r="B49" s="35">
        <v>13303</v>
      </c>
      <c r="C49" s="35" t="s">
        <v>1411</v>
      </c>
      <c r="D49" s="35">
        <v>0</v>
      </c>
      <c r="E49" s="35">
        <v>-62</v>
      </c>
      <c r="F49" s="35">
        <v>-50</v>
      </c>
      <c r="G49" s="35">
        <v>-46</v>
      </c>
      <c r="H49" s="35">
        <v>-42</v>
      </c>
      <c r="I49" s="35">
        <v>-38</v>
      </c>
      <c r="J49" s="35">
        <v>-35</v>
      </c>
      <c r="K49" s="35">
        <v>-32</v>
      </c>
      <c r="L49" s="35">
        <v>-30</v>
      </c>
      <c r="M49" s="35">
        <v>-28</v>
      </c>
      <c r="N49" s="35">
        <v>-200</v>
      </c>
      <c r="O49" s="35">
        <v>-362</v>
      </c>
    </row>
    <row r="50" spans="1:15" x14ac:dyDescent="0.3">
      <c r="A50" s="35" t="s">
        <v>1419</v>
      </c>
      <c r="B50" s="35" t="s">
        <v>1420</v>
      </c>
      <c r="C50" s="35" t="s">
        <v>1411</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1421</v>
      </c>
      <c r="B51" s="35">
        <v>13601</v>
      </c>
      <c r="C51" s="35" t="s">
        <v>1411</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1422</v>
      </c>
      <c r="B52" s="35" t="s">
        <v>1423</v>
      </c>
      <c r="C52" s="35" t="s">
        <v>1411</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1424</v>
      </c>
      <c r="B53" s="35">
        <v>13901</v>
      </c>
      <c r="C53" s="35" t="s">
        <v>1411</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1425</v>
      </c>
      <c r="B54" s="35">
        <v>13902</v>
      </c>
      <c r="C54" s="35" t="s">
        <v>1411</v>
      </c>
      <c r="D54" s="35">
        <v>0</v>
      </c>
      <c r="E54" s="35">
        <v>-16</v>
      </c>
      <c r="F54" s="35">
        <v>-13</v>
      </c>
      <c r="G54" s="35">
        <v>-15</v>
      </c>
      <c r="H54" s="35">
        <v>-16</v>
      </c>
      <c r="I54" s="35">
        <v>-18</v>
      </c>
      <c r="J54" s="35">
        <v>-21</v>
      </c>
      <c r="K54" s="35">
        <v>-22</v>
      </c>
      <c r="L54" s="35">
        <v>-23</v>
      </c>
      <c r="M54" s="35">
        <v>-24</v>
      </c>
      <c r="N54" s="35">
        <v>-60</v>
      </c>
      <c r="O54" s="35">
        <v>-168</v>
      </c>
    </row>
    <row r="55" spans="1:15" x14ac:dyDescent="0.3">
      <c r="A55" s="35" t="s">
        <v>1426</v>
      </c>
      <c r="B55" s="35" t="s">
        <v>1427</v>
      </c>
      <c r="C55" s="35" t="s">
        <v>1411</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1428</v>
      </c>
      <c r="B56" s="35">
        <v>60113</v>
      </c>
      <c r="C56" s="35" t="s">
        <v>1411</v>
      </c>
      <c r="D56" s="35">
        <v>0</v>
      </c>
      <c r="E56" s="35">
        <v>0</v>
      </c>
      <c r="F56" s="35">
        <v>0</v>
      </c>
      <c r="G56" s="35">
        <v>0</v>
      </c>
      <c r="H56" s="35">
        <v>850</v>
      </c>
      <c r="I56" s="137">
        <v>1350</v>
      </c>
      <c r="J56" s="137">
        <v>1400</v>
      </c>
      <c r="K56" s="137">
        <v>1200</v>
      </c>
      <c r="L56" s="137">
        <v>1050</v>
      </c>
      <c r="M56" s="35">
        <v>500</v>
      </c>
      <c r="N56" s="35">
        <v>850</v>
      </c>
      <c r="O56" s="137">
        <v>6350</v>
      </c>
    </row>
    <row r="57" spans="1:15" x14ac:dyDescent="0.3">
      <c r="A57" s="35" t="s">
        <v>1429</v>
      </c>
      <c r="B57" s="35">
        <v>10201</v>
      </c>
      <c r="C57" s="35" t="s">
        <v>1411</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1436</v>
      </c>
      <c r="B58" s="35">
        <v>13304</v>
      </c>
      <c r="C58" s="35" t="s">
        <v>1441</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1432</v>
      </c>
      <c r="B59" s="35" t="s">
        <v>1433</v>
      </c>
      <c r="C59" s="35" t="s">
        <v>1441</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929" t="s">
        <v>1430</v>
      </c>
      <c r="B60" s="930">
        <v>10301</v>
      </c>
      <c r="C60" s="930" t="s">
        <v>239</v>
      </c>
      <c r="D60" s="930">
        <v>0</v>
      </c>
      <c r="E60" s="931">
        <v>2012</v>
      </c>
      <c r="F60" s="931">
        <v>5106</v>
      </c>
      <c r="G60" s="931">
        <v>11125</v>
      </c>
      <c r="H60" s="931">
        <v>16116</v>
      </c>
      <c r="I60" s="931">
        <v>21716</v>
      </c>
      <c r="J60" s="931">
        <v>26314</v>
      </c>
      <c r="K60" s="931">
        <v>31218</v>
      </c>
      <c r="L60" s="931">
        <v>34877</v>
      </c>
      <c r="M60" s="931">
        <v>31904</v>
      </c>
      <c r="N60" s="931">
        <v>34359</v>
      </c>
      <c r="O60" s="932">
        <v>180388</v>
      </c>
    </row>
    <row r="61" spans="1:15" x14ac:dyDescent="0.3">
      <c r="A61" s="35" t="s">
        <v>1431</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1434</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1435</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1437</v>
      </c>
      <c r="B64" s="35" t="s">
        <v>1438</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933">
        <v>2022</v>
      </c>
      <c r="E67" s="933">
        <v>2023</v>
      </c>
      <c r="F67" s="933">
        <v>2024</v>
      </c>
      <c r="G67" s="933">
        <v>2025</v>
      </c>
      <c r="H67" s="933">
        <v>2026</v>
      </c>
      <c r="I67" s="933">
        <v>2027</v>
      </c>
      <c r="J67" s="933">
        <v>2028</v>
      </c>
      <c r="K67" s="933">
        <v>2029</v>
      </c>
      <c r="L67" s="933">
        <v>2030</v>
      </c>
      <c r="M67" s="934">
        <v>2031</v>
      </c>
      <c r="N67" s="935" t="s">
        <v>1377</v>
      </c>
      <c r="O67" s="936" t="s">
        <v>1378</v>
      </c>
    </row>
    <row r="68" spans="3:15" x14ac:dyDescent="0.3">
      <c r="C68" s="1761" t="s">
        <v>1439</v>
      </c>
      <c r="D68" s="1762"/>
      <c r="E68" s="1762"/>
      <c r="F68" s="1762"/>
      <c r="G68" s="1762"/>
      <c r="H68" s="1762"/>
      <c r="I68" s="1762"/>
      <c r="J68" s="1762"/>
      <c r="K68" s="1762"/>
      <c r="L68" s="1762"/>
      <c r="M68" s="1762"/>
      <c r="N68" s="1762"/>
      <c r="O68" s="1763"/>
    </row>
    <row r="69" spans="3:15" x14ac:dyDescent="0.3">
      <c r="C69" s="47" t="s">
        <v>1400</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1265</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
      <c r="C73" s="47" t="s">
        <v>1402</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
      <c r="C74" s="47" t="s">
        <v>1405</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
      <c r="C75" s="1761" t="s">
        <v>1440</v>
      </c>
      <c r="D75" s="1762"/>
      <c r="E75" s="1762"/>
      <c r="F75" s="1762"/>
      <c r="G75" s="1762"/>
      <c r="H75" s="1762"/>
      <c r="I75" s="1762"/>
      <c r="J75" s="1762"/>
      <c r="K75" s="1762"/>
      <c r="L75" s="1762"/>
      <c r="M75" s="1762"/>
      <c r="N75" s="1762"/>
      <c r="O75" s="1763"/>
    </row>
    <row r="76" spans="3:15" x14ac:dyDescent="0.3">
      <c r="C76" s="47" t="s">
        <v>386</v>
      </c>
      <c r="D76" s="35">
        <v>0</v>
      </c>
      <c r="E76" s="35">
        <v>596</v>
      </c>
      <c r="F76" s="35">
        <v>1406</v>
      </c>
      <c r="G76" s="35">
        <v>1885</v>
      </c>
      <c r="H76" s="35">
        <v>2113</v>
      </c>
      <c r="I76" s="35">
        <v>2058</v>
      </c>
      <c r="J76" s="35">
        <v>1745</v>
      </c>
      <c r="K76" s="35">
        <v>1369</v>
      </c>
      <c r="L76" s="35">
        <v>970</v>
      </c>
      <c r="M76" s="35">
        <v>369</v>
      </c>
      <c r="N76" s="712">
        <v>6000</v>
      </c>
      <c r="O76" s="78">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
      <c r="C81" s="47"/>
      <c r="N81" s="124"/>
      <c r="O81" s="125"/>
    </row>
    <row r="82" spans="1:16" x14ac:dyDescent="0.3">
      <c r="C82" s="1761" t="s">
        <v>1409</v>
      </c>
      <c r="D82" s="1762"/>
      <c r="E82" s="1762"/>
      <c r="F82" s="1762"/>
      <c r="G82" s="1762"/>
      <c r="H82" s="1762"/>
      <c r="I82" s="1762"/>
      <c r="J82" s="1762"/>
      <c r="K82" s="1762"/>
      <c r="L82" s="1762"/>
      <c r="M82" s="1762"/>
      <c r="N82" s="1762"/>
      <c r="O82" s="1763"/>
    </row>
    <row r="83" spans="1:16" x14ac:dyDescent="0.3">
      <c r="C83" s="47" t="s">
        <v>1411</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487</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1388</v>
      </c>
    </row>
    <row r="88" spans="1:16" x14ac:dyDescent="0.3">
      <c r="A88" s="953" t="s">
        <v>1195</v>
      </c>
      <c r="B88" s="954" t="s">
        <v>1196</v>
      </c>
      <c r="C88" s="955">
        <v>2022</v>
      </c>
      <c r="D88" s="955">
        <v>2023</v>
      </c>
      <c r="E88" s="955">
        <v>2024</v>
      </c>
      <c r="F88" s="955">
        <v>2025</v>
      </c>
      <c r="G88" s="955">
        <v>2026</v>
      </c>
      <c r="H88" s="955">
        <v>2027</v>
      </c>
      <c r="I88" s="955">
        <v>2028</v>
      </c>
      <c r="J88" s="955">
        <v>2029</v>
      </c>
      <c r="K88" s="955">
        <v>2030</v>
      </c>
      <c r="L88" s="955">
        <v>2031</v>
      </c>
      <c r="M88" s="956" t="s">
        <v>1197</v>
      </c>
      <c r="N88" s="956" t="s">
        <v>1198</v>
      </c>
      <c r="O88" s="957" t="s">
        <v>1199</v>
      </c>
      <c r="P88" s="958" t="s">
        <v>1200</v>
      </c>
    </row>
    <row r="89" spans="1:16" x14ac:dyDescent="0.3">
      <c r="A89" s="959" t="s">
        <v>1201</v>
      </c>
      <c r="B89" s="960" t="s">
        <v>1202</v>
      </c>
      <c r="C89" s="961">
        <v>0</v>
      </c>
      <c r="D89" s="961">
        <v>3</v>
      </c>
      <c r="E89" s="961">
        <v>3</v>
      </c>
      <c r="F89" s="961">
        <v>3</v>
      </c>
      <c r="G89" s="961">
        <v>3</v>
      </c>
      <c r="H89" s="961">
        <v>1</v>
      </c>
      <c r="I89" s="961">
        <v>0</v>
      </c>
      <c r="J89" s="961">
        <v>0</v>
      </c>
      <c r="K89" s="961">
        <v>0</v>
      </c>
      <c r="L89" s="961">
        <v>0</v>
      </c>
      <c r="M89" s="961">
        <v>12</v>
      </c>
      <c r="N89" s="961">
        <v>13</v>
      </c>
      <c r="O89" s="962" t="s">
        <v>1203</v>
      </c>
      <c r="P89" s="963"/>
    </row>
    <row r="90" spans="1:16" ht="24" customHeight="1" x14ac:dyDescent="0.3">
      <c r="A90" s="959" t="s">
        <v>1204</v>
      </c>
      <c r="B90" s="960" t="s">
        <v>1205</v>
      </c>
      <c r="C90" s="961">
        <v>0</v>
      </c>
      <c r="D90" s="961">
        <v>65</v>
      </c>
      <c r="E90" s="961">
        <v>1360</v>
      </c>
      <c r="F90" s="961">
        <v>2430</v>
      </c>
      <c r="G90" s="961">
        <v>2800</v>
      </c>
      <c r="H90" s="961">
        <v>1740</v>
      </c>
      <c r="I90" s="961">
        <v>570</v>
      </c>
      <c r="J90" s="961">
        <v>35</v>
      </c>
      <c r="K90" s="961">
        <v>0</v>
      </c>
      <c r="L90" s="961">
        <v>0</v>
      </c>
      <c r="M90" s="961">
        <v>6655</v>
      </c>
      <c r="N90" s="961">
        <v>9000</v>
      </c>
      <c r="O90" s="962" t="s">
        <v>1203</v>
      </c>
      <c r="P90" s="964"/>
    </row>
    <row r="91" spans="1:16" x14ac:dyDescent="0.3">
      <c r="A91" s="965" t="s">
        <v>1206</v>
      </c>
      <c r="B91" s="966" t="s">
        <v>1207</v>
      </c>
      <c r="C91" s="967">
        <v>0</v>
      </c>
      <c r="D91" s="967">
        <v>0</v>
      </c>
      <c r="E91" s="967">
        <v>601</v>
      </c>
      <c r="F91" s="968">
        <v>1038</v>
      </c>
      <c r="G91" s="968">
        <v>1251</v>
      </c>
      <c r="H91" s="968">
        <v>1431</v>
      </c>
      <c r="I91" s="968">
        <v>1492</v>
      </c>
      <c r="J91" s="968">
        <v>1530</v>
      </c>
      <c r="K91" s="968">
        <v>1567</v>
      </c>
      <c r="L91" s="968">
        <v>1606</v>
      </c>
      <c r="M91" s="968">
        <v>2890</v>
      </c>
      <c r="N91" s="968">
        <v>10516</v>
      </c>
      <c r="O91" s="969" t="s">
        <v>1208</v>
      </c>
      <c r="P91" s="970"/>
    </row>
    <row r="92" spans="1:16" x14ac:dyDescent="0.3">
      <c r="A92" s="971" t="s">
        <v>1209</v>
      </c>
      <c r="B92" s="972" t="s">
        <v>1210</v>
      </c>
      <c r="C92" s="933">
        <v>0</v>
      </c>
      <c r="D92" s="933">
        <v>30</v>
      </c>
      <c r="E92" s="933">
        <v>120</v>
      </c>
      <c r="F92" s="933">
        <v>165</v>
      </c>
      <c r="G92" s="933">
        <v>370</v>
      </c>
      <c r="H92" s="933">
        <v>470</v>
      </c>
      <c r="I92" s="933">
        <v>420</v>
      </c>
      <c r="J92" s="933">
        <v>285</v>
      </c>
      <c r="K92" s="933">
        <v>220</v>
      </c>
      <c r="L92" s="934">
        <v>65</v>
      </c>
      <c r="M92" s="933">
        <v>685</v>
      </c>
      <c r="N92" s="973">
        <v>2145</v>
      </c>
      <c r="O92" s="974" t="s">
        <v>1211</v>
      </c>
      <c r="P92" s="975" t="s">
        <v>1212</v>
      </c>
    </row>
    <row r="93" spans="1:16" x14ac:dyDescent="0.3">
      <c r="A93" s="959" t="s">
        <v>1213</v>
      </c>
      <c r="B93" s="960" t="s">
        <v>1214</v>
      </c>
      <c r="C93" s="961">
        <v>0</v>
      </c>
      <c r="D93" s="961">
        <v>2</v>
      </c>
      <c r="E93" s="961">
        <v>10</v>
      </c>
      <c r="F93" s="961">
        <v>25</v>
      </c>
      <c r="G93" s="961">
        <v>28</v>
      </c>
      <c r="H93" s="961">
        <v>17</v>
      </c>
      <c r="I93" s="961">
        <v>11</v>
      </c>
      <c r="J93" s="961">
        <v>4</v>
      </c>
      <c r="K93" s="961">
        <v>2</v>
      </c>
      <c r="L93" s="961">
        <v>1</v>
      </c>
      <c r="M93" s="961">
        <v>65</v>
      </c>
      <c r="N93" s="961">
        <v>100</v>
      </c>
      <c r="O93" s="962" t="s">
        <v>1211</v>
      </c>
      <c r="P93" s="963" t="s">
        <v>1215</v>
      </c>
    </row>
    <row r="94" spans="1:16" ht="24" customHeight="1" x14ac:dyDescent="0.3">
      <c r="A94" s="976" t="s">
        <v>1216</v>
      </c>
      <c r="B94" s="977" t="s">
        <v>1217</v>
      </c>
      <c r="C94" s="961">
        <v>0</v>
      </c>
      <c r="D94" s="961">
        <v>36</v>
      </c>
      <c r="E94" s="961">
        <v>30</v>
      </c>
      <c r="F94" s="961">
        <v>14</v>
      </c>
      <c r="G94" s="961">
        <v>7</v>
      </c>
      <c r="H94" s="961">
        <v>0</v>
      </c>
      <c r="I94" s="961">
        <v>0</v>
      </c>
      <c r="J94" s="961">
        <v>0</v>
      </c>
      <c r="K94" s="961">
        <v>0</v>
      </c>
      <c r="L94" s="961">
        <v>0</v>
      </c>
      <c r="M94" s="961">
        <v>87</v>
      </c>
      <c r="N94" s="961">
        <v>87</v>
      </c>
      <c r="O94" s="962" t="s">
        <v>1211</v>
      </c>
      <c r="P94" s="963" t="s">
        <v>1218</v>
      </c>
    </row>
    <row r="95" spans="1:16" x14ac:dyDescent="0.3">
      <c r="A95" s="959" t="s">
        <v>1219</v>
      </c>
      <c r="B95" s="960" t="s">
        <v>1220</v>
      </c>
      <c r="C95" s="961">
        <v>0</v>
      </c>
      <c r="D95" s="978">
        <v>5240</v>
      </c>
      <c r="E95" s="978">
        <v>4175</v>
      </c>
      <c r="F95" s="978">
        <v>5215</v>
      </c>
      <c r="G95" s="978">
        <v>6493</v>
      </c>
      <c r="H95" s="978">
        <v>7982</v>
      </c>
      <c r="I95" s="978">
        <v>9820</v>
      </c>
      <c r="J95" s="978">
        <v>11813</v>
      </c>
      <c r="K95" s="978">
        <v>14269</v>
      </c>
      <c r="L95" s="978">
        <v>14605</v>
      </c>
      <c r="M95" s="978">
        <v>21123</v>
      </c>
      <c r="N95" s="978">
        <v>79612</v>
      </c>
      <c r="O95" s="979" t="s">
        <v>1211</v>
      </c>
      <c r="P95" s="963"/>
    </row>
    <row r="96" spans="1:16" x14ac:dyDescent="0.3">
      <c r="A96" s="959" t="s">
        <v>1221</v>
      </c>
      <c r="B96" s="960" t="s">
        <v>1222</v>
      </c>
      <c r="C96" s="980">
        <v>0</v>
      </c>
      <c r="D96" s="980">
        <v>55</v>
      </c>
      <c r="E96" s="980">
        <v>55</v>
      </c>
      <c r="F96" s="980">
        <v>55</v>
      </c>
      <c r="G96" s="980">
        <v>55</v>
      </c>
      <c r="H96" s="980">
        <v>55</v>
      </c>
      <c r="I96" s="980">
        <v>55</v>
      </c>
      <c r="J96" s="980">
        <v>55</v>
      </c>
      <c r="K96" s="980">
        <v>55</v>
      </c>
      <c r="L96" s="980">
        <v>55</v>
      </c>
      <c r="M96" s="980">
        <v>220</v>
      </c>
      <c r="N96" s="980">
        <v>495</v>
      </c>
      <c r="O96" s="981" t="s">
        <v>1211</v>
      </c>
      <c r="P96" s="964"/>
    </row>
    <row r="97" spans="1:16" x14ac:dyDescent="0.3">
      <c r="A97" s="959" t="s">
        <v>1223</v>
      </c>
      <c r="B97" s="960" t="s">
        <v>1224</v>
      </c>
      <c r="C97" s="961">
        <v>0</v>
      </c>
      <c r="D97" s="961">
        <v>19</v>
      </c>
      <c r="E97" s="961">
        <v>26</v>
      </c>
      <c r="F97" s="961">
        <v>27</v>
      </c>
      <c r="G97" s="961">
        <v>17</v>
      </c>
      <c r="H97" s="961">
        <v>7</v>
      </c>
      <c r="I97" s="961">
        <v>3</v>
      </c>
      <c r="J97" s="961">
        <v>1</v>
      </c>
      <c r="K97" s="961">
        <v>0</v>
      </c>
      <c r="L97" s="961">
        <v>0</v>
      </c>
      <c r="M97" s="961">
        <v>89</v>
      </c>
      <c r="N97" s="961">
        <v>100</v>
      </c>
      <c r="O97" s="979" t="s">
        <v>1211</v>
      </c>
      <c r="P97" s="964"/>
    </row>
    <row r="98" spans="1:16" x14ac:dyDescent="0.3">
      <c r="A98" s="959" t="s">
        <v>1225</v>
      </c>
      <c r="B98" s="960" t="s">
        <v>1226</v>
      </c>
      <c r="C98" s="961">
        <v>0</v>
      </c>
      <c r="D98" s="961">
        <v>15</v>
      </c>
      <c r="E98" s="961">
        <v>15</v>
      </c>
      <c r="F98" s="961">
        <v>15</v>
      </c>
      <c r="G98" s="961">
        <v>10</v>
      </c>
      <c r="H98" s="961">
        <v>10</v>
      </c>
      <c r="I98" s="961">
        <v>10</v>
      </c>
      <c r="J98" s="961">
        <v>10</v>
      </c>
      <c r="K98" s="961">
        <v>10</v>
      </c>
      <c r="L98" s="961">
        <v>5</v>
      </c>
      <c r="M98" s="961">
        <v>55</v>
      </c>
      <c r="N98" s="961">
        <v>100</v>
      </c>
      <c r="O98" s="962" t="s">
        <v>1211</v>
      </c>
      <c r="P98" s="964"/>
    </row>
    <row r="99" spans="1:16" ht="36" customHeight="1" x14ac:dyDescent="0.3">
      <c r="A99" s="959" t="s">
        <v>1227</v>
      </c>
      <c r="B99" s="960" t="s">
        <v>1228</v>
      </c>
      <c r="C99" s="982">
        <v>0</v>
      </c>
      <c r="D99" s="982">
        <v>22</v>
      </c>
      <c r="E99" s="982">
        <v>96</v>
      </c>
      <c r="F99" s="982">
        <v>170</v>
      </c>
      <c r="G99" s="982">
        <v>213</v>
      </c>
      <c r="H99" s="982">
        <v>160</v>
      </c>
      <c r="I99" s="982">
        <v>47</v>
      </c>
      <c r="J99" s="982">
        <v>2</v>
      </c>
      <c r="K99" s="982">
        <v>0</v>
      </c>
      <c r="L99" s="982">
        <v>0</v>
      </c>
      <c r="M99" s="982">
        <v>501</v>
      </c>
      <c r="N99" s="982">
        <v>710</v>
      </c>
      <c r="O99" s="961" t="s">
        <v>1211</v>
      </c>
      <c r="P99" s="964"/>
    </row>
    <row r="100" spans="1:16" ht="36" customHeight="1" x14ac:dyDescent="0.3">
      <c r="A100" s="959" t="s">
        <v>1229</v>
      </c>
      <c r="B100" s="960" t="s">
        <v>1230</v>
      </c>
      <c r="C100" s="983"/>
      <c r="D100" s="983">
        <v>90</v>
      </c>
      <c r="E100" s="983">
        <v>260</v>
      </c>
      <c r="F100" s="983">
        <v>427</v>
      </c>
      <c r="G100" s="983">
        <v>560</v>
      </c>
      <c r="H100" s="983">
        <v>572</v>
      </c>
      <c r="I100" s="983">
        <v>534</v>
      </c>
      <c r="J100" s="983">
        <v>275</v>
      </c>
      <c r="K100" s="983">
        <v>162</v>
      </c>
      <c r="L100" s="983">
        <v>70</v>
      </c>
      <c r="M100" s="983">
        <v>1347</v>
      </c>
      <c r="N100" s="983">
        <v>2960</v>
      </c>
      <c r="O100" s="984" t="s">
        <v>1211</v>
      </c>
      <c r="P100" s="964"/>
    </row>
    <row r="101" spans="1:16" x14ac:dyDescent="0.3">
      <c r="A101" s="959" t="s">
        <v>1231</v>
      </c>
      <c r="B101" s="960" t="s">
        <v>1232</v>
      </c>
      <c r="C101" s="961">
        <v>0</v>
      </c>
      <c r="D101" s="961">
        <v>40</v>
      </c>
      <c r="E101" s="961">
        <v>60</v>
      </c>
      <c r="F101" s="961">
        <v>52</v>
      </c>
      <c r="G101" s="961">
        <v>40</v>
      </c>
      <c r="H101" s="961">
        <v>27</v>
      </c>
      <c r="I101" s="961">
        <v>19</v>
      </c>
      <c r="J101" s="961">
        <v>10</v>
      </c>
      <c r="K101" s="961">
        <v>2</v>
      </c>
      <c r="L101" s="961">
        <v>0</v>
      </c>
      <c r="M101" s="961">
        <v>192</v>
      </c>
      <c r="N101" s="961">
        <v>250</v>
      </c>
      <c r="O101" s="962" t="s">
        <v>1211</v>
      </c>
      <c r="P101" s="964"/>
    </row>
    <row r="102" spans="1:16" x14ac:dyDescent="0.3">
      <c r="A102" s="976" t="s">
        <v>1233</v>
      </c>
      <c r="B102" s="977" t="s">
        <v>1234</v>
      </c>
      <c r="C102" s="961">
        <v>0</v>
      </c>
      <c r="D102" s="961">
        <v>49</v>
      </c>
      <c r="E102" s="961">
        <v>62</v>
      </c>
      <c r="F102" s="961">
        <v>62</v>
      </c>
      <c r="G102" s="961">
        <v>62</v>
      </c>
      <c r="H102" s="961">
        <v>63</v>
      </c>
      <c r="I102" s="961">
        <v>63</v>
      </c>
      <c r="J102" s="961">
        <v>63</v>
      </c>
      <c r="K102" s="961">
        <v>64</v>
      </c>
      <c r="L102" s="961">
        <v>12</v>
      </c>
      <c r="M102" s="961">
        <v>235</v>
      </c>
      <c r="N102" s="961">
        <v>500</v>
      </c>
      <c r="O102" s="962" t="s">
        <v>1211</v>
      </c>
      <c r="P102" s="964"/>
    </row>
    <row r="103" spans="1:16" x14ac:dyDescent="0.3">
      <c r="A103" s="959" t="s">
        <v>1235</v>
      </c>
      <c r="B103" s="960" t="s">
        <v>1236</v>
      </c>
      <c r="C103" s="961">
        <v>0</v>
      </c>
      <c r="D103" s="961">
        <v>0</v>
      </c>
      <c r="E103" s="961">
        <v>0</v>
      </c>
      <c r="F103" s="961">
        <v>0</v>
      </c>
      <c r="G103" s="961">
        <v>-20</v>
      </c>
      <c r="H103" s="961">
        <v>-28</v>
      </c>
      <c r="I103" s="961">
        <v>-28</v>
      </c>
      <c r="J103" s="961">
        <v>-28</v>
      </c>
      <c r="K103" s="961">
        <v>-28</v>
      </c>
      <c r="L103" s="961">
        <v>-28</v>
      </c>
      <c r="M103" s="961">
        <v>-20</v>
      </c>
      <c r="N103" s="961">
        <v>-160</v>
      </c>
      <c r="O103" s="962" t="s">
        <v>1211</v>
      </c>
      <c r="P103" s="964"/>
    </row>
    <row r="104" spans="1:16" ht="24" customHeight="1" x14ac:dyDescent="0.3">
      <c r="A104" s="959" t="s">
        <v>1237</v>
      </c>
      <c r="B104" s="960" t="s">
        <v>1238</v>
      </c>
      <c r="C104" s="961">
        <v>0</v>
      </c>
      <c r="D104" s="961">
        <v>-235</v>
      </c>
      <c r="E104" s="961">
        <v>-44</v>
      </c>
      <c r="F104" s="961">
        <v>-22</v>
      </c>
      <c r="G104" s="961">
        <v>-26</v>
      </c>
      <c r="H104" s="961">
        <v>-23</v>
      </c>
      <c r="I104" s="961">
        <v>-19</v>
      </c>
      <c r="J104" s="961">
        <v>-41</v>
      </c>
      <c r="K104" s="961">
        <v>-35</v>
      </c>
      <c r="L104" s="961">
        <v>-39</v>
      </c>
      <c r="M104" s="961">
        <v>-327</v>
      </c>
      <c r="N104" s="961">
        <v>-484</v>
      </c>
      <c r="O104" s="962" t="s">
        <v>1211</v>
      </c>
      <c r="P104" s="964"/>
    </row>
    <row r="105" spans="1:16" x14ac:dyDescent="0.3">
      <c r="A105" s="959" t="s">
        <v>1239</v>
      </c>
      <c r="B105" s="960" t="s">
        <v>1240</v>
      </c>
      <c r="C105" s="961">
        <v>0</v>
      </c>
      <c r="D105" s="961">
        <v>7</v>
      </c>
      <c r="E105" s="961">
        <v>8</v>
      </c>
      <c r="F105" s="961">
        <v>6</v>
      </c>
      <c r="G105" s="961">
        <v>2</v>
      </c>
      <c r="H105" s="961">
        <v>1</v>
      </c>
      <c r="I105" s="961">
        <v>0</v>
      </c>
      <c r="J105" s="961">
        <v>0</v>
      </c>
      <c r="K105" s="961">
        <v>0</v>
      </c>
      <c r="L105" s="961">
        <v>0</v>
      </c>
      <c r="M105" s="961">
        <v>23</v>
      </c>
      <c r="N105" s="961">
        <v>24</v>
      </c>
      <c r="O105" s="962" t="s">
        <v>1211</v>
      </c>
      <c r="P105" s="964"/>
    </row>
    <row r="106" spans="1:16" ht="36" customHeight="1" x14ac:dyDescent="0.3">
      <c r="A106" s="959" t="s">
        <v>1241</v>
      </c>
      <c r="B106" s="960" t="s">
        <v>1242</v>
      </c>
      <c r="C106" s="961">
        <v>0</v>
      </c>
      <c r="D106" s="961">
        <v>50</v>
      </c>
      <c r="E106" s="961">
        <v>77</v>
      </c>
      <c r="F106" s="961">
        <v>87</v>
      </c>
      <c r="G106" s="961">
        <v>81</v>
      </c>
      <c r="H106" s="961">
        <v>50</v>
      </c>
      <c r="I106" s="961">
        <v>30</v>
      </c>
      <c r="J106" s="961">
        <v>10</v>
      </c>
      <c r="K106" s="961">
        <v>0</v>
      </c>
      <c r="L106" s="961">
        <v>0</v>
      </c>
      <c r="M106" s="961">
        <v>295</v>
      </c>
      <c r="N106" s="961">
        <v>385</v>
      </c>
      <c r="O106" s="962" t="s">
        <v>1211</v>
      </c>
      <c r="P106" s="964"/>
    </row>
    <row r="107" spans="1:16" x14ac:dyDescent="0.3">
      <c r="A107" s="976" t="s">
        <v>1243</v>
      </c>
      <c r="B107" s="977" t="s">
        <v>1244</v>
      </c>
      <c r="C107" s="961">
        <v>0</v>
      </c>
      <c r="D107" s="961">
        <v>3</v>
      </c>
      <c r="E107" s="961">
        <v>2</v>
      </c>
      <c r="F107" s="961">
        <v>0</v>
      </c>
      <c r="G107" s="961">
        <v>0</v>
      </c>
      <c r="H107" s="961">
        <v>0</v>
      </c>
      <c r="I107" s="961">
        <v>0</v>
      </c>
      <c r="J107" s="961">
        <v>0</v>
      </c>
      <c r="K107" s="961">
        <v>0</v>
      </c>
      <c r="L107" s="961">
        <v>0</v>
      </c>
      <c r="M107" s="961">
        <v>5</v>
      </c>
      <c r="N107" s="961">
        <v>5</v>
      </c>
      <c r="O107" s="962" t="s">
        <v>1245</v>
      </c>
      <c r="P107" s="964"/>
    </row>
    <row r="108" spans="1:16" x14ac:dyDescent="0.3">
      <c r="A108" s="976" t="s">
        <v>1246</v>
      </c>
      <c r="B108" s="977" t="s">
        <v>1247</v>
      </c>
      <c r="C108" s="961">
        <v>0</v>
      </c>
      <c r="D108" s="961">
        <v>70</v>
      </c>
      <c r="E108" s="961">
        <v>80</v>
      </c>
      <c r="F108" s="961">
        <v>62</v>
      </c>
      <c r="G108" s="961">
        <v>25</v>
      </c>
      <c r="H108" s="961">
        <v>13</v>
      </c>
      <c r="I108" s="961">
        <v>0</v>
      </c>
      <c r="J108" s="961">
        <v>0</v>
      </c>
      <c r="K108" s="961">
        <v>0</v>
      </c>
      <c r="L108" s="961">
        <v>0</v>
      </c>
      <c r="M108" s="961">
        <v>237</v>
      </c>
      <c r="N108" s="961">
        <v>250</v>
      </c>
      <c r="O108" s="962" t="s">
        <v>1245</v>
      </c>
      <c r="P108" s="964"/>
    </row>
    <row r="109" spans="1:16" ht="24" customHeight="1" x14ac:dyDescent="0.3">
      <c r="A109" s="976" t="s">
        <v>1248</v>
      </c>
      <c r="B109" s="977" t="s">
        <v>1249</v>
      </c>
      <c r="C109" s="980">
        <v>0</v>
      </c>
      <c r="D109" s="980">
        <v>33</v>
      </c>
      <c r="E109" s="980">
        <v>54</v>
      </c>
      <c r="F109" s="980">
        <v>37</v>
      </c>
      <c r="G109" s="980">
        <v>16</v>
      </c>
      <c r="H109" s="980">
        <v>0</v>
      </c>
      <c r="I109" s="980">
        <v>0</v>
      </c>
      <c r="J109" s="980">
        <v>0</v>
      </c>
      <c r="K109" s="980">
        <v>0</v>
      </c>
      <c r="L109" s="980">
        <v>0</v>
      </c>
      <c r="M109" s="980">
        <v>140</v>
      </c>
      <c r="N109" s="980">
        <v>140</v>
      </c>
      <c r="O109" s="962" t="s">
        <v>1211</v>
      </c>
      <c r="P109" s="964"/>
    </row>
    <row r="110" spans="1:16" x14ac:dyDescent="0.3">
      <c r="A110" s="959" t="s">
        <v>1250</v>
      </c>
      <c r="B110" s="960" t="s">
        <v>1251</v>
      </c>
      <c r="C110" s="961">
        <v>0</v>
      </c>
      <c r="D110" s="961">
        <v>40</v>
      </c>
      <c r="E110" s="961">
        <v>40</v>
      </c>
      <c r="F110" s="961">
        <v>30</v>
      </c>
      <c r="G110" s="961">
        <v>10</v>
      </c>
      <c r="H110" s="961">
        <v>5</v>
      </c>
      <c r="I110" s="961">
        <v>0</v>
      </c>
      <c r="J110" s="961">
        <v>0</v>
      </c>
      <c r="K110" s="961">
        <v>0</v>
      </c>
      <c r="L110" s="961">
        <v>0</v>
      </c>
      <c r="M110" s="961">
        <v>120</v>
      </c>
      <c r="N110" s="961">
        <v>125</v>
      </c>
      <c r="O110" s="962" t="s">
        <v>1211</v>
      </c>
      <c r="P110" s="964"/>
    </row>
    <row r="111" spans="1:16" x14ac:dyDescent="0.3">
      <c r="A111" s="976" t="s">
        <v>1252</v>
      </c>
      <c r="B111" s="960" t="s">
        <v>1253</v>
      </c>
      <c r="C111" s="961">
        <v>0</v>
      </c>
      <c r="D111" s="961">
        <v>5</v>
      </c>
      <c r="E111" s="961">
        <v>8</v>
      </c>
      <c r="F111" s="961">
        <v>8</v>
      </c>
      <c r="G111" s="961">
        <v>8</v>
      </c>
      <c r="H111" s="961">
        <v>4</v>
      </c>
      <c r="I111" s="961">
        <v>0</v>
      </c>
      <c r="J111" s="961">
        <v>0</v>
      </c>
      <c r="K111" s="961">
        <v>0</v>
      </c>
      <c r="L111" s="961">
        <v>0</v>
      </c>
      <c r="M111" s="961">
        <v>29</v>
      </c>
      <c r="N111" s="961">
        <v>33</v>
      </c>
      <c r="O111" s="962" t="s">
        <v>1211</v>
      </c>
      <c r="P111" s="964"/>
    </row>
    <row r="112" spans="1:16" x14ac:dyDescent="0.3">
      <c r="A112" s="959" t="s">
        <v>1254</v>
      </c>
      <c r="B112" s="977" t="s">
        <v>1255</v>
      </c>
      <c r="C112" s="961">
        <v>0</v>
      </c>
      <c r="D112" s="961">
        <v>3</v>
      </c>
      <c r="E112" s="961">
        <v>8</v>
      </c>
      <c r="F112" s="961">
        <v>8</v>
      </c>
      <c r="G112" s="961">
        <v>8</v>
      </c>
      <c r="H112" s="961">
        <v>3</v>
      </c>
      <c r="I112" s="961">
        <v>0</v>
      </c>
      <c r="J112" s="961">
        <v>0</v>
      </c>
      <c r="K112" s="961">
        <v>0</v>
      </c>
      <c r="L112" s="961">
        <v>0</v>
      </c>
      <c r="M112" s="961">
        <v>27</v>
      </c>
      <c r="N112" s="961">
        <v>30</v>
      </c>
      <c r="O112" s="962" t="s">
        <v>1211</v>
      </c>
      <c r="P112" s="964"/>
    </row>
    <row r="113" spans="1:16" ht="24" customHeight="1" x14ac:dyDescent="0.3">
      <c r="A113" s="959" t="s">
        <v>1256</v>
      </c>
      <c r="B113" s="960" t="s">
        <v>1257</v>
      </c>
      <c r="C113" s="980">
        <v>0</v>
      </c>
      <c r="D113" s="980">
        <v>165</v>
      </c>
      <c r="E113" s="980">
        <v>165</v>
      </c>
      <c r="F113" s="980">
        <v>230</v>
      </c>
      <c r="G113" s="980">
        <v>340</v>
      </c>
      <c r="H113" s="980">
        <v>490</v>
      </c>
      <c r="I113" s="980">
        <v>540</v>
      </c>
      <c r="J113" s="980">
        <v>640</v>
      </c>
      <c r="K113" s="980">
        <v>475</v>
      </c>
      <c r="L113" s="980">
        <v>330</v>
      </c>
      <c r="M113" s="980">
        <v>900</v>
      </c>
      <c r="N113" s="980">
        <v>3375</v>
      </c>
      <c r="O113" s="979" t="s">
        <v>1211</v>
      </c>
      <c r="P113" s="964"/>
    </row>
    <row r="114" spans="1:16" ht="24" customHeight="1" x14ac:dyDescent="0.3">
      <c r="A114" s="985" t="s">
        <v>1227</v>
      </c>
      <c r="B114" s="986" t="s">
        <v>1258</v>
      </c>
      <c r="C114" s="961">
        <v>0</v>
      </c>
      <c r="D114" s="961">
        <v>195</v>
      </c>
      <c r="E114" s="961">
        <v>448</v>
      </c>
      <c r="F114" s="961">
        <v>641</v>
      </c>
      <c r="G114" s="961">
        <v>716</v>
      </c>
      <c r="H114" s="961">
        <v>681</v>
      </c>
      <c r="I114" s="961">
        <v>528</v>
      </c>
      <c r="J114" s="961">
        <v>421</v>
      </c>
      <c r="K114" s="961">
        <v>323</v>
      </c>
      <c r="L114" s="961">
        <v>23</v>
      </c>
      <c r="M114" s="978">
        <v>2000</v>
      </c>
      <c r="N114" s="978">
        <v>3976</v>
      </c>
      <c r="O114" s="979" t="s">
        <v>1211</v>
      </c>
      <c r="P114" s="987"/>
    </row>
    <row r="115" spans="1:16" ht="30" customHeight="1" x14ac:dyDescent="0.3">
      <c r="A115" s="971" t="s">
        <v>1259</v>
      </c>
      <c r="B115" s="972" t="s">
        <v>1260</v>
      </c>
      <c r="C115" s="988">
        <v>0</v>
      </c>
      <c r="D115" s="988">
        <v>20</v>
      </c>
      <c r="E115" s="988">
        <v>57</v>
      </c>
      <c r="F115" s="988">
        <v>96</v>
      </c>
      <c r="G115" s="988">
        <v>150</v>
      </c>
      <c r="H115" s="988">
        <v>200</v>
      </c>
      <c r="I115" s="988">
        <v>185</v>
      </c>
      <c r="J115" s="988">
        <v>147</v>
      </c>
      <c r="K115" s="988">
        <v>106</v>
      </c>
      <c r="L115" s="988">
        <v>39</v>
      </c>
      <c r="M115" s="988">
        <v>323</v>
      </c>
      <c r="N115" s="989">
        <v>1000</v>
      </c>
      <c r="O115" s="990" t="s">
        <v>1261</v>
      </c>
      <c r="P115" s="991" t="s">
        <v>1262</v>
      </c>
    </row>
    <row r="116" spans="1:16" x14ac:dyDescent="0.3">
      <c r="A116" s="976" t="s">
        <v>1263</v>
      </c>
      <c r="B116" s="960" t="s">
        <v>1264</v>
      </c>
      <c r="C116" s="961">
        <v>0</v>
      </c>
      <c r="D116" s="961">
        <v>15</v>
      </c>
      <c r="E116" s="961">
        <v>53</v>
      </c>
      <c r="F116" s="961">
        <v>57</v>
      </c>
      <c r="G116" s="961">
        <v>48</v>
      </c>
      <c r="H116" s="961">
        <v>43</v>
      </c>
      <c r="I116" s="961">
        <v>17</v>
      </c>
      <c r="J116" s="961">
        <v>2</v>
      </c>
      <c r="K116" s="961">
        <v>0</v>
      </c>
      <c r="L116" s="961">
        <v>0</v>
      </c>
      <c r="M116" s="961">
        <v>173</v>
      </c>
      <c r="N116" s="961">
        <v>235</v>
      </c>
      <c r="O116" s="962" t="s">
        <v>1265</v>
      </c>
      <c r="P116" s="963" t="s">
        <v>1266</v>
      </c>
    </row>
    <row r="117" spans="1:16" x14ac:dyDescent="0.3">
      <c r="A117" s="959" t="s">
        <v>1267</v>
      </c>
      <c r="B117" s="960" t="s">
        <v>1268</v>
      </c>
      <c r="C117" s="961">
        <v>0</v>
      </c>
      <c r="D117" s="961">
        <v>15</v>
      </c>
      <c r="E117" s="961">
        <v>53</v>
      </c>
      <c r="F117" s="961">
        <v>57</v>
      </c>
      <c r="G117" s="961">
        <v>48</v>
      </c>
      <c r="H117" s="961">
        <v>43</v>
      </c>
      <c r="I117" s="961">
        <v>17</v>
      </c>
      <c r="J117" s="961">
        <v>2</v>
      </c>
      <c r="K117" s="961">
        <v>0</v>
      </c>
      <c r="L117" s="961">
        <v>0</v>
      </c>
      <c r="M117" s="961">
        <v>173</v>
      </c>
      <c r="N117" s="961">
        <v>235</v>
      </c>
      <c r="O117" s="962" t="s">
        <v>1265</v>
      </c>
      <c r="P117" s="963" t="s">
        <v>1266</v>
      </c>
    </row>
    <row r="118" spans="1:16" x14ac:dyDescent="0.3">
      <c r="A118" s="976" t="s">
        <v>1269</v>
      </c>
      <c r="B118" s="977" t="s">
        <v>1270</v>
      </c>
      <c r="C118" s="961">
        <v>0</v>
      </c>
      <c r="D118" s="961">
        <v>42</v>
      </c>
      <c r="E118" s="961">
        <v>18</v>
      </c>
      <c r="F118" s="961">
        <v>0</v>
      </c>
      <c r="G118" s="961">
        <v>0</v>
      </c>
      <c r="H118" s="961">
        <v>0</v>
      </c>
      <c r="I118" s="961">
        <v>0</v>
      </c>
      <c r="J118" s="961">
        <v>0</v>
      </c>
      <c r="K118" s="961">
        <v>0</v>
      </c>
      <c r="L118" s="961">
        <v>0</v>
      </c>
      <c r="M118" s="961">
        <v>60</v>
      </c>
      <c r="N118" s="961">
        <v>60</v>
      </c>
      <c r="O118" s="962" t="s">
        <v>1261</v>
      </c>
      <c r="P118" s="964" t="s">
        <v>1271</v>
      </c>
    </row>
    <row r="119" spans="1:16" x14ac:dyDescent="0.3">
      <c r="A119" s="959" t="s">
        <v>1272</v>
      </c>
      <c r="B119" s="960" t="s">
        <v>1273</v>
      </c>
      <c r="C119" s="961">
        <v>0</v>
      </c>
      <c r="D119" s="961">
        <v>2</v>
      </c>
      <c r="E119" s="961">
        <v>13</v>
      </c>
      <c r="F119" s="961">
        <v>26</v>
      </c>
      <c r="G119" s="961">
        <v>30</v>
      </c>
      <c r="H119" s="961">
        <v>24</v>
      </c>
      <c r="I119" s="961">
        <v>0</v>
      </c>
      <c r="J119" s="961">
        <v>0</v>
      </c>
      <c r="K119" s="961">
        <v>0</v>
      </c>
      <c r="L119" s="961">
        <v>0</v>
      </c>
      <c r="M119" s="961">
        <v>71</v>
      </c>
      <c r="N119" s="961">
        <v>95</v>
      </c>
      <c r="O119" s="962" t="s">
        <v>1261</v>
      </c>
      <c r="P119" s="963" t="s">
        <v>1274</v>
      </c>
    </row>
    <row r="120" spans="1:16" ht="36" customHeight="1" x14ac:dyDescent="0.3">
      <c r="A120" s="959" t="s">
        <v>1275</v>
      </c>
      <c r="B120" s="960" t="s">
        <v>1276</v>
      </c>
      <c r="C120" s="961">
        <v>0</v>
      </c>
      <c r="D120" s="961">
        <v>3</v>
      </c>
      <c r="E120" s="961">
        <v>19</v>
      </c>
      <c r="F120" s="961">
        <v>67</v>
      </c>
      <c r="G120" s="961">
        <v>86</v>
      </c>
      <c r="H120" s="961">
        <v>59</v>
      </c>
      <c r="I120" s="961">
        <v>35</v>
      </c>
      <c r="J120" s="961">
        <v>19</v>
      </c>
      <c r="K120" s="961">
        <v>6</v>
      </c>
      <c r="L120" s="961">
        <v>0</v>
      </c>
      <c r="M120" s="961">
        <v>175</v>
      </c>
      <c r="N120" s="961">
        <v>294</v>
      </c>
      <c r="O120" s="962" t="s">
        <v>1261</v>
      </c>
      <c r="P120" s="987" t="s">
        <v>1277</v>
      </c>
    </row>
    <row r="121" spans="1:16" x14ac:dyDescent="0.3">
      <c r="A121" s="959" t="s">
        <v>1278</v>
      </c>
      <c r="B121" s="960" t="s">
        <v>1279</v>
      </c>
      <c r="C121" s="961">
        <v>0</v>
      </c>
      <c r="D121" s="961">
        <v>65</v>
      </c>
      <c r="E121" s="961">
        <v>150</v>
      </c>
      <c r="F121" s="961">
        <v>290</v>
      </c>
      <c r="G121" s="961">
        <v>290</v>
      </c>
      <c r="H121" s="961">
        <v>290</v>
      </c>
      <c r="I121" s="961">
        <v>285</v>
      </c>
      <c r="J121" s="961">
        <v>250</v>
      </c>
      <c r="K121" s="961">
        <v>220</v>
      </c>
      <c r="L121" s="961">
        <v>160</v>
      </c>
      <c r="M121" s="961">
        <v>795</v>
      </c>
      <c r="N121" s="978">
        <v>2000</v>
      </c>
      <c r="O121" s="962" t="s">
        <v>1261</v>
      </c>
      <c r="P121" s="964"/>
    </row>
    <row r="122" spans="1:16" x14ac:dyDescent="0.3">
      <c r="A122" s="959" t="s">
        <v>1280</v>
      </c>
      <c r="B122" s="960" t="s">
        <v>1281</v>
      </c>
      <c r="C122" s="961">
        <v>0</v>
      </c>
      <c r="D122" s="961">
        <v>5</v>
      </c>
      <c r="E122" s="961">
        <v>20</v>
      </c>
      <c r="F122" s="961">
        <v>65</v>
      </c>
      <c r="G122" s="961">
        <v>105</v>
      </c>
      <c r="H122" s="961">
        <v>140</v>
      </c>
      <c r="I122" s="961">
        <v>175</v>
      </c>
      <c r="J122" s="961">
        <v>210</v>
      </c>
      <c r="K122" s="961">
        <v>150</v>
      </c>
      <c r="L122" s="961">
        <v>35</v>
      </c>
      <c r="M122" s="961">
        <v>195</v>
      </c>
      <c r="N122" s="961">
        <v>905</v>
      </c>
      <c r="O122" s="992" t="s">
        <v>1261</v>
      </c>
      <c r="P122" s="993"/>
    </row>
    <row r="123" spans="1:16" x14ac:dyDescent="0.3">
      <c r="A123" s="959" t="s">
        <v>1282</v>
      </c>
      <c r="B123" s="960" t="s">
        <v>1283</v>
      </c>
      <c r="C123" s="961">
        <v>0</v>
      </c>
      <c r="D123" s="961">
        <v>10</v>
      </c>
      <c r="E123" s="961">
        <v>150</v>
      </c>
      <c r="F123" s="961">
        <v>300</v>
      </c>
      <c r="G123" s="961">
        <v>590</v>
      </c>
      <c r="H123" s="961">
        <v>460</v>
      </c>
      <c r="I123" s="961">
        <v>295</v>
      </c>
      <c r="J123" s="961">
        <v>195</v>
      </c>
      <c r="K123" s="961">
        <v>0</v>
      </c>
      <c r="L123" s="961">
        <v>0</v>
      </c>
      <c r="M123" s="978">
        <v>1050</v>
      </c>
      <c r="N123" s="978">
        <v>2000</v>
      </c>
      <c r="O123" s="962" t="s">
        <v>1261</v>
      </c>
      <c r="P123" s="964"/>
    </row>
    <row r="124" spans="1:16" x14ac:dyDescent="0.3">
      <c r="A124" s="959" t="s">
        <v>1284</v>
      </c>
      <c r="B124" s="960" t="s">
        <v>1285</v>
      </c>
      <c r="C124" s="961"/>
      <c r="D124" s="961"/>
      <c r="E124" s="961"/>
      <c r="F124" s="961"/>
      <c r="G124" s="961"/>
      <c r="H124" s="961"/>
      <c r="I124" s="961"/>
      <c r="J124" s="961"/>
      <c r="K124" s="961"/>
      <c r="L124" s="961"/>
      <c r="M124" s="961"/>
      <c r="N124" s="961"/>
      <c r="O124" s="962"/>
      <c r="P124" s="964"/>
    </row>
    <row r="125" spans="1:16" ht="24" customHeight="1" x14ac:dyDescent="0.3">
      <c r="A125" s="976" t="s">
        <v>1286</v>
      </c>
      <c r="B125" s="977" t="s">
        <v>1287</v>
      </c>
      <c r="C125" s="980">
        <v>0</v>
      </c>
      <c r="D125" s="980">
        <v>72</v>
      </c>
      <c r="E125" s="980">
        <v>123</v>
      </c>
      <c r="F125" s="980">
        <v>122</v>
      </c>
      <c r="G125" s="980">
        <v>115</v>
      </c>
      <c r="H125" s="980">
        <v>55</v>
      </c>
      <c r="I125" s="980">
        <v>55</v>
      </c>
      <c r="J125" s="980">
        <v>33</v>
      </c>
      <c r="K125" s="980">
        <v>0</v>
      </c>
      <c r="L125" s="980">
        <v>0</v>
      </c>
      <c r="M125" s="980">
        <v>432</v>
      </c>
      <c r="N125" s="980">
        <v>575</v>
      </c>
      <c r="O125" s="961" t="s">
        <v>1261</v>
      </c>
      <c r="P125" s="964"/>
    </row>
    <row r="126" spans="1:16" x14ac:dyDescent="0.3">
      <c r="A126" s="959" t="s">
        <v>1288</v>
      </c>
      <c r="B126" s="960" t="s">
        <v>1289</v>
      </c>
      <c r="C126" s="961">
        <v>0</v>
      </c>
      <c r="D126" s="961">
        <v>1</v>
      </c>
      <c r="E126" s="961">
        <v>2</v>
      </c>
      <c r="F126" s="961">
        <v>2</v>
      </c>
      <c r="G126" s="961">
        <v>2</v>
      </c>
      <c r="H126" s="961">
        <v>2</v>
      </c>
      <c r="I126" s="961">
        <v>2</v>
      </c>
      <c r="J126" s="961">
        <v>2</v>
      </c>
      <c r="K126" s="961">
        <v>2</v>
      </c>
      <c r="L126" s="961">
        <v>1</v>
      </c>
      <c r="M126" s="961">
        <v>7</v>
      </c>
      <c r="N126" s="961">
        <v>16</v>
      </c>
      <c r="O126" s="962" t="s">
        <v>1261</v>
      </c>
      <c r="P126" s="964"/>
    </row>
    <row r="127" spans="1:16" x14ac:dyDescent="0.3">
      <c r="A127" s="959" t="s">
        <v>1290</v>
      </c>
      <c r="B127" s="960" t="s">
        <v>1291</v>
      </c>
      <c r="C127" s="961">
        <v>0</v>
      </c>
      <c r="D127" s="961">
        <v>49</v>
      </c>
      <c r="E127" s="961">
        <v>190</v>
      </c>
      <c r="F127" s="961">
        <v>379</v>
      </c>
      <c r="G127" s="961">
        <v>531</v>
      </c>
      <c r="H127" s="961">
        <v>619</v>
      </c>
      <c r="I127" s="961">
        <v>580</v>
      </c>
      <c r="J127" s="961">
        <v>387</v>
      </c>
      <c r="K127" s="961">
        <v>196</v>
      </c>
      <c r="L127" s="961">
        <v>69</v>
      </c>
      <c r="M127" s="978">
        <v>1149</v>
      </c>
      <c r="N127" s="978">
        <v>3000</v>
      </c>
      <c r="O127" s="962" t="s">
        <v>1261</v>
      </c>
      <c r="P127" s="964"/>
    </row>
    <row r="128" spans="1:16" x14ac:dyDescent="0.3">
      <c r="A128" s="976" t="s">
        <v>1292</v>
      </c>
      <c r="B128" s="977" t="s">
        <v>1293</v>
      </c>
      <c r="C128" s="961">
        <v>0</v>
      </c>
      <c r="D128" s="961">
        <v>22</v>
      </c>
      <c r="E128" s="961">
        <v>22</v>
      </c>
      <c r="F128" s="961">
        <v>6</v>
      </c>
      <c r="G128" s="961">
        <v>0</v>
      </c>
      <c r="H128" s="961">
        <v>0</v>
      </c>
      <c r="I128" s="961">
        <v>0</v>
      </c>
      <c r="J128" s="961">
        <v>0</v>
      </c>
      <c r="K128" s="961">
        <v>0</v>
      </c>
      <c r="L128" s="961">
        <v>0</v>
      </c>
      <c r="M128" s="961">
        <v>50</v>
      </c>
      <c r="N128" s="961">
        <v>50</v>
      </c>
      <c r="O128" s="962" t="s">
        <v>1261</v>
      </c>
      <c r="P128" s="963"/>
    </row>
    <row r="129" spans="1:16" x14ac:dyDescent="0.3">
      <c r="A129" s="959" t="s">
        <v>1294</v>
      </c>
      <c r="B129" s="960" t="s">
        <v>1295</v>
      </c>
      <c r="C129" s="961">
        <v>0</v>
      </c>
      <c r="D129" s="961">
        <v>30</v>
      </c>
      <c r="E129" s="961">
        <v>30</v>
      </c>
      <c r="F129" s="961">
        <v>40</v>
      </c>
      <c r="G129" s="961">
        <v>15</v>
      </c>
      <c r="H129" s="961">
        <v>5</v>
      </c>
      <c r="I129" s="961">
        <v>5</v>
      </c>
      <c r="J129" s="961">
        <v>0</v>
      </c>
      <c r="K129" s="961">
        <v>0</v>
      </c>
      <c r="L129" s="961">
        <v>0</v>
      </c>
      <c r="M129" s="961">
        <v>115</v>
      </c>
      <c r="N129" s="961">
        <v>125</v>
      </c>
      <c r="O129" s="962" t="s">
        <v>1261</v>
      </c>
      <c r="P129" s="964"/>
    </row>
    <row r="130" spans="1:16" x14ac:dyDescent="0.3">
      <c r="A130" s="959" t="s">
        <v>1296</v>
      </c>
      <c r="B130" s="960" t="s">
        <v>1297</v>
      </c>
      <c r="C130" s="961">
        <v>0</v>
      </c>
      <c r="D130" s="961">
        <v>10</v>
      </c>
      <c r="E130" s="961">
        <v>230</v>
      </c>
      <c r="F130" s="961">
        <v>660</v>
      </c>
      <c r="G130" s="961">
        <v>945</v>
      </c>
      <c r="H130" s="961">
        <v>605</v>
      </c>
      <c r="I130" s="961">
        <v>100</v>
      </c>
      <c r="J130" s="961">
        <v>0</v>
      </c>
      <c r="K130" s="961">
        <v>0</v>
      </c>
      <c r="L130" s="961">
        <v>0</v>
      </c>
      <c r="M130" s="978">
        <v>1845</v>
      </c>
      <c r="N130" s="978">
        <v>2550</v>
      </c>
      <c r="O130" s="962" t="s">
        <v>1261</v>
      </c>
      <c r="P130" s="964"/>
    </row>
    <row r="131" spans="1:16" x14ac:dyDescent="0.3">
      <c r="A131" s="959" t="s">
        <v>1298</v>
      </c>
      <c r="B131" s="960" t="s">
        <v>1299</v>
      </c>
      <c r="C131" s="961">
        <v>0</v>
      </c>
      <c r="D131" s="961">
        <v>10</v>
      </c>
      <c r="E131" s="961">
        <v>45</v>
      </c>
      <c r="F131" s="961">
        <v>70</v>
      </c>
      <c r="G131" s="961">
        <v>100</v>
      </c>
      <c r="H131" s="961">
        <v>100</v>
      </c>
      <c r="I131" s="961">
        <v>100</v>
      </c>
      <c r="J131" s="961">
        <v>100</v>
      </c>
      <c r="K131" s="961">
        <v>100</v>
      </c>
      <c r="L131" s="961">
        <v>100</v>
      </c>
      <c r="M131" s="961">
        <v>225</v>
      </c>
      <c r="N131" s="961">
        <v>725</v>
      </c>
      <c r="O131" s="962" t="s">
        <v>1261</v>
      </c>
      <c r="P131" s="964"/>
    </row>
    <row r="132" spans="1:16" x14ac:dyDescent="0.3">
      <c r="A132" s="976" t="s">
        <v>1300</v>
      </c>
      <c r="B132" s="977" t="s">
        <v>1301</v>
      </c>
      <c r="C132" s="961">
        <v>0</v>
      </c>
      <c r="D132" s="961">
        <v>14</v>
      </c>
      <c r="E132" s="961">
        <v>11</v>
      </c>
      <c r="F132" s="961">
        <v>0</v>
      </c>
      <c r="G132" s="961">
        <v>0</v>
      </c>
      <c r="H132" s="961">
        <v>0</v>
      </c>
      <c r="I132" s="961">
        <v>0</v>
      </c>
      <c r="J132" s="961">
        <v>0</v>
      </c>
      <c r="K132" s="961">
        <v>0</v>
      </c>
      <c r="L132" s="961">
        <v>0</v>
      </c>
      <c r="M132" s="961">
        <v>25</v>
      </c>
      <c r="N132" s="961">
        <v>25</v>
      </c>
      <c r="O132" s="962" t="s">
        <v>1265</v>
      </c>
      <c r="P132" s="963"/>
    </row>
    <row r="133" spans="1:16" x14ac:dyDescent="0.3">
      <c r="A133" s="976" t="s">
        <v>1302</v>
      </c>
      <c r="B133" s="977" t="s">
        <v>1303</v>
      </c>
      <c r="C133" s="961">
        <v>0</v>
      </c>
      <c r="D133" s="961">
        <v>84</v>
      </c>
      <c r="E133" s="961">
        <v>320</v>
      </c>
      <c r="F133" s="961">
        <v>638</v>
      </c>
      <c r="G133" s="961">
        <v>928</v>
      </c>
      <c r="H133" s="961">
        <v>940</v>
      </c>
      <c r="I133" s="961">
        <v>720</v>
      </c>
      <c r="J133" s="961">
        <v>300</v>
      </c>
      <c r="K133" s="961">
        <v>120</v>
      </c>
      <c r="L133" s="961">
        <v>0</v>
      </c>
      <c r="M133" s="978">
        <v>1970</v>
      </c>
      <c r="N133" s="978">
        <v>4050</v>
      </c>
      <c r="O133" s="962" t="s">
        <v>1265</v>
      </c>
      <c r="P133" s="964"/>
    </row>
    <row r="134" spans="1:16" x14ac:dyDescent="0.3">
      <c r="A134" s="959" t="s">
        <v>1304</v>
      </c>
      <c r="B134" s="960" t="s">
        <v>1305</v>
      </c>
      <c r="C134" s="961">
        <v>0</v>
      </c>
      <c r="D134" s="961">
        <v>40</v>
      </c>
      <c r="E134" s="961">
        <v>200</v>
      </c>
      <c r="F134" s="961">
        <v>400</v>
      </c>
      <c r="G134" s="961">
        <v>660</v>
      </c>
      <c r="H134" s="961">
        <v>640</v>
      </c>
      <c r="I134" s="961">
        <v>515</v>
      </c>
      <c r="J134" s="961">
        <v>240</v>
      </c>
      <c r="K134" s="961">
        <v>105</v>
      </c>
      <c r="L134" s="961">
        <v>0</v>
      </c>
      <c r="M134" s="978">
        <v>1300</v>
      </c>
      <c r="N134" s="978">
        <v>2800</v>
      </c>
      <c r="O134" s="962" t="s">
        <v>1265</v>
      </c>
      <c r="P134" s="964"/>
    </row>
    <row r="135" spans="1:16" x14ac:dyDescent="0.3">
      <c r="A135" s="959" t="s">
        <v>1306</v>
      </c>
      <c r="B135" s="960" t="s">
        <v>1307</v>
      </c>
      <c r="C135" s="994">
        <v>0</v>
      </c>
      <c r="D135" s="994">
        <v>138</v>
      </c>
      <c r="E135" s="994">
        <v>566</v>
      </c>
      <c r="F135" s="994">
        <v>994</v>
      </c>
      <c r="G135" s="995">
        <v>1328</v>
      </c>
      <c r="H135" s="995">
        <v>1791</v>
      </c>
      <c r="I135" s="995">
        <v>2350</v>
      </c>
      <c r="J135" s="995">
        <v>2928</v>
      </c>
      <c r="K135" s="995">
        <v>3548</v>
      </c>
      <c r="L135" s="995">
        <v>4162</v>
      </c>
      <c r="M135" s="995">
        <v>3026</v>
      </c>
      <c r="N135" s="995">
        <v>17805</v>
      </c>
      <c r="O135" s="996" t="s">
        <v>54</v>
      </c>
      <c r="P135" s="997"/>
    </row>
    <row r="136" spans="1:16" x14ac:dyDescent="0.3">
      <c r="A136" s="959" t="s">
        <v>1308</v>
      </c>
      <c r="B136" s="960" t="s">
        <v>1309</v>
      </c>
      <c r="C136" s="994">
        <v>0</v>
      </c>
      <c r="D136" s="994">
        <v>0</v>
      </c>
      <c r="E136" s="994">
        <v>235</v>
      </c>
      <c r="F136" s="994">
        <v>317</v>
      </c>
      <c r="G136" s="994">
        <v>304</v>
      </c>
      <c r="H136" s="994">
        <v>314</v>
      </c>
      <c r="I136" s="994">
        <v>324</v>
      </c>
      <c r="J136" s="994">
        <v>335</v>
      </c>
      <c r="K136" s="994">
        <v>346</v>
      </c>
      <c r="L136" s="994">
        <v>359</v>
      </c>
      <c r="M136" s="994">
        <v>856</v>
      </c>
      <c r="N136" s="995">
        <v>2534</v>
      </c>
      <c r="O136" s="996" t="s">
        <v>54</v>
      </c>
      <c r="P136" s="964"/>
    </row>
    <row r="137" spans="1:16" ht="24" customHeight="1" x14ac:dyDescent="0.3">
      <c r="A137" s="959" t="s">
        <v>1310</v>
      </c>
      <c r="B137" s="960" t="s">
        <v>1311</v>
      </c>
      <c r="C137" s="998"/>
      <c r="D137" s="998">
        <v>333</v>
      </c>
      <c r="E137" s="998">
        <v>314</v>
      </c>
      <c r="F137" s="998">
        <v>314</v>
      </c>
      <c r="G137" s="998">
        <v>-4530</v>
      </c>
      <c r="H137" s="998">
        <v>-9118</v>
      </c>
      <c r="I137" s="998">
        <v>-18184</v>
      </c>
      <c r="J137" s="998">
        <v>-20493</v>
      </c>
      <c r="K137" s="998">
        <v>-23289</v>
      </c>
      <c r="L137" s="998">
        <v>-24298</v>
      </c>
      <c r="M137" s="998">
        <v>-569</v>
      </c>
      <c r="N137" s="998">
        <v>-95951</v>
      </c>
      <c r="O137" s="999" t="s">
        <v>55</v>
      </c>
      <c r="P137" s="1000"/>
    </row>
    <row r="138" spans="1:16" ht="36" customHeight="1" x14ac:dyDescent="0.3">
      <c r="A138" s="959" t="s">
        <v>1306</v>
      </c>
      <c r="B138" s="960" t="s">
        <v>1312</v>
      </c>
      <c r="C138" s="1001">
        <v>0</v>
      </c>
      <c r="D138" s="1001">
        <v>-2447</v>
      </c>
      <c r="E138" s="1001">
        <v>-3716</v>
      </c>
      <c r="F138" s="1001">
        <v>-19171</v>
      </c>
      <c r="G138" s="1001">
        <v>-7014</v>
      </c>
      <c r="H138" s="1001">
        <v>-7706</v>
      </c>
      <c r="I138" s="1001">
        <v>-8497</v>
      </c>
      <c r="J138" s="1001">
        <v>-9360</v>
      </c>
      <c r="K138" s="1001">
        <v>-10602</v>
      </c>
      <c r="L138" s="1001">
        <v>-11603</v>
      </c>
      <c r="M138" s="1001">
        <v>-32348</v>
      </c>
      <c r="N138" s="1001">
        <v>-80116</v>
      </c>
      <c r="O138" s="999" t="s">
        <v>55</v>
      </c>
      <c r="P138" s="964"/>
    </row>
    <row r="139" spans="1:16" x14ac:dyDescent="0.3">
      <c r="A139" s="959" t="s">
        <v>1313</v>
      </c>
      <c r="B139" s="960" t="s">
        <v>1314</v>
      </c>
      <c r="C139" s="998">
        <v>0</v>
      </c>
      <c r="D139" s="998">
        <v>53</v>
      </c>
      <c r="E139" s="998">
        <v>1991</v>
      </c>
      <c r="F139" s="998">
        <v>3308</v>
      </c>
      <c r="G139" s="998">
        <v>3545</v>
      </c>
      <c r="H139" s="998">
        <v>4537</v>
      </c>
      <c r="I139" s="998">
        <v>4476</v>
      </c>
      <c r="J139" s="998">
        <v>3947</v>
      </c>
      <c r="K139" s="998">
        <v>1781</v>
      </c>
      <c r="L139" s="998">
        <v>1462</v>
      </c>
      <c r="M139" s="998">
        <v>8897</v>
      </c>
      <c r="N139" s="998">
        <v>25100</v>
      </c>
      <c r="O139" s="999" t="s">
        <v>55</v>
      </c>
      <c r="P139" s="964"/>
    </row>
    <row r="140" spans="1:16" x14ac:dyDescent="0.3">
      <c r="A140" s="959" t="s">
        <v>1315</v>
      </c>
      <c r="B140" s="960" t="s">
        <v>1316</v>
      </c>
      <c r="C140" s="1002">
        <v>0</v>
      </c>
      <c r="D140" s="1002">
        <v>0</v>
      </c>
      <c r="E140" s="1002">
        <v>0</v>
      </c>
      <c r="F140" s="1002">
        <v>0</v>
      </c>
      <c r="G140" s="1002">
        <v>0</v>
      </c>
      <c r="H140" s="1003">
        <v>-16290</v>
      </c>
      <c r="I140" s="1003">
        <v>-25656</v>
      </c>
      <c r="J140" s="1003">
        <v>-23394</v>
      </c>
      <c r="K140" s="1003">
        <v>-27561</v>
      </c>
      <c r="L140" s="1003">
        <v>-29250</v>
      </c>
      <c r="M140" s="1002">
        <v>0</v>
      </c>
      <c r="N140" s="1003">
        <v>-122151</v>
      </c>
      <c r="O140" s="999" t="s">
        <v>55</v>
      </c>
      <c r="P140" s="964"/>
    </row>
    <row r="141" spans="1:16" ht="36" customHeight="1" x14ac:dyDescent="0.3">
      <c r="A141" s="959" t="s">
        <v>1317</v>
      </c>
      <c r="B141" s="960" t="s">
        <v>1318</v>
      </c>
      <c r="C141" s="998">
        <v>0</v>
      </c>
      <c r="D141" s="998">
        <v>-70</v>
      </c>
      <c r="E141" s="998">
        <v>300</v>
      </c>
      <c r="F141" s="998">
        <v>862</v>
      </c>
      <c r="G141" s="998">
        <v>577</v>
      </c>
      <c r="H141" s="998">
        <v>464</v>
      </c>
      <c r="I141" s="998">
        <v>549</v>
      </c>
      <c r="J141" s="998">
        <v>501</v>
      </c>
      <c r="K141" s="998">
        <v>591</v>
      </c>
      <c r="L141" s="998">
        <v>630</v>
      </c>
      <c r="M141" s="998">
        <v>1669</v>
      </c>
      <c r="N141" s="998">
        <v>4404</v>
      </c>
      <c r="O141" s="999" t="s">
        <v>55</v>
      </c>
      <c r="P141" s="964"/>
    </row>
    <row r="142" spans="1:16" x14ac:dyDescent="0.3">
      <c r="A142" s="959" t="s">
        <v>1319</v>
      </c>
      <c r="B142" s="960" t="s">
        <v>1320</v>
      </c>
      <c r="C142" s="1002">
        <v>0</v>
      </c>
      <c r="D142" s="1002">
        <v>0</v>
      </c>
      <c r="E142" s="1002">
        <v>195</v>
      </c>
      <c r="F142" s="1002">
        <v>230</v>
      </c>
      <c r="G142" s="1002">
        <v>248</v>
      </c>
      <c r="H142" s="1002">
        <v>266</v>
      </c>
      <c r="I142" s="1002">
        <v>311</v>
      </c>
      <c r="J142" s="1002">
        <v>281</v>
      </c>
      <c r="K142" s="1002">
        <v>327</v>
      </c>
      <c r="L142" s="1002">
        <v>347</v>
      </c>
      <c r="M142" s="1002">
        <v>673</v>
      </c>
      <c r="N142" s="1003">
        <v>2205</v>
      </c>
      <c r="O142" s="999" t="s">
        <v>55</v>
      </c>
      <c r="P142" s="964"/>
    </row>
    <row r="143" spans="1:16" x14ac:dyDescent="0.3">
      <c r="A143" s="976" t="s">
        <v>1321</v>
      </c>
      <c r="B143" s="977" t="s">
        <v>1322</v>
      </c>
      <c r="C143" s="1004">
        <v>0</v>
      </c>
      <c r="D143" s="1004">
        <v>70</v>
      </c>
      <c r="E143" s="1004">
        <v>132</v>
      </c>
      <c r="F143" s="1004">
        <v>51</v>
      </c>
      <c r="G143" s="1004">
        <v>20</v>
      </c>
      <c r="H143" s="1004">
        <v>8</v>
      </c>
      <c r="I143" s="1004">
        <v>0</v>
      </c>
      <c r="J143" s="1004">
        <v>0</v>
      </c>
      <c r="K143" s="1004">
        <v>0</v>
      </c>
      <c r="L143" s="1004">
        <v>0</v>
      </c>
      <c r="M143" s="1004">
        <v>273</v>
      </c>
      <c r="N143" s="1004">
        <v>281</v>
      </c>
      <c r="O143" s="1005" t="s">
        <v>1323</v>
      </c>
      <c r="P143" s="964" t="s">
        <v>1324</v>
      </c>
    </row>
    <row r="144" spans="1:16" x14ac:dyDescent="0.3">
      <c r="A144" s="976" t="s">
        <v>1325</v>
      </c>
      <c r="B144" s="977" t="s">
        <v>1326</v>
      </c>
      <c r="C144" s="1004">
        <v>0</v>
      </c>
      <c r="D144" s="1004">
        <v>465</v>
      </c>
      <c r="E144" s="1006">
        <v>2420</v>
      </c>
      <c r="F144" s="1006">
        <v>4755</v>
      </c>
      <c r="G144" s="1006">
        <v>5980</v>
      </c>
      <c r="H144" s="1006">
        <v>4694</v>
      </c>
      <c r="I144" s="1006">
        <v>1573</v>
      </c>
      <c r="J144" s="1004">
        <v>93</v>
      </c>
      <c r="K144" s="1004">
        <v>0</v>
      </c>
      <c r="L144" s="1004">
        <v>0</v>
      </c>
      <c r="M144" s="1006">
        <v>13620</v>
      </c>
      <c r="N144" s="1006">
        <v>19980</v>
      </c>
      <c r="O144" s="1005" t="s">
        <v>1323</v>
      </c>
      <c r="P144" s="964" t="s">
        <v>1327</v>
      </c>
    </row>
    <row r="145" spans="1:16" x14ac:dyDescent="0.3">
      <c r="A145" s="959" t="s">
        <v>1328</v>
      </c>
      <c r="B145" s="960" t="s">
        <v>1329</v>
      </c>
      <c r="C145" s="1004">
        <v>0</v>
      </c>
      <c r="D145" s="1004">
        <v>20</v>
      </c>
      <c r="E145" s="1004">
        <v>65</v>
      </c>
      <c r="F145" s="1004">
        <v>110</v>
      </c>
      <c r="G145" s="1004">
        <v>135</v>
      </c>
      <c r="H145" s="1004">
        <v>180</v>
      </c>
      <c r="I145" s="1004">
        <v>230</v>
      </c>
      <c r="J145" s="1004">
        <v>180</v>
      </c>
      <c r="K145" s="1004">
        <v>60</v>
      </c>
      <c r="L145" s="1004">
        <v>10</v>
      </c>
      <c r="M145" s="1004">
        <v>330</v>
      </c>
      <c r="N145" s="1004">
        <v>990</v>
      </c>
      <c r="O145" s="1005" t="s">
        <v>1323</v>
      </c>
      <c r="P145" s="987" t="s">
        <v>1330</v>
      </c>
    </row>
    <row r="146" spans="1:16" x14ac:dyDescent="0.3">
      <c r="A146" s="959" t="s">
        <v>1331</v>
      </c>
      <c r="B146" s="960" t="s">
        <v>1332</v>
      </c>
      <c r="C146" s="1004">
        <v>0</v>
      </c>
      <c r="D146" s="1006">
        <v>20892</v>
      </c>
      <c r="E146" s="1006">
        <v>11288</v>
      </c>
      <c r="F146" s="1006">
        <v>9651</v>
      </c>
      <c r="G146" s="1006">
        <v>-8548</v>
      </c>
      <c r="H146" s="1004">
        <v>-463</v>
      </c>
      <c r="I146" s="1004">
        <v>0</v>
      </c>
      <c r="J146" s="1004">
        <v>0</v>
      </c>
      <c r="K146" s="1004">
        <v>0</v>
      </c>
      <c r="L146" s="1004">
        <v>0</v>
      </c>
      <c r="M146" s="1006">
        <v>33283</v>
      </c>
      <c r="N146" s="1006">
        <v>32820</v>
      </c>
      <c r="O146" s="1007" t="s">
        <v>1323</v>
      </c>
      <c r="P146" s="964"/>
    </row>
    <row r="147" spans="1:16" x14ac:dyDescent="0.3">
      <c r="A147" s="959" t="s">
        <v>1333</v>
      </c>
      <c r="B147" s="960" t="s">
        <v>1334</v>
      </c>
      <c r="C147" s="1004">
        <v>0</v>
      </c>
      <c r="D147" s="1004">
        <v>24</v>
      </c>
      <c r="E147" s="1004">
        <v>65</v>
      </c>
      <c r="F147" s="1004">
        <v>112</v>
      </c>
      <c r="G147" s="1004">
        <v>130</v>
      </c>
      <c r="H147" s="1004">
        <v>98</v>
      </c>
      <c r="I147" s="1004">
        <v>56</v>
      </c>
      <c r="J147" s="1004">
        <v>15</v>
      </c>
      <c r="K147" s="1004">
        <v>0</v>
      </c>
      <c r="L147" s="1004">
        <v>0</v>
      </c>
      <c r="M147" s="1004">
        <v>331</v>
      </c>
      <c r="N147" s="1004">
        <v>500</v>
      </c>
      <c r="O147" s="1007" t="s">
        <v>1323</v>
      </c>
      <c r="P147" s="964"/>
    </row>
    <row r="148" spans="1:16" x14ac:dyDescent="0.3">
      <c r="A148" s="1008" t="s">
        <v>1335</v>
      </c>
      <c r="B148" s="1009" t="s">
        <v>1336</v>
      </c>
      <c r="C148" s="1004">
        <v>0</v>
      </c>
      <c r="D148" s="1004">
        <v>50</v>
      </c>
      <c r="E148" s="1004">
        <v>500</v>
      </c>
      <c r="F148" s="1004">
        <v>920</v>
      </c>
      <c r="G148" s="1006">
        <v>1310</v>
      </c>
      <c r="H148" s="1006">
        <v>1680</v>
      </c>
      <c r="I148" s="1006">
        <v>1780</v>
      </c>
      <c r="J148" s="1006">
        <v>1640</v>
      </c>
      <c r="K148" s="1006">
        <v>1090</v>
      </c>
      <c r="L148" s="1004">
        <v>630</v>
      </c>
      <c r="M148" s="1006">
        <v>2780</v>
      </c>
      <c r="N148" s="1006">
        <v>9600</v>
      </c>
      <c r="O148" s="1007" t="s">
        <v>1323</v>
      </c>
      <c r="P148" s="1010"/>
    </row>
    <row r="149" spans="1:16" x14ac:dyDescent="0.3">
      <c r="A149" s="959" t="s">
        <v>1337</v>
      </c>
      <c r="B149" s="960" t="s">
        <v>1338</v>
      </c>
      <c r="C149" s="1004">
        <v>0</v>
      </c>
      <c r="D149" s="1004">
        <v>30</v>
      </c>
      <c r="E149" s="1004">
        <v>90</v>
      </c>
      <c r="F149" s="1004">
        <v>90</v>
      </c>
      <c r="G149" s="1004">
        <v>85</v>
      </c>
      <c r="H149" s="1004">
        <v>70</v>
      </c>
      <c r="I149" s="1004">
        <v>65</v>
      </c>
      <c r="J149" s="1004">
        <v>65</v>
      </c>
      <c r="K149" s="1004">
        <v>35</v>
      </c>
      <c r="L149" s="1004">
        <v>15</v>
      </c>
      <c r="M149" s="1004">
        <v>295</v>
      </c>
      <c r="N149" s="1004">
        <v>545</v>
      </c>
      <c r="O149" s="1007" t="s">
        <v>1323</v>
      </c>
      <c r="P149" s="964"/>
    </row>
    <row r="150" spans="1:16" x14ac:dyDescent="0.3">
      <c r="A150" s="959" t="s">
        <v>1339</v>
      </c>
      <c r="B150" s="960" t="s">
        <v>1340</v>
      </c>
      <c r="C150" s="1004">
        <v>0</v>
      </c>
      <c r="D150" s="1004">
        <v>185</v>
      </c>
      <c r="E150" s="1004">
        <v>394</v>
      </c>
      <c r="F150" s="1004">
        <v>639</v>
      </c>
      <c r="G150" s="1004">
        <v>722</v>
      </c>
      <c r="H150" s="1004">
        <v>595</v>
      </c>
      <c r="I150" s="1004">
        <v>346</v>
      </c>
      <c r="J150" s="1004">
        <v>101</v>
      </c>
      <c r="K150" s="1004">
        <v>18</v>
      </c>
      <c r="L150" s="1004">
        <v>0</v>
      </c>
      <c r="M150" s="1006">
        <v>1940</v>
      </c>
      <c r="N150" s="1006">
        <v>3000</v>
      </c>
      <c r="O150" s="1005" t="s">
        <v>1323</v>
      </c>
      <c r="P150" s="964"/>
    </row>
    <row r="151" spans="1:16" x14ac:dyDescent="0.3">
      <c r="A151" s="959" t="s">
        <v>1341</v>
      </c>
      <c r="B151" s="960" t="s">
        <v>1342</v>
      </c>
      <c r="C151" s="1004">
        <v>0</v>
      </c>
      <c r="D151" s="1004">
        <v>8</v>
      </c>
      <c r="E151" s="1004">
        <v>26</v>
      </c>
      <c r="F151" s="1004">
        <v>41</v>
      </c>
      <c r="G151" s="1004">
        <v>38</v>
      </c>
      <c r="H151" s="1004">
        <v>22</v>
      </c>
      <c r="I151" s="1004">
        <v>11</v>
      </c>
      <c r="J151" s="1004">
        <v>4</v>
      </c>
      <c r="K151" s="1004">
        <v>0</v>
      </c>
      <c r="L151" s="1004">
        <v>0</v>
      </c>
      <c r="M151" s="1004">
        <v>113</v>
      </c>
      <c r="N151" s="1004">
        <v>150</v>
      </c>
      <c r="O151" s="1005" t="s">
        <v>1323</v>
      </c>
      <c r="P151" s="964"/>
    </row>
    <row r="152" spans="1:16" ht="24" customHeight="1" x14ac:dyDescent="0.3">
      <c r="A152" s="976" t="s">
        <v>1343</v>
      </c>
      <c r="B152" s="977" t="s">
        <v>1344</v>
      </c>
      <c r="C152" s="1011">
        <v>0</v>
      </c>
      <c r="D152" s="1012">
        <v>77</v>
      </c>
      <c r="E152" s="1012">
        <v>232</v>
      </c>
      <c r="F152" s="1012">
        <v>341</v>
      </c>
      <c r="G152" s="1012">
        <v>496</v>
      </c>
      <c r="H152" s="1012">
        <v>310</v>
      </c>
      <c r="I152" s="1012">
        <v>47</v>
      </c>
      <c r="J152" s="1012">
        <v>31</v>
      </c>
      <c r="K152" s="1012">
        <v>15</v>
      </c>
      <c r="L152" s="1012">
        <v>1</v>
      </c>
      <c r="M152" s="1013">
        <v>1146</v>
      </c>
      <c r="N152" s="1013">
        <v>1550</v>
      </c>
      <c r="O152" s="1014" t="s">
        <v>1345</v>
      </c>
      <c r="P152" s="964" t="s">
        <v>1346</v>
      </c>
    </row>
    <row r="153" spans="1:16" ht="30" customHeight="1" x14ac:dyDescent="0.3">
      <c r="A153" s="959" t="s">
        <v>1347</v>
      </c>
      <c r="B153" s="960" t="s">
        <v>1348</v>
      </c>
      <c r="C153" s="1015">
        <v>0</v>
      </c>
      <c r="D153" s="1015">
        <v>264</v>
      </c>
      <c r="E153" s="1015">
        <v>715</v>
      </c>
      <c r="F153" s="1015">
        <v>1393</v>
      </c>
      <c r="G153" s="1015">
        <v>2492</v>
      </c>
      <c r="H153" s="1015">
        <v>3364</v>
      </c>
      <c r="I153" s="1015">
        <v>3209</v>
      </c>
      <c r="J153" s="1015">
        <v>2750</v>
      </c>
      <c r="K153" s="1015">
        <v>1783</v>
      </c>
      <c r="L153" s="1015">
        <v>744</v>
      </c>
      <c r="M153" s="1016">
        <v>4864</v>
      </c>
      <c r="N153" s="1016">
        <v>16714</v>
      </c>
      <c r="O153" s="1017" t="s">
        <v>52</v>
      </c>
      <c r="P153" s="1018" t="s">
        <v>1349</v>
      </c>
    </row>
    <row r="154" spans="1:16" x14ac:dyDescent="0.3">
      <c r="A154" s="959" t="s">
        <v>1350</v>
      </c>
      <c r="B154" s="960" t="s">
        <v>1351</v>
      </c>
      <c r="C154" s="1019">
        <v>0</v>
      </c>
      <c r="D154" s="1019">
        <v>0</v>
      </c>
      <c r="E154" s="1019">
        <v>50</v>
      </c>
      <c r="F154" s="1019">
        <v>270</v>
      </c>
      <c r="G154" s="1019">
        <v>680</v>
      </c>
      <c r="H154" s="1019">
        <v>850</v>
      </c>
      <c r="I154" s="1019">
        <v>730</v>
      </c>
      <c r="J154" s="1019">
        <v>485</v>
      </c>
      <c r="K154" s="1019">
        <v>285</v>
      </c>
      <c r="L154" s="1019">
        <v>145</v>
      </c>
      <c r="M154" s="1020">
        <v>1000</v>
      </c>
      <c r="N154" s="1020">
        <v>3495</v>
      </c>
      <c r="O154" s="1021" t="s">
        <v>52</v>
      </c>
      <c r="P154" s="1022" t="s">
        <v>1352</v>
      </c>
    </row>
    <row r="155" spans="1:16" x14ac:dyDescent="0.3">
      <c r="A155" s="959" t="s">
        <v>1353</v>
      </c>
      <c r="B155" s="960" t="s">
        <v>1354</v>
      </c>
      <c r="C155" s="1019">
        <v>0</v>
      </c>
      <c r="D155" s="1019">
        <v>5</v>
      </c>
      <c r="E155" s="1019">
        <v>5</v>
      </c>
      <c r="F155" s="1019">
        <v>10</v>
      </c>
      <c r="G155" s="1019">
        <v>25</v>
      </c>
      <c r="H155" s="1019">
        <v>70</v>
      </c>
      <c r="I155" s="1019">
        <v>175</v>
      </c>
      <c r="J155" s="1019">
        <v>385</v>
      </c>
      <c r="K155" s="1019">
        <v>460</v>
      </c>
      <c r="L155" s="1019">
        <v>325</v>
      </c>
      <c r="M155" s="1019">
        <v>45</v>
      </c>
      <c r="N155" s="1020">
        <v>1460</v>
      </c>
      <c r="O155" s="1023" t="s">
        <v>52</v>
      </c>
      <c r="P155" s="1022" t="s">
        <v>1355</v>
      </c>
    </row>
    <row r="156" spans="1:16" x14ac:dyDescent="0.3">
      <c r="A156" s="976" t="s">
        <v>1356</v>
      </c>
      <c r="B156" s="977" t="s">
        <v>1357</v>
      </c>
      <c r="C156" s="1019">
        <v>0</v>
      </c>
      <c r="D156" s="1019">
        <v>6</v>
      </c>
      <c r="E156" s="1019">
        <v>8</v>
      </c>
      <c r="F156" s="1019">
        <v>1</v>
      </c>
      <c r="G156" s="1019">
        <v>0</v>
      </c>
      <c r="H156" s="1019">
        <v>0</v>
      </c>
      <c r="I156" s="1019">
        <v>0</v>
      </c>
      <c r="J156" s="1019">
        <v>0</v>
      </c>
      <c r="K156" s="1019">
        <v>0</v>
      </c>
      <c r="L156" s="1019">
        <v>0</v>
      </c>
      <c r="M156" s="1019">
        <v>15</v>
      </c>
      <c r="N156" s="1019">
        <v>15</v>
      </c>
      <c r="O156" s="1023" t="s">
        <v>52</v>
      </c>
      <c r="P156" s="1022" t="s">
        <v>1358</v>
      </c>
    </row>
    <row r="157" spans="1:16" ht="24" customHeight="1" x14ac:dyDescent="0.3">
      <c r="A157" s="959" t="s">
        <v>1359</v>
      </c>
      <c r="B157" s="960" t="s">
        <v>1360</v>
      </c>
      <c r="C157" s="1019">
        <v>0</v>
      </c>
      <c r="D157" s="1019">
        <v>5</v>
      </c>
      <c r="E157" s="1019">
        <v>41</v>
      </c>
      <c r="F157" s="1019">
        <v>116</v>
      </c>
      <c r="G157" s="1019">
        <v>284</v>
      </c>
      <c r="H157" s="1019">
        <v>417</v>
      </c>
      <c r="I157" s="1019">
        <v>459</v>
      </c>
      <c r="J157" s="1019">
        <v>355</v>
      </c>
      <c r="K157" s="1019">
        <v>210</v>
      </c>
      <c r="L157" s="1019">
        <v>90</v>
      </c>
      <c r="M157" s="1019">
        <v>446</v>
      </c>
      <c r="N157" s="1020">
        <v>1977</v>
      </c>
      <c r="O157" s="1024" t="s">
        <v>52</v>
      </c>
      <c r="P157" s="925" t="s">
        <v>1361</v>
      </c>
    </row>
    <row r="158" spans="1:16" ht="24" customHeight="1" x14ac:dyDescent="0.3">
      <c r="A158" s="959" t="s">
        <v>1362</v>
      </c>
      <c r="B158" s="960" t="s">
        <v>1363</v>
      </c>
      <c r="C158" s="1019">
        <v>0</v>
      </c>
      <c r="D158" s="1019">
        <v>20</v>
      </c>
      <c r="E158" s="1019">
        <v>100</v>
      </c>
      <c r="F158" s="1019">
        <v>460</v>
      </c>
      <c r="G158" s="1020">
        <v>1070</v>
      </c>
      <c r="H158" s="1020">
        <v>1430</v>
      </c>
      <c r="I158" s="1020">
        <v>1110</v>
      </c>
      <c r="J158" s="1019">
        <v>660</v>
      </c>
      <c r="K158" s="1019">
        <v>300</v>
      </c>
      <c r="L158" s="1019">
        <v>100</v>
      </c>
      <c r="M158" s="1020">
        <v>1650</v>
      </c>
      <c r="N158" s="1020">
        <v>5250</v>
      </c>
      <c r="O158" s="1023" t="s">
        <v>52</v>
      </c>
      <c r="P158" s="1022" t="s">
        <v>1364</v>
      </c>
    </row>
    <row r="159" spans="1:16" x14ac:dyDescent="0.3">
      <c r="A159" s="959" t="s">
        <v>1365</v>
      </c>
      <c r="B159" s="960" t="s">
        <v>1366</v>
      </c>
      <c r="C159" s="938">
        <v>0</v>
      </c>
      <c r="D159" s="938">
        <v>56</v>
      </c>
      <c r="E159" s="938">
        <v>141</v>
      </c>
      <c r="F159" s="938">
        <v>230</v>
      </c>
      <c r="G159" s="938">
        <v>343</v>
      </c>
      <c r="H159" s="938">
        <v>470</v>
      </c>
      <c r="I159" s="938">
        <v>620</v>
      </c>
      <c r="J159" s="938">
        <v>802</v>
      </c>
      <c r="K159" s="938">
        <v>1024</v>
      </c>
      <c r="L159" s="938">
        <v>1330</v>
      </c>
      <c r="M159" s="938">
        <v>769</v>
      </c>
      <c r="N159" s="938">
        <v>5015</v>
      </c>
      <c r="O159" s="1021" t="s">
        <v>52</v>
      </c>
      <c r="P159" s="964"/>
    </row>
    <row r="160" spans="1:16" x14ac:dyDescent="0.3">
      <c r="A160" s="959" t="s">
        <v>1367</v>
      </c>
      <c r="B160" s="960" t="s">
        <v>1368</v>
      </c>
      <c r="C160" s="1019"/>
      <c r="D160" s="1019"/>
      <c r="E160" s="1019"/>
      <c r="F160" s="1019"/>
      <c r="G160" s="1019"/>
      <c r="H160" s="1019"/>
      <c r="I160" s="1019"/>
      <c r="J160" s="1019"/>
      <c r="K160" s="1019"/>
      <c r="L160" s="1019"/>
      <c r="M160" s="1019"/>
      <c r="N160" s="1020"/>
      <c r="O160" s="1024"/>
      <c r="P160" s="964"/>
    </row>
    <row r="161" spans="1:17" x14ac:dyDescent="0.3">
      <c r="A161" s="959" t="s">
        <v>1369</v>
      </c>
      <c r="B161" s="960" t="s">
        <v>1370</v>
      </c>
      <c r="C161" s="1019"/>
      <c r="D161" s="1019"/>
      <c r="E161" s="1019"/>
      <c r="F161" s="1019"/>
      <c r="G161" s="1019"/>
      <c r="H161" s="1019"/>
      <c r="I161" s="1019"/>
      <c r="J161" s="1019"/>
      <c r="K161" s="1019"/>
      <c r="L161" s="1019"/>
      <c r="M161" s="1019"/>
      <c r="N161" s="1020"/>
      <c r="O161" s="939"/>
      <c r="P161" s="940"/>
    </row>
    <row r="162" spans="1:17" x14ac:dyDescent="0.3">
      <c r="A162" s="959" t="s">
        <v>1371</v>
      </c>
      <c r="B162" s="960" t="s">
        <v>1372</v>
      </c>
      <c r="C162" s="1019">
        <v>0</v>
      </c>
      <c r="D162" s="1019">
        <v>20</v>
      </c>
      <c r="E162" s="1019">
        <v>70</v>
      </c>
      <c r="F162" s="1019">
        <v>130</v>
      </c>
      <c r="G162" s="1019">
        <v>155</v>
      </c>
      <c r="H162" s="1019">
        <v>155</v>
      </c>
      <c r="I162" s="1019">
        <v>155</v>
      </c>
      <c r="J162" s="1019">
        <v>135</v>
      </c>
      <c r="K162" s="1019">
        <v>80</v>
      </c>
      <c r="L162" s="1019">
        <v>20</v>
      </c>
      <c r="M162" s="1019">
        <v>375</v>
      </c>
      <c r="N162" s="1019">
        <v>920</v>
      </c>
      <c r="O162" s="1023" t="s">
        <v>52</v>
      </c>
      <c r="P162" s="964"/>
    </row>
    <row r="163" spans="1:17" x14ac:dyDescent="0.3">
      <c r="A163" s="976" t="s">
        <v>1373</v>
      </c>
      <c r="B163" s="977" t="s">
        <v>1374</v>
      </c>
      <c r="C163" s="1019">
        <v>0</v>
      </c>
      <c r="D163" s="1019">
        <v>15</v>
      </c>
      <c r="E163" s="1019">
        <v>12</v>
      </c>
      <c r="F163" s="1019">
        <v>8</v>
      </c>
      <c r="G163" s="1019">
        <v>4</v>
      </c>
      <c r="H163" s="1019">
        <v>0</v>
      </c>
      <c r="I163" s="1019">
        <v>0</v>
      </c>
      <c r="J163" s="1019">
        <v>0</v>
      </c>
      <c r="K163" s="1019">
        <v>0</v>
      </c>
      <c r="L163" s="1019">
        <v>0</v>
      </c>
      <c r="M163" s="1019">
        <v>39</v>
      </c>
      <c r="N163" s="1019">
        <v>39</v>
      </c>
      <c r="O163" s="1023" t="s">
        <v>52</v>
      </c>
      <c r="P163" s="964"/>
    </row>
    <row r="164" spans="1:17" x14ac:dyDescent="0.3">
      <c r="A164" s="959" t="s">
        <v>1375</v>
      </c>
      <c r="B164" s="960" t="s">
        <v>1376</v>
      </c>
      <c r="C164" s="941">
        <v>0</v>
      </c>
      <c r="D164" s="941">
        <v>25</v>
      </c>
      <c r="E164" s="941">
        <v>100</v>
      </c>
      <c r="F164" s="941">
        <v>125</v>
      </c>
      <c r="G164" s="941">
        <v>100</v>
      </c>
      <c r="H164" s="941">
        <v>75</v>
      </c>
      <c r="I164" s="941">
        <v>30</v>
      </c>
      <c r="J164" s="941">
        <v>20</v>
      </c>
      <c r="K164" s="941">
        <v>0</v>
      </c>
      <c r="L164" s="941">
        <v>0</v>
      </c>
      <c r="M164" s="941">
        <v>350</v>
      </c>
      <c r="N164" s="941">
        <v>475</v>
      </c>
      <c r="O164" s="942" t="s">
        <v>52</v>
      </c>
      <c r="P164" s="964"/>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1384</v>
      </c>
    </row>
    <row r="168" spans="1:17" x14ac:dyDescent="0.3">
      <c r="A168" s="943"/>
      <c r="B168" s="943"/>
      <c r="C168" s="926"/>
      <c r="D168" s="926">
        <v>2022</v>
      </c>
      <c r="E168" s="926">
        <v>2023</v>
      </c>
      <c r="F168" s="926">
        <v>2024</v>
      </c>
      <c r="G168" s="926">
        <v>2025</v>
      </c>
      <c r="H168" s="926">
        <v>2026</v>
      </c>
      <c r="I168" s="926">
        <v>2027</v>
      </c>
      <c r="J168" s="926">
        <v>2028</v>
      </c>
      <c r="K168" s="926">
        <v>2029</v>
      </c>
      <c r="L168" s="926">
        <v>2030</v>
      </c>
      <c r="M168" s="927">
        <v>2031</v>
      </c>
      <c r="N168" s="928" t="s">
        <v>1377</v>
      </c>
      <c r="O168" s="928" t="s">
        <v>1378</v>
      </c>
      <c r="Q168" s="62"/>
    </row>
    <row r="169" spans="1:17" x14ac:dyDescent="0.3">
      <c r="A169" s="944" t="s">
        <v>1379</v>
      </c>
      <c r="B169" s="944"/>
      <c r="C169" s="950"/>
      <c r="D169" s="950">
        <f t="shared" ref="D169:O169" si="9">D78/1000</f>
        <v>0</v>
      </c>
      <c r="E169" s="950">
        <f t="shared" si="9"/>
        <v>6.8000000000000005E-2</v>
      </c>
      <c r="F169" s="950">
        <f t="shared" si="9"/>
        <v>1.363</v>
      </c>
      <c r="G169" s="950">
        <f t="shared" si="9"/>
        <v>2.4329999999999998</v>
      </c>
      <c r="H169" s="950">
        <f t="shared" si="9"/>
        <v>2.8029999999999999</v>
      </c>
      <c r="I169" s="950">
        <f t="shared" si="9"/>
        <v>1.7410000000000001</v>
      </c>
      <c r="J169" s="950">
        <f t="shared" si="9"/>
        <v>0.56999999999999995</v>
      </c>
      <c r="K169" s="950">
        <f t="shared" si="9"/>
        <v>3.5000000000000003E-2</v>
      </c>
      <c r="L169" s="950">
        <f t="shared" si="9"/>
        <v>0</v>
      </c>
      <c r="M169" s="950">
        <f t="shared" si="9"/>
        <v>0</v>
      </c>
      <c r="N169" s="950">
        <f t="shared" si="9"/>
        <v>6.6669999999999998</v>
      </c>
      <c r="O169" s="950">
        <f t="shared" si="9"/>
        <v>9.0129999999999999</v>
      </c>
      <c r="Q169" s="62"/>
    </row>
    <row r="170" spans="1:17" x14ac:dyDescent="0.3">
      <c r="A170" s="944" t="s">
        <v>1380</v>
      </c>
      <c r="B170" s="944"/>
      <c r="C170" s="950"/>
      <c r="D170" s="950">
        <f t="shared" ref="D170:O170" si="10">(D77+D70)/1000</f>
        <v>0</v>
      </c>
      <c r="E170" s="950">
        <f t="shared" si="10"/>
        <v>0.81899999999999995</v>
      </c>
      <c r="F170" s="950">
        <f t="shared" si="10"/>
        <v>2.4780000000000002</v>
      </c>
      <c r="G170" s="950">
        <f t="shared" si="10"/>
        <v>4.0720000000000001</v>
      </c>
      <c r="H170" s="950">
        <f t="shared" si="10"/>
        <v>5.4480000000000004</v>
      </c>
      <c r="I170" s="950">
        <f t="shared" si="10"/>
        <v>4.8289999999999997</v>
      </c>
      <c r="J170" s="950">
        <f t="shared" si="10"/>
        <v>3.2949999999999999</v>
      </c>
      <c r="K170" s="950">
        <f t="shared" si="10"/>
        <v>1.98</v>
      </c>
      <c r="L170" s="950">
        <f t="shared" si="10"/>
        <v>1.01</v>
      </c>
      <c r="M170" s="950">
        <f t="shared" si="10"/>
        <v>0.40400000000000003</v>
      </c>
      <c r="N170" s="950">
        <f t="shared" si="10"/>
        <v>12.817</v>
      </c>
      <c r="O170" s="950">
        <f t="shared" si="10"/>
        <v>24.335000000000001</v>
      </c>
      <c r="Q170" s="62"/>
    </row>
    <row r="171" spans="1:17" x14ac:dyDescent="0.3">
      <c r="A171" s="944" t="s">
        <v>1381</v>
      </c>
      <c r="B171" s="944"/>
      <c r="C171" s="950"/>
      <c r="D171" s="950">
        <f t="shared" ref="D171:O171" si="11">(D69+D76)/1000</f>
        <v>0</v>
      </c>
      <c r="E171" s="950">
        <f t="shared" si="11"/>
        <v>4.5430000000000001</v>
      </c>
      <c r="F171" s="950">
        <f t="shared" si="11"/>
        <v>5.6079999999999997</v>
      </c>
      <c r="G171" s="950">
        <f t="shared" si="11"/>
        <v>8.16</v>
      </c>
      <c r="H171" s="950">
        <f t="shared" si="11"/>
        <v>10.069000000000001</v>
      </c>
      <c r="I171" s="950">
        <f t="shared" si="11"/>
        <v>12.026999999999999</v>
      </c>
      <c r="J171" s="950">
        <f t="shared" si="11"/>
        <v>13.826000000000001</v>
      </c>
      <c r="K171" s="950">
        <f t="shared" si="11"/>
        <v>15.862</v>
      </c>
      <c r="L171" s="950">
        <f t="shared" si="11"/>
        <v>17.890999999999998</v>
      </c>
      <c r="M171" s="950">
        <f t="shared" si="11"/>
        <v>17.481000000000002</v>
      </c>
      <c r="N171" s="950">
        <f t="shared" si="11"/>
        <v>28.38</v>
      </c>
      <c r="O171" s="950">
        <f t="shared" si="11"/>
        <v>105.467</v>
      </c>
      <c r="Q171" s="62"/>
    </row>
    <row r="172" spans="1:17" x14ac:dyDescent="0.3">
      <c r="A172" s="945" t="s">
        <v>52</v>
      </c>
      <c r="B172" s="945"/>
      <c r="C172" s="950"/>
      <c r="D172" s="950">
        <f t="shared" ref="D172:O172" si="12">(D79+D74)/1000</f>
        <v>0</v>
      </c>
      <c r="E172" s="950">
        <f t="shared" si="12"/>
        <v>1.2969999999999999</v>
      </c>
      <c r="F172" s="950">
        <f t="shared" si="12"/>
        <v>3.8479999999999999</v>
      </c>
      <c r="G172" s="950">
        <f t="shared" si="12"/>
        <v>6.4420000000000002</v>
      </c>
      <c r="H172" s="950">
        <f t="shared" si="12"/>
        <v>9.532</v>
      </c>
      <c r="I172" s="950">
        <f t="shared" si="12"/>
        <v>11.882</v>
      </c>
      <c r="J172" s="950">
        <f t="shared" si="12"/>
        <v>11.727</v>
      </c>
      <c r="K172" s="950">
        <f t="shared" si="12"/>
        <v>10.569000000000001</v>
      </c>
      <c r="L172" s="950">
        <f t="shared" si="12"/>
        <v>8.8879999999999999</v>
      </c>
      <c r="M172" s="950">
        <f t="shared" si="12"/>
        <v>7.1890000000000001</v>
      </c>
      <c r="N172" s="950">
        <f t="shared" si="12"/>
        <v>21.117000000000001</v>
      </c>
      <c r="O172" s="950">
        <f t="shared" si="12"/>
        <v>71.372</v>
      </c>
      <c r="Q172" s="62"/>
    </row>
    <row r="173" spans="1:17" x14ac:dyDescent="0.3">
      <c r="A173" s="946" t="s">
        <v>534</v>
      </c>
      <c r="B173" s="946"/>
      <c r="C173" s="950"/>
      <c r="D173" s="950"/>
      <c r="E173" s="950"/>
      <c r="F173" s="950"/>
      <c r="G173" s="950"/>
      <c r="H173" s="950"/>
      <c r="I173" s="950"/>
      <c r="J173" s="950"/>
      <c r="K173" s="950"/>
      <c r="L173" s="950"/>
      <c r="M173" s="950"/>
      <c r="N173" s="950"/>
      <c r="O173" s="950"/>
      <c r="Q173" s="62"/>
    </row>
    <row r="174" spans="1:17" x14ac:dyDescent="0.3">
      <c r="A174" s="947" t="s">
        <v>54</v>
      </c>
      <c r="B174" s="947"/>
      <c r="C174" s="950"/>
      <c r="D174" s="950">
        <f t="shared" ref="D174:O174" si="13">D71/1000</f>
        <v>0</v>
      </c>
      <c r="E174" s="950">
        <f t="shared" si="13"/>
        <v>0.11</v>
      </c>
      <c r="F174" s="950">
        <f t="shared" si="13"/>
        <v>0.73899999999999999</v>
      </c>
      <c r="G174" s="950">
        <f t="shared" si="13"/>
        <v>1.1950000000000001</v>
      </c>
      <c r="H174" s="950">
        <f t="shared" si="13"/>
        <v>1.4970000000000001</v>
      </c>
      <c r="I174" s="950">
        <f t="shared" si="13"/>
        <v>1.91</v>
      </c>
      <c r="J174" s="950">
        <f t="shared" si="13"/>
        <v>2.4049999999999998</v>
      </c>
      <c r="K174" s="950">
        <f t="shared" si="13"/>
        <v>2.9220000000000002</v>
      </c>
      <c r="L174" s="950">
        <f t="shared" si="13"/>
        <v>3.4630000000000001</v>
      </c>
      <c r="M174" s="950">
        <f t="shared" si="13"/>
        <v>4.0069999999999997</v>
      </c>
      <c r="N174" s="950">
        <f t="shared" si="13"/>
        <v>3.5409999999999999</v>
      </c>
      <c r="O174" s="950">
        <f t="shared" si="13"/>
        <v>18.248000000000001</v>
      </c>
      <c r="Q174" s="62"/>
    </row>
    <row r="175" spans="1:17" x14ac:dyDescent="0.3">
      <c r="A175" s="947" t="s">
        <v>1382</v>
      </c>
      <c r="B175" s="947"/>
      <c r="C175" s="950"/>
      <c r="D175" s="950">
        <f t="shared" ref="D175:O175" si="14">D72/1000</f>
        <v>0</v>
      </c>
      <c r="E175" s="950">
        <f t="shared" si="14"/>
        <v>-0.41499999999999998</v>
      </c>
      <c r="F175" s="950">
        <f t="shared" si="14"/>
        <v>2.7679999999999998</v>
      </c>
      <c r="G175" s="950">
        <f t="shared" si="14"/>
        <v>-12.473000000000001</v>
      </c>
      <c r="H175" s="950">
        <f t="shared" si="14"/>
        <v>-5.3739999999999997</v>
      </c>
      <c r="I175" s="950">
        <f t="shared" si="14"/>
        <v>-25.515000000000001</v>
      </c>
      <c r="J175" s="950">
        <f t="shared" si="14"/>
        <v>-43.975000000000001</v>
      </c>
      <c r="K175" s="950">
        <f t="shared" si="14"/>
        <v>-46.426000000000002</v>
      </c>
      <c r="L175" s="950">
        <f t="shared" si="14"/>
        <v>-56.228000000000002</v>
      </c>
      <c r="M175" s="950">
        <f t="shared" si="14"/>
        <v>-60.581000000000003</v>
      </c>
      <c r="N175" s="950">
        <f t="shared" si="14"/>
        <v>-15.494</v>
      </c>
      <c r="O175" s="950">
        <f t="shared" si="14"/>
        <v>-248.21899999999999</v>
      </c>
      <c r="Q175" s="62"/>
    </row>
    <row r="176" spans="1:17" x14ac:dyDescent="0.3">
      <c r="A176" s="948" t="s">
        <v>57</v>
      </c>
      <c r="B176" s="948"/>
      <c r="C176" s="950"/>
      <c r="D176" s="950">
        <f t="shared" ref="D176:O176" si="15">(D80+D73)/1000</f>
        <v>-0.622</v>
      </c>
      <c r="E176" s="950">
        <f t="shared" si="15"/>
        <v>21.89</v>
      </c>
      <c r="F176" s="950">
        <f t="shared" si="15"/>
        <v>15.439</v>
      </c>
      <c r="G176" s="950">
        <f t="shared" si="15"/>
        <v>16.966999999999999</v>
      </c>
      <c r="H176" s="950">
        <f t="shared" si="15"/>
        <v>0.72799999999999998</v>
      </c>
      <c r="I176" s="950">
        <f t="shared" si="15"/>
        <v>7.657</v>
      </c>
      <c r="J176" s="950">
        <f t="shared" si="15"/>
        <v>4.5590000000000002</v>
      </c>
      <c r="K176" s="950">
        <f t="shared" si="15"/>
        <v>2.4649999999999999</v>
      </c>
      <c r="L176" s="950">
        <f t="shared" si="15"/>
        <v>1.444</v>
      </c>
      <c r="M176" s="950">
        <f t="shared" si="15"/>
        <v>0.77300000000000002</v>
      </c>
      <c r="N176" s="950">
        <f t="shared" si="15"/>
        <v>54.402000000000001</v>
      </c>
      <c r="O176" s="950">
        <f t="shared" si="15"/>
        <v>71.3</v>
      </c>
      <c r="Q176" s="62"/>
    </row>
    <row r="177" spans="1:17" x14ac:dyDescent="0.3">
      <c r="A177" s="949" t="s">
        <v>1441</v>
      </c>
      <c r="B177" s="949"/>
      <c r="C177" s="950"/>
      <c r="D177" s="937">
        <f t="shared" ref="D177:O177" si="16">D84/1000</f>
        <v>0</v>
      </c>
      <c r="E177" s="937">
        <f t="shared" si="16"/>
        <v>-3.1549999999999998</v>
      </c>
      <c r="F177" s="937">
        <f t="shared" si="16"/>
        <v>-2.2309999999999999</v>
      </c>
      <c r="G177" s="937">
        <f t="shared" si="16"/>
        <v>-1.6080000000000001</v>
      </c>
      <c r="H177" s="937">
        <f t="shared" si="16"/>
        <v>-0.77</v>
      </c>
      <c r="I177" s="937">
        <f t="shared" si="16"/>
        <v>-0.98299999999999998</v>
      </c>
      <c r="J177" s="937">
        <f t="shared" si="16"/>
        <v>-1.2110000000000001</v>
      </c>
      <c r="K177" s="937">
        <f t="shared" si="16"/>
        <v>-1.4710000000000001</v>
      </c>
      <c r="L177" s="937">
        <f t="shared" si="16"/>
        <v>-1.81</v>
      </c>
      <c r="M177" s="937">
        <f t="shared" si="16"/>
        <v>-2.3250000000000002</v>
      </c>
      <c r="N177" s="937">
        <f t="shared" si="16"/>
        <v>-7.7670000000000003</v>
      </c>
      <c r="O177" s="937">
        <f t="shared" si="16"/>
        <v>-15.566000000000001</v>
      </c>
      <c r="Q177" s="62"/>
    </row>
    <row r="178" spans="1:17" x14ac:dyDescent="0.3">
      <c r="A178" s="949" t="s">
        <v>239</v>
      </c>
      <c r="B178" s="949"/>
      <c r="C178" s="950"/>
      <c r="D178" s="937">
        <f t="shared" ref="D178:O178" si="17">D85/1000</f>
        <v>0</v>
      </c>
      <c r="E178" s="937">
        <f t="shared" si="17"/>
        <v>0.45200000000000001</v>
      </c>
      <c r="F178" s="937">
        <f t="shared" si="17"/>
        <v>-8.67</v>
      </c>
      <c r="G178" s="937">
        <f t="shared" si="17"/>
        <v>-4.5270000000000001</v>
      </c>
      <c r="H178" s="937">
        <f t="shared" si="17"/>
        <v>-0.70499999999999996</v>
      </c>
      <c r="I178" s="937">
        <f t="shared" si="17"/>
        <v>15.813000000000001</v>
      </c>
      <c r="J178" s="937">
        <f t="shared" si="17"/>
        <v>20.372</v>
      </c>
      <c r="K178" s="937">
        <f t="shared" si="17"/>
        <v>24.847000000000001</v>
      </c>
      <c r="L178" s="937">
        <f t="shared" si="17"/>
        <v>28.113</v>
      </c>
      <c r="M178" s="937">
        <f t="shared" si="17"/>
        <v>24.777000000000001</v>
      </c>
      <c r="N178" s="937">
        <f t="shared" si="17"/>
        <v>-13.451000000000001</v>
      </c>
      <c r="O178" s="937">
        <f t="shared" si="17"/>
        <v>100.468</v>
      </c>
      <c r="Q178" s="62"/>
    </row>
    <row r="179" spans="1:17" x14ac:dyDescent="0.3">
      <c r="A179" s="949" t="s">
        <v>106</v>
      </c>
      <c r="B179" s="949"/>
      <c r="C179" s="950"/>
      <c r="D179" s="937">
        <f t="shared" ref="D179:O179" si="18">D83/1000</f>
        <v>0</v>
      </c>
      <c r="E179" s="937">
        <f t="shared" si="18"/>
        <v>35.317</v>
      </c>
      <c r="F179" s="937">
        <f t="shared" si="18"/>
        <v>36.033000000000001</v>
      </c>
      <c r="G179" s="937">
        <f t="shared" si="18"/>
        <v>21.076000000000001</v>
      </c>
      <c r="H179" s="937">
        <f t="shared" si="18"/>
        <v>13.346</v>
      </c>
      <c r="I179" s="937">
        <f t="shared" si="18"/>
        <v>27.507999999999999</v>
      </c>
      <c r="J179" s="937">
        <f t="shared" si="18"/>
        <v>35.85</v>
      </c>
      <c r="K179" s="937">
        <f t="shared" si="18"/>
        <v>18.64</v>
      </c>
      <c r="L179" s="937">
        <f t="shared" si="18"/>
        <v>8.3940000000000001</v>
      </c>
      <c r="M179" s="937">
        <f t="shared" si="18"/>
        <v>7.9820000000000002</v>
      </c>
      <c r="N179" s="937">
        <f t="shared" si="18"/>
        <v>105.76900000000001</v>
      </c>
      <c r="O179" s="937">
        <f t="shared" si="18"/>
        <v>204.14400000000001</v>
      </c>
      <c r="Q179" s="62"/>
    </row>
    <row r="182" spans="1:17" x14ac:dyDescent="0.3">
      <c r="A182" s="56" t="s">
        <v>1383</v>
      </c>
    </row>
    <row r="183" spans="1:17" x14ac:dyDescent="0.3">
      <c r="A183" s="943"/>
      <c r="B183" s="943"/>
      <c r="C183" s="943"/>
      <c r="D183" s="943" t="s">
        <v>183</v>
      </c>
      <c r="E183" s="943" t="s">
        <v>184</v>
      </c>
      <c r="F183" s="943" t="s">
        <v>185</v>
      </c>
      <c r="G183" s="943" t="s">
        <v>186</v>
      </c>
      <c r="H183" s="943" t="s">
        <v>187</v>
      </c>
      <c r="I183" s="943" t="s">
        <v>188</v>
      </c>
      <c r="J183" s="943" t="s">
        <v>189</v>
      </c>
      <c r="K183" s="943" t="s">
        <v>190</v>
      </c>
      <c r="L183" s="943" t="s">
        <v>191</v>
      </c>
      <c r="M183" s="943" t="s">
        <v>175</v>
      </c>
      <c r="N183" s="943" t="s">
        <v>176</v>
      </c>
      <c r="O183" s="943" t="s">
        <v>177</v>
      </c>
      <c r="Q183" s="62"/>
    </row>
    <row r="184" spans="1:17" x14ac:dyDescent="0.3">
      <c r="A184" s="944" t="s">
        <v>1379</v>
      </c>
      <c r="B184" s="944"/>
      <c r="C184" s="951"/>
      <c r="D184" s="951">
        <f t="shared" ref="D184:D191" si="19">D169</f>
        <v>0</v>
      </c>
      <c r="E184" s="951">
        <f>D184</f>
        <v>0</v>
      </c>
      <c r="F184" s="951">
        <f t="shared" ref="F184:F191" si="20">E169</f>
        <v>6.8000000000000005E-2</v>
      </c>
      <c r="G184" s="951">
        <f>F184</f>
        <v>6.8000000000000005E-2</v>
      </c>
      <c r="H184" s="951">
        <f>G184</f>
        <v>6.8000000000000005E-2</v>
      </c>
      <c r="I184" s="951">
        <f>H184</f>
        <v>6.8000000000000005E-2</v>
      </c>
      <c r="J184" s="951">
        <f t="shared" ref="J184:J191" si="21">F169</f>
        <v>1.363</v>
      </c>
      <c r="K184" s="951">
        <f t="shared" ref="K184:M191" si="22">J184</f>
        <v>1.363</v>
      </c>
      <c r="L184" s="951">
        <f t="shared" si="22"/>
        <v>1.363</v>
      </c>
      <c r="M184" s="951">
        <f>L184</f>
        <v>1.363</v>
      </c>
      <c r="N184" s="951">
        <f t="shared" ref="N184:N191" si="23">G169</f>
        <v>2.4329999999999998</v>
      </c>
      <c r="O184" s="951">
        <f>N184</f>
        <v>2.4329999999999998</v>
      </c>
      <c r="Q184" s="62"/>
    </row>
    <row r="185" spans="1:17" x14ac:dyDescent="0.3">
      <c r="A185" s="944" t="s">
        <v>1380</v>
      </c>
      <c r="B185" s="944"/>
      <c r="C185" s="951"/>
      <c r="D185" s="951">
        <f t="shared" si="19"/>
        <v>0</v>
      </c>
      <c r="E185" s="951">
        <f t="shared" ref="E185:E191" si="24">D185</f>
        <v>0</v>
      </c>
      <c r="F185" s="951">
        <f t="shared" si="20"/>
        <v>0.81899999999999995</v>
      </c>
      <c r="G185" s="951">
        <f t="shared" ref="G185:I191" si="25">F185</f>
        <v>0.81899999999999995</v>
      </c>
      <c r="H185" s="951">
        <f t="shared" si="25"/>
        <v>0.81899999999999995</v>
      </c>
      <c r="I185" s="951">
        <f t="shared" si="25"/>
        <v>0.81899999999999995</v>
      </c>
      <c r="J185" s="951">
        <f t="shared" si="21"/>
        <v>2.4780000000000002</v>
      </c>
      <c r="K185" s="951">
        <f t="shared" si="22"/>
        <v>2.4780000000000002</v>
      </c>
      <c r="L185" s="951">
        <f t="shared" si="22"/>
        <v>2.4780000000000002</v>
      </c>
      <c r="M185" s="951">
        <f t="shared" si="22"/>
        <v>2.4780000000000002</v>
      </c>
      <c r="N185" s="951">
        <f t="shared" si="23"/>
        <v>4.0720000000000001</v>
      </c>
      <c r="O185" s="951">
        <f t="shared" ref="O185:O191" si="26">N185</f>
        <v>4.0720000000000001</v>
      </c>
      <c r="Q185" s="62"/>
    </row>
    <row r="186" spans="1:17" x14ac:dyDescent="0.3">
      <c r="A186" s="944" t="s">
        <v>1381</v>
      </c>
      <c r="B186" s="944"/>
      <c r="C186" s="951"/>
      <c r="D186" s="951">
        <f t="shared" si="19"/>
        <v>0</v>
      </c>
      <c r="E186" s="951">
        <f t="shared" si="24"/>
        <v>0</v>
      </c>
      <c r="F186" s="951">
        <f t="shared" si="20"/>
        <v>4.5430000000000001</v>
      </c>
      <c r="G186" s="951">
        <f t="shared" si="25"/>
        <v>4.5430000000000001</v>
      </c>
      <c r="H186" s="951">
        <f t="shared" si="25"/>
        <v>4.5430000000000001</v>
      </c>
      <c r="I186" s="951">
        <f t="shared" si="25"/>
        <v>4.5430000000000001</v>
      </c>
      <c r="J186" s="951">
        <f t="shared" si="21"/>
        <v>5.6079999999999997</v>
      </c>
      <c r="K186" s="951">
        <f t="shared" si="22"/>
        <v>5.6079999999999997</v>
      </c>
      <c r="L186" s="951">
        <f t="shared" si="22"/>
        <v>5.6079999999999997</v>
      </c>
      <c r="M186" s="951">
        <f t="shared" si="22"/>
        <v>5.6079999999999997</v>
      </c>
      <c r="N186" s="951">
        <f t="shared" si="23"/>
        <v>8.16</v>
      </c>
      <c r="O186" s="951">
        <f t="shared" si="26"/>
        <v>8.16</v>
      </c>
      <c r="Q186" s="62"/>
    </row>
    <row r="187" spans="1:17" x14ac:dyDescent="0.3">
      <c r="A187" s="945" t="s">
        <v>52</v>
      </c>
      <c r="B187" s="945"/>
      <c r="C187" s="951"/>
      <c r="D187" s="951">
        <f t="shared" si="19"/>
        <v>0</v>
      </c>
      <c r="E187" s="951">
        <f t="shared" si="24"/>
        <v>0</v>
      </c>
      <c r="F187" s="951">
        <f t="shared" si="20"/>
        <v>1.2969999999999999</v>
      </c>
      <c r="G187" s="951">
        <f t="shared" si="25"/>
        <v>1.2969999999999999</v>
      </c>
      <c r="H187" s="951">
        <f t="shared" si="25"/>
        <v>1.2969999999999999</v>
      </c>
      <c r="I187" s="951">
        <f t="shared" si="25"/>
        <v>1.2969999999999999</v>
      </c>
      <c r="J187" s="951">
        <f t="shared" si="21"/>
        <v>3.8479999999999999</v>
      </c>
      <c r="K187" s="951">
        <f t="shared" si="22"/>
        <v>3.8479999999999999</v>
      </c>
      <c r="L187" s="951">
        <f t="shared" si="22"/>
        <v>3.8479999999999999</v>
      </c>
      <c r="M187" s="951">
        <f t="shared" si="22"/>
        <v>3.8479999999999999</v>
      </c>
      <c r="N187" s="951">
        <f t="shared" si="23"/>
        <v>6.4420000000000002</v>
      </c>
      <c r="O187" s="951">
        <f t="shared" si="26"/>
        <v>6.4420000000000002</v>
      </c>
      <c r="Q187" s="62"/>
    </row>
    <row r="188" spans="1:17" x14ac:dyDescent="0.3">
      <c r="A188" s="946" t="s">
        <v>534</v>
      </c>
      <c r="B188" s="946"/>
      <c r="C188" s="951"/>
      <c r="D188" s="951">
        <f t="shared" si="19"/>
        <v>0</v>
      </c>
      <c r="E188" s="951">
        <f t="shared" si="24"/>
        <v>0</v>
      </c>
      <c r="F188" s="951">
        <f t="shared" si="20"/>
        <v>0</v>
      </c>
      <c r="G188" s="951">
        <f t="shared" si="25"/>
        <v>0</v>
      </c>
      <c r="H188" s="951">
        <f t="shared" si="25"/>
        <v>0</v>
      </c>
      <c r="I188" s="951">
        <f t="shared" si="25"/>
        <v>0</v>
      </c>
      <c r="J188" s="951">
        <f t="shared" si="21"/>
        <v>0</v>
      </c>
      <c r="K188" s="951">
        <f t="shared" si="22"/>
        <v>0</v>
      </c>
      <c r="L188" s="951">
        <f t="shared" si="22"/>
        <v>0</v>
      </c>
      <c r="M188" s="951">
        <f t="shared" si="22"/>
        <v>0</v>
      </c>
      <c r="N188" s="951">
        <f t="shared" si="23"/>
        <v>0</v>
      </c>
      <c r="O188" s="951">
        <f t="shared" si="26"/>
        <v>0</v>
      </c>
      <c r="Q188" s="62"/>
    </row>
    <row r="189" spans="1:17" x14ac:dyDescent="0.3">
      <c r="A189" s="947" t="s">
        <v>54</v>
      </c>
      <c r="B189" s="947"/>
      <c r="C189" s="951"/>
      <c r="D189" s="951">
        <f t="shared" si="19"/>
        <v>0</v>
      </c>
      <c r="E189" s="951">
        <f t="shared" si="24"/>
        <v>0</v>
      </c>
      <c r="F189" s="951">
        <f t="shared" si="20"/>
        <v>0.11</v>
      </c>
      <c r="G189" s="951">
        <f t="shared" si="25"/>
        <v>0.11</v>
      </c>
      <c r="H189" s="951">
        <f t="shared" si="25"/>
        <v>0.11</v>
      </c>
      <c r="I189" s="951">
        <f t="shared" si="25"/>
        <v>0.11</v>
      </c>
      <c r="J189" s="951">
        <f t="shared" si="21"/>
        <v>0.73899999999999999</v>
      </c>
      <c r="K189" s="951">
        <f t="shared" si="22"/>
        <v>0.73899999999999999</v>
      </c>
      <c r="L189" s="951">
        <f t="shared" si="22"/>
        <v>0.73899999999999999</v>
      </c>
      <c r="M189" s="951">
        <f t="shared" si="22"/>
        <v>0.73899999999999999</v>
      </c>
      <c r="N189" s="951">
        <f t="shared" si="23"/>
        <v>1.1950000000000001</v>
      </c>
      <c r="O189" s="951">
        <f t="shared" si="26"/>
        <v>1.1950000000000001</v>
      </c>
      <c r="Q189" s="62"/>
    </row>
    <row r="190" spans="1:17" x14ac:dyDescent="0.3">
      <c r="A190" s="947" t="s">
        <v>1382</v>
      </c>
      <c r="B190" s="947"/>
      <c r="C190" s="951"/>
      <c r="D190" s="951">
        <f t="shared" si="19"/>
        <v>0</v>
      </c>
      <c r="E190" s="951">
        <f t="shared" si="24"/>
        <v>0</v>
      </c>
      <c r="F190" s="951">
        <f t="shared" si="20"/>
        <v>-0.41499999999999998</v>
      </c>
      <c r="G190" s="951">
        <f t="shared" si="25"/>
        <v>-0.41499999999999998</v>
      </c>
      <c r="H190" s="951">
        <f t="shared" si="25"/>
        <v>-0.41499999999999998</v>
      </c>
      <c r="I190" s="951">
        <f t="shared" si="25"/>
        <v>-0.41499999999999998</v>
      </c>
      <c r="J190" s="951">
        <f t="shared" si="21"/>
        <v>2.7679999999999998</v>
      </c>
      <c r="K190" s="951">
        <f t="shared" si="22"/>
        <v>2.7679999999999998</v>
      </c>
      <c r="L190" s="951">
        <f t="shared" si="22"/>
        <v>2.7679999999999998</v>
      </c>
      <c r="M190" s="951">
        <f t="shared" si="22"/>
        <v>2.7679999999999998</v>
      </c>
      <c r="N190" s="951">
        <f t="shared" si="23"/>
        <v>-12.473000000000001</v>
      </c>
      <c r="O190" s="951">
        <f t="shared" si="26"/>
        <v>-12.473000000000001</v>
      </c>
      <c r="Q190" s="62"/>
    </row>
    <row r="191" spans="1:17" x14ac:dyDescent="0.3">
      <c r="A191" s="948" t="s">
        <v>57</v>
      </c>
      <c r="B191" s="948"/>
      <c r="C191" s="951"/>
      <c r="D191" s="951">
        <f t="shared" si="19"/>
        <v>-0.622</v>
      </c>
      <c r="E191" s="951">
        <f t="shared" si="24"/>
        <v>-0.622</v>
      </c>
      <c r="F191" s="951">
        <f t="shared" si="20"/>
        <v>21.89</v>
      </c>
      <c r="G191" s="951">
        <f t="shared" si="25"/>
        <v>21.89</v>
      </c>
      <c r="H191" s="951">
        <f t="shared" si="25"/>
        <v>21.89</v>
      </c>
      <c r="I191" s="951">
        <f t="shared" si="25"/>
        <v>21.89</v>
      </c>
      <c r="J191" s="951">
        <f t="shared" si="21"/>
        <v>15.439</v>
      </c>
      <c r="K191" s="951">
        <f t="shared" si="22"/>
        <v>15.439</v>
      </c>
      <c r="L191" s="951">
        <f t="shared" si="22"/>
        <v>15.439</v>
      </c>
      <c r="M191" s="951">
        <f t="shared" si="22"/>
        <v>15.439</v>
      </c>
      <c r="N191" s="951">
        <f t="shared" si="23"/>
        <v>16.966999999999999</v>
      </c>
      <c r="O191" s="951">
        <f t="shared" si="26"/>
        <v>16.966999999999999</v>
      </c>
      <c r="Q191" s="62"/>
    </row>
    <row r="192" spans="1:17" x14ac:dyDescent="0.3">
      <c r="A192" s="949" t="s">
        <v>489</v>
      </c>
      <c r="B192" s="949"/>
      <c r="C192" s="951"/>
      <c r="D192" s="937">
        <f t="shared" ref="D192:D194" si="27">D177</f>
        <v>0</v>
      </c>
      <c r="E192" s="937">
        <f t="shared" ref="E192:E194" si="28">D192</f>
        <v>0</v>
      </c>
      <c r="F192" s="937">
        <f t="shared" ref="F192:F194" si="29">E177</f>
        <v>-3.1549999999999998</v>
      </c>
      <c r="G192" s="937">
        <f t="shared" ref="G192:G194" si="30">F192</f>
        <v>-3.1549999999999998</v>
      </c>
      <c r="H192" s="937">
        <f t="shared" ref="H192:H194" si="31">G192</f>
        <v>-3.1549999999999998</v>
      </c>
      <c r="I192" s="937">
        <f t="shared" ref="I192:I194" si="32">H192</f>
        <v>-3.1549999999999998</v>
      </c>
      <c r="J192" s="937">
        <f t="shared" ref="J192:J194" si="33">F177</f>
        <v>-2.2309999999999999</v>
      </c>
      <c r="K192" s="937">
        <f t="shared" ref="K192:K194" si="34">J192</f>
        <v>-2.2309999999999999</v>
      </c>
      <c r="L192" s="937">
        <f t="shared" ref="L192:L194" si="35">K192</f>
        <v>-2.2309999999999999</v>
      </c>
      <c r="M192" s="937">
        <f t="shared" ref="M192:M194" si="36">L192</f>
        <v>-2.2309999999999999</v>
      </c>
      <c r="N192" s="937">
        <f t="shared" ref="N192:N194" si="37">G177</f>
        <v>-1.6080000000000001</v>
      </c>
      <c r="O192" s="937">
        <f t="shared" ref="O192:O194" si="38">N192</f>
        <v>-1.6080000000000001</v>
      </c>
      <c r="Q192" s="62"/>
    </row>
    <row r="193" spans="1:17" x14ac:dyDescent="0.3">
      <c r="A193" s="949" t="s">
        <v>487</v>
      </c>
      <c r="B193" s="949"/>
      <c r="C193" s="951"/>
      <c r="D193" s="937">
        <f t="shared" si="27"/>
        <v>0</v>
      </c>
      <c r="E193" s="937">
        <f t="shared" si="28"/>
        <v>0</v>
      </c>
      <c r="F193" s="937">
        <f t="shared" si="29"/>
        <v>0.45200000000000001</v>
      </c>
      <c r="G193" s="937">
        <f t="shared" si="30"/>
        <v>0.45200000000000001</v>
      </c>
      <c r="H193" s="937">
        <f t="shared" si="31"/>
        <v>0.45200000000000001</v>
      </c>
      <c r="I193" s="937">
        <f t="shared" si="32"/>
        <v>0.45200000000000001</v>
      </c>
      <c r="J193" s="937">
        <f t="shared" si="33"/>
        <v>-8.67</v>
      </c>
      <c r="K193" s="937">
        <f t="shared" si="34"/>
        <v>-8.67</v>
      </c>
      <c r="L193" s="937">
        <f t="shared" si="35"/>
        <v>-8.67</v>
      </c>
      <c r="M193" s="937">
        <f t="shared" si="36"/>
        <v>-8.67</v>
      </c>
      <c r="N193" s="937">
        <f t="shared" si="37"/>
        <v>-4.5270000000000001</v>
      </c>
      <c r="O193" s="937">
        <f t="shared" si="38"/>
        <v>-4.5270000000000001</v>
      </c>
      <c r="Q193" s="62"/>
    </row>
    <row r="194" spans="1:17" x14ac:dyDescent="0.3">
      <c r="A194" s="949" t="s">
        <v>106</v>
      </c>
      <c r="B194" s="949"/>
      <c r="C194" s="951"/>
      <c r="D194" s="937">
        <f t="shared" si="27"/>
        <v>0</v>
      </c>
      <c r="E194" s="937">
        <f t="shared" si="28"/>
        <v>0</v>
      </c>
      <c r="F194" s="937">
        <f t="shared" si="29"/>
        <v>35.317</v>
      </c>
      <c r="G194" s="937">
        <f t="shared" si="30"/>
        <v>35.317</v>
      </c>
      <c r="H194" s="937">
        <f t="shared" si="31"/>
        <v>35.317</v>
      </c>
      <c r="I194" s="937">
        <f t="shared" si="32"/>
        <v>35.317</v>
      </c>
      <c r="J194" s="937">
        <f t="shared" si="33"/>
        <v>36.033000000000001</v>
      </c>
      <c r="K194" s="937">
        <f t="shared" si="34"/>
        <v>36.033000000000001</v>
      </c>
      <c r="L194" s="937">
        <f t="shared" si="35"/>
        <v>36.033000000000001</v>
      </c>
      <c r="M194" s="937">
        <f t="shared" si="36"/>
        <v>36.033000000000001</v>
      </c>
      <c r="N194" s="937">
        <f t="shared" si="37"/>
        <v>21.076000000000001</v>
      </c>
      <c r="O194" s="937">
        <f t="shared" si="38"/>
        <v>21.076000000000001</v>
      </c>
      <c r="Q194" s="62"/>
    </row>
    <row r="197" spans="1:17" x14ac:dyDescent="0.3">
      <c r="A197" s="56" t="s">
        <v>1385</v>
      </c>
    </row>
    <row r="198" spans="1:17" x14ac:dyDescent="0.3">
      <c r="A198" s="945" t="s">
        <v>52</v>
      </c>
      <c r="D198" s="952">
        <v>0</v>
      </c>
      <c r="E198" s="952">
        <v>0</v>
      </c>
      <c r="F198" s="952">
        <v>2.3250000000000002</v>
      </c>
      <c r="G198" s="952">
        <v>2.3250000000000002</v>
      </c>
      <c r="H198" s="952">
        <v>2.3250000000000002</v>
      </c>
      <c r="I198" s="952">
        <v>2.3250000000000002</v>
      </c>
      <c r="J198" s="952">
        <v>5.5830000000000002</v>
      </c>
      <c r="K198" s="952">
        <v>5.5830000000000002</v>
      </c>
      <c r="L198" s="952">
        <v>5.5830000000000002</v>
      </c>
      <c r="M198" s="952">
        <v>5.5830000000000002</v>
      </c>
      <c r="N198" s="952">
        <v>8.0220000000000002</v>
      </c>
      <c r="O198" s="952">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548" t="s">
        <v>37</v>
      </c>
      <c r="B2" s="1549"/>
      <c r="C2" s="1549"/>
      <c r="D2" s="1550"/>
      <c r="E2" s="30"/>
      <c r="F2" s="30"/>
    </row>
    <row r="3" spans="1:6" ht="148.35" customHeight="1" x14ac:dyDescent="0.3">
      <c r="A3" s="19" t="s">
        <v>859</v>
      </c>
      <c r="B3" s="14" t="s">
        <v>858</v>
      </c>
      <c r="C3" s="14" t="s">
        <v>857</v>
      </c>
      <c r="D3" s="23" t="s">
        <v>931</v>
      </c>
    </row>
    <row r="4" spans="1:6" ht="148.35" customHeight="1" x14ac:dyDescent="0.3">
      <c r="A4" s="19" t="s">
        <v>79</v>
      </c>
      <c r="B4" s="14" t="s">
        <v>40</v>
      </c>
      <c r="C4" s="14" t="s">
        <v>915</v>
      </c>
      <c r="D4" s="23" t="s">
        <v>931</v>
      </c>
      <c r="E4" s="14"/>
      <c r="F4" s="14"/>
    </row>
    <row r="5" spans="1:6" ht="61.5" customHeight="1" x14ac:dyDescent="0.3">
      <c r="A5" s="19" t="s">
        <v>73</v>
      </c>
      <c r="B5" s="14" t="s">
        <v>74</v>
      </c>
      <c r="C5" s="32" t="s">
        <v>44</v>
      </c>
      <c r="D5" s="23" t="s">
        <v>931</v>
      </c>
    </row>
    <row r="6" spans="1:6" ht="78" customHeight="1" x14ac:dyDescent="0.3">
      <c r="A6" s="19" t="s">
        <v>45</v>
      </c>
      <c r="B6" s="14" t="s">
        <v>46</v>
      </c>
      <c r="C6" s="14" t="s">
        <v>876</v>
      </c>
      <c r="D6" s="23" t="s">
        <v>931</v>
      </c>
      <c r="E6" s="14"/>
      <c r="F6" s="14"/>
    </row>
    <row r="7" spans="1:6" ht="50.85" customHeight="1" x14ac:dyDescent="0.3">
      <c r="A7" s="19" t="s">
        <v>823</v>
      </c>
      <c r="B7" s="14" t="s">
        <v>833</v>
      </c>
      <c r="C7" s="14" t="s">
        <v>1448</v>
      </c>
      <c r="D7" s="23" t="s">
        <v>928</v>
      </c>
      <c r="E7" s="16"/>
      <c r="F7" s="14"/>
    </row>
    <row r="8" spans="1:6" ht="29.85" customHeight="1" x14ac:dyDescent="0.3">
      <c r="A8" s="19" t="s">
        <v>75</v>
      </c>
      <c r="B8" s="14" t="s">
        <v>76</v>
      </c>
      <c r="C8" s="14" t="s">
        <v>77</v>
      </c>
      <c r="D8" s="23" t="s">
        <v>928</v>
      </c>
      <c r="E8" s="16"/>
      <c r="F8" s="14"/>
    </row>
    <row r="9" spans="1:6" ht="48.6" customHeight="1" x14ac:dyDescent="0.3">
      <c r="A9" s="19" t="s">
        <v>47</v>
      </c>
      <c r="B9" s="14" t="s">
        <v>48</v>
      </c>
      <c r="C9" s="14" t="s">
        <v>850</v>
      </c>
      <c r="D9" s="23" t="s">
        <v>928</v>
      </c>
      <c r="E9" s="16"/>
      <c r="F9" s="14"/>
    </row>
    <row r="10" spans="1:6" ht="22.5" customHeight="1" x14ac:dyDescent="0.3">
      <c r="A10" s="1548" t="s">
        <v>851</v>
      </c>
      <c r="B10" s="1549"/>
      <c r="C10" s="1549"/>
      <c r="D10" s="1550"/>
      <c r="E10" s="16"/>
      <c r="F10" s="14"/>
    </row>
    <row r="11" spans="1:6" ht="22.5" customHeight="1" x14ac:dyDescent="0.3">
      <c r="A11" s="20" t="s">
        <v>75</v>
      </c>
      <c r="B11" s="1561" t="s">
        <v>861</v>
      </c>
      <c r="C11" s="1562"/>
      <c r="D11" s="31"/>
      <c r="E11" s="16"/>
      <c r="F11" s="14"/>
    </row>
    <row r="12" spans="1:6" ht="33" customHeight="1" x14ac:dyDescent="0.3">
      <c r="A12" s="20" t="s">
        <v>860</v>
      </c>
      <c r="B12" s="1554" t="s">
        <v>862</v>
      </c>
      <c r="C12" s="1554"/>
      <c r="D12" s="23"/>
      <c r="E12" s="14"/>
      <c r="F12" s="14"/>
    </row>
    <row r="13" spans="1:6" ht="39.6" customHeight="1" x14ac:dyDescent="0.3">
      <c r="A13" s="18" t="s">
        <v>852</v>
      </c>
      <c r="B13" s="1554" t="s">
        <v>863</v>
      </c>
      <c r="C13" s="1554"/>
      <c r="D13" s="23"/>
    </row>
    <row r="14" spans="1:6" ht="38.85" customHeight="1" x14ac:dyDescent="0.3">
      <c r="A14" s="18" t="s">
        <v>854</v>
      </c>
      <c r="B14" s="1554" t="s">
        <v>855</v>
      </c>
      <c r="C14" s="1554"/>
      <c r="D14" s="23"/>
    </row>
    <row r="15" spans="1:6" ht="20.100000000000001" customHeight="1" x14ac:dyDescent="0.3">
      <c r="A15" s="1551" t="s">
        <v>59</v>
      </c>
      <c r="B15" s="1552"/>
      <c r="C15" s="1552"/>
      <c r="D15" s="1553"/>
    </row>
    <row r="16" spans="1:6" ht="24.6" customHeight="1" x14ac:dyDescent="0.3">
      <c r="A16" s="1555" t="s">
        <v>831</v>
      </c>
      <c r="B16" s="1556"/>
      <c r="C16" s="1557"/>
      <c r="D16" s="23"/>
    </row>
    <row r="17" spans="1:7" ht="101.85" customHeight="1" x14ac:dyDescent="0.3">
      <c r="A17" s="18" t="s">
        <v>60</v>
      </c>
      <c r="B17" s="33" t="s">
        <v>877</v>
      </c>
      <c r="C17" s="33" t="s">
        <v>884</v>
      </c>
      <c r="D17" s="34"/>
      <c r="E17" s="33"/>
      <c r="F17" s="33"/>
      <c r="G17" s="33"/>
    </row>
    <row r="18" spans="1:7" ht="101.1" customHeight="1" x14ac:dyDescent="0.3">
      <c r="A18" s="18" t="s">
        <v>61</v>
      </c>
      <c r="B18" s="33" t="s">
        <v>878</v>
      </c>
      <c r="C18" s="33" t="s">
        <v>879</v>
      </c>
      <c r="D18" s="34"/>
      <c r="E18" s="33"/>
      <c r="F18" s="33"/>
      <c r="G18" s="33"/>
    </row>
    <row r="19" spans="1:7" ht="57.6" customHeight="1" x14ac:dyDescent="0.3">
      <c r="A19" s="18" t="s">
        <v>880</v>
      </c>
      <c r="B19" s="33" t="s">
        <v>881</v>
      </c>
      <c r="C19" s="33" t="s">
        <v>882</v>
      </c>
      <c r="D19" s="34"/>
      <c r="E19" s="33"/>
      <c r="F19" s="33"/>
      <c r="G19" s="33"/>
    </row>
    <row r="20" spans="1:7" ht="37.5" customHeight="1" x14ac:dyDescent="0.3">
      <c r="A20" s="1558" t="s">
        <v>830</v>
      </c>
      <c r="B20" s="1559"/>
      <c r="C20" s="1560"/>
      <c r="D20" s="23"/>
    </row>
    <row r="21" spans="1:7" x14ac:dyDescent="0.3">
      <c r="A21" s="1551" t="s">
        <v>62</v>
      </c>
      <c r="B21" s="1552"/>
      <c r="C21" s="1552"/>
      <c r="D21" s="1553"/>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869</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63" t="s">
        <v>560</v>
      </c>
    </row>
    <row r="2" spans="1:6" ht="20.85" customHeight="1" x14ac:dyDescent="0.35">
      <c r="A2" s="1029" t="s">
        <v>561</v>
      </c>
      <c r="B2" s="1029" t="s">
        <v>562</v>
      </c>
      <c r="C2" s="1029" t="s">
        <v>563</v>
      </c>
      <c r="D2" s="1029" t="s">
        <v>564</v>
      </c>
    </row>
    <row r="3" spans="1:6" x14ac:dyDescent="0.3">
      <c r="A3" s="1030" t="s">
        <v>565</v>
      </c>
      <c r="B3" s="915">
        <f>SUM(B4:B7)</f>
        <v>325</v>
      </c>
      <c r="E3" s="1764" t="s">
        <v>566</v>
      </c>
      <c r="F3" s="1764"/>
    </row>
    <row r="4" spans="1:6" x14ac:dyDescent="0.3">
      <c r="A4" s="798" t="s">
        <v>567</v>
      </c>
      <c r="B4" s="915">
        <v>284</v>
      </c>
      <c r="E4" s="431" t="s">
        <v>51</v>
      </c>
      <c r="F4" s="431" t="s">
        <v>568</v>
      </c>
    </row>
    <row r="5" spans="1:6" x14ac:dyDescent="0.3">
      <c r="A5" s="798" t="s">
        <v>416</v>
      </c>
      <c r="B5" s="915">
        <v>20</v>
      </c>
      <c r="E5" s="163" t="s">
        <v>150</v>
      </c>
      <c r="F5" s="163">
        <f>SUM(B11:B16)</f>
        <v>82</v>
      </c>
    </row>
    <row r="6" spans="1:6" x14ac:dyDescent="0.3">
      <c r="A6" s="798" t="s">
        <v>423</v>
      </c>
      <c r="B6" s="915">
        <v>15</v>
      </c>
      <c r="E6" s="163" t="s">
        <v>49</v>
      </c>
      <c r="F6" s="163">
        <f>B23</f>
        <v>3</v>
      </c>
    </row>
    <row r="7" spans="1:6" x14ac:dyDescent="0.3">
      <c r="A7" s="798" t="s">
        <v>424</v>
      </c>
      <c r="B7" s="915">
        <v>6</v>
      </c>
      <c r="E7" s="163" t="s">
        <v>343</v>
      </c>
      <c r="F7" s="163">
        <f>B27-B28</f>
        <v>29</v>
      </c>
    </row>
    <row r="8" spans="1:6" x14ac:dyDescent="0.3">
      <c r="A8" s="431" t="s">
        <v>569</v>
      </c>
      <c r="B8" s="915">
        <v>121</v>
      </c>
      <c r="E8" s="163" t="s">
        <v>360</v>
      </c>
      <c r="F8" s="163">
        <f>B42</f>
        <v>2</v>
      </c>
    </row>
    <row r="9" spans="1:6" x14ac:dyDescent="0.3">
      <c r="A9" s="1031" t="s">
        <v>570</v>
      </c>
      <c r="B9" s="915">
        <v>166</v>
      </c>
      <c r="E9" s="163" t="s">
        <v>571</v>
      </c>
      <c r="F9" s="163">
        <f>B18+B20+B21</f>
        <v>34</v>
      </c>
    </row>
    <row r="10" spans="1:6" x14ac:dyDescent="0.3">
      <c r="A10" s="1028" t="s">
        <v>572</v>
      </c>
      <c r="B10" s="915">
        <v>82</v>
      </c>
      <c r="E10" s="431" t="s">
        <v>573</v>
      </c>
      <c r="F10" s="431" t="s">
        <v>574</v>
      </c>
    </row>
    <row r="11" spans="1:6" x14ac:dyDescent="0.3">
      <c r="A11" s="798" t="s">
        <v>575</v>
      </c>
      <c r="B11" s="915">
        <v>54</v>
      </c>
      <c r="E11" s="163" t="s">
        <v>316</v>
      </c>
      <c r="F11" s="163">
        <f>B4</f>
        <v>284</v>
      </c>
    </row>
    <row r="12" spans="1:6" x14ac:dyDescent="0.3">
      <c r="A12" s="798" t="s">
        <v>576</v>
      </c>
      <c r="B12" s="915">
        <v>20</v>
      </c>
      <c r="E12" s="163" t="s">
        <v>577</v>
      </c>
      <c r="F12" s="163">
        <f>B5</f>
        <v>20</v>
      </c>
    </row>
    <row r="13" spans="1:6" x14ac:dyDescent="0.3">
      <c r="A13" s="798" t="s">
        <v>578</v>
      </c>
      <c r="B13" s="915">
        <v>4</v>
      </c>
      <c r="E13" s="163" t="s">
        <v>423</v>
      </c>
      <c r="F13" s="163">
        <f>B6</f>
        <v>15</v>
      </c>
    </row>
    <row r="14" spans="1:6" ht="27.6" customHeight="1" x14ac:dyDescent="0.3">
      <c r="A14" s="798" t="s">
        <v>579</v>
      </c>
      <c r="B14" s="915">
        <v>2</v>
      </c>
      <c r="E14" s="225" t="s">
        <v>424</v>
      </c>
      <c r="F14" s="163">
        <f>B7</f>
        <v>6</v>
      </c>
    </row>
    <row r="15" spans="1:6" ht="27.6" customHeight="1" x14ac:dyDescent="0.3">
      <c r="A15" s="798" t="s">
        <v>580</v>
      </c>
      <c r="B15" s="915">
        <v>1</v>
      </c>
      <c r="E15" s="225" t="s">
        <v>581</v>
      </c>
      <c r="F15" s="163">
        <f>B28</f>
        <v>15</v>
      </c>
    </row>
    <row r="16" spans="1:6" x14ac:dyDescent="0.3">
      <c r="A16" s="798" t="s">
        <v>582</v>
      </c>
      <c r="B16" s="915">
        <v>1</v>
      </c>
      <c r="E16" s="163" t="s">
        <v>583</v>
      </c>
      <c r="F16" s="163">
        <f>B37</f>
        <v>12</v>
      </c>
    </row>
    <row r="17" spans="1:6" x14ac:dyDescent="0.3">
      <c r="A17" s="431" t="s">
        <v>584</v>
      </c>
      <c r="B17" s="915">
        <v>72</v>
      </c>
      <c r="E17" s="163" t="s">
        <v>585</v>
      </c>
      <c r="F17" s="163">
        <f>B38</f>
        <v>10</v>
      </c>
    </row>
    <row r="18" spans="1:6" x14ac:dyDescent="0.3">
      <c r="A18" s="798" t="s">
        <v>586</v>
      </c>
      <c r="B18" s="915">
        <v>22</v>
      </c>
      <c r="C18" s="163" t="s">
        <v>587</v>
      </c>
    </row>
    <row r="19" spans="1:6" x14ac:dyDescent="0.3">
      <c r="A19" s="798" t="s">
        <v>588</v>
      </c>
      <c r="B19" s="915">
        <v>20</v>
      </c>
      <c r="C19" s="163" t="s">
        <v>109</v>
      </c>
    </row>
    <row r="20" spans="1:6" x14ac:dyDescent="0.3">
      <c r="A20" s="798" t="s">
        <v>589</v>
      </c>
      <c r="B20" s="915">
        <v>8</v>
      </c>
      <c r="C20" s="163" t="s">
        <v>587</v>
      </c>
    </row>
    <row r="21" spans="1:6" x14ac:dyDescent="0.3">
      <c r="A21" s="798" t="s">
        <v>590</v>
      </c>
      <c r="B21" s="915">
        <v>4</v>
      </c>
      <c r="C21" s="163" t="s">
        <v>51</v>
      </c>
    </row>
    <row r="22" spans="1:6" x14ac:dyDescent="0.3">
      <c r="A22" s="798" t="s">
        <v>591</v>
      </c>
      <c r="B22" s="915">
        <v>4</v>
      </c>
      <c r="C22" s="163" t="s">
        <v>109</v>
      </c>
    </row>
    <row r="23" spans="1:6" x14ac:dyDescent="0.3">
      <c r="A23" s="798" t="s">
        <v>592</v>
      </c>
      <c r="B23" s="915">
        <v>3</v>
      </c>
      <c r="C23" s="163" t="s">
        <v>593</v>
      </c>
    </row>
    <row r="24" spans="1:6" x14ac:dyDescent="0.3">
      <c r="A24" s="798" t="s">
        <v>594</v>
      </c>
      <c r="B24" s="915">
        <v>3</v>
      </c>
      <c r="C24" s="163" t="s">
        <v>595</v>
      </c>
    </row>
    <row r="25" spans="1:6" x14ac:dyDescent="0.3">
      <c r="A25" s="1032" t="s">
        <v>596</v>
      </c>
      <c r="B25" s="915">
        <v>3</v>
      </c>
      <c r="C25" s="163" t="s">
        <v>55</v>
      </c>
    </row>
    <row r="26" spans="1:6" x14ac:dyDescent="0.3">
      <c r="A26" s="798" t="s">
        <v>597</v>
      </c>
      <c r="B26" s="915">
        <v>4</v>
      </c>
      <c r="C26" s="163" t="s">
        <v>598</v>
      </c>
    </row>
    <row r="27" spans="1:6" x14ac:dyDescent="0.3">
      <c r="A27" s="431" t="s">
        <v>343</v>
      </c>
      <c r="B27" s="915">
        <v>44</v>
      </c>
    </row>
    <row r="28" spans="1:6" x14ac:dyDescent="0.3">
      <c r="A28" s="1025" t="s">
        <v>581</v>
      </c>
      <c r="B28" s="1026">
        <v>15</v>
      </c>
    </row>
    <row r="29" spans="1:6" x14ac:dyDescent="0.3">
      <c r="A29" s="798" t="s">
        <v>599</v>
      </c>
      <c r="B29" s="915">
        <v>14</v>
      </c>
    </row>
    <row r="30" spans="1:6" x14ac:dyDescent="0.3">
      <c r="A30" s="798" t="s">
        <v>600</v>
      </c>
      <c r="B30" s="915">
        <v>10</v>
      </c>
    </row>
    <row r="31" spans="1:6" x14ac:dyDescent="0.3">
      <c r="A31" s="798" t="s">
        <v>601</v>
      </c>
      <c r="B31" s="915">
        <v>2</v>
      </c>
    </row>
    <row r="32" spans="1:6" x14ac:dyDescent="0.3">
      <c r="A32" s="798" t="s">
        <v>602</v>
      </c>
      <c r="B32" s="915">
        <v>2</v>
      </c>
    </row>
    <row r="33" spans="1:6" x14ac:dyDescent="0.3">
      <c r="A33" s="798" t="s">
        <v>603</v>
      </c>
      <c r="B33" s="915">
        <v>1</v>
      </c>
    </row>
    <row r="34" spans="1:6" x14ac:dyDescent="0.3">
      <c r="A34" s="431" t="s">
        <v>604</v>
      </c>
      <c r="B34" s="915">
        <v>88</v>
      </c>
    </row>
    <row r="35" spans="1:6" x14ac:dyDescent="0.3">
      <c r="A35" s="1032" t="s">
        <v>605</v>
      </c>
      <c r="B35" s="915">
        <v>26</v>
      </c>
    </row>
    <row r="36" spans="1:6" x14ac:dyDescent="0.3">
      <c r="A36" s="798" t="s">
        <v>606</v>
      </c>
      <c r="B36" s="915">
        <v>25</v>
      </c>
    </row>
    <row r="37" spans="1:6" x14ac:dyDescent="0.3">
      <c r="A37" s="798" t="s">
        <v>583</v>
      </c>
      <c r="B37" s="915">
        <v>12</v>
      </c>
      <c r="C37" s="163" t="s">
        <v>607</v>
      </c>
      <c r="E37" s="163" t="s">
        <v>608</v>
      </c>
      <c r="F37" s="163" t="s">
        <v>609</v>
      </c>
    </row>
    <row r="38" spans="1:6" x14ac:dyDescent="0.3">
      <c r="A38" s="798" t="s">
        <v>585</v>
      </c>
      <c r="B38" s="915">
        <v>10</v>
      </c>
      <c r="C38" s="163" t="s">
        <v>607</v>
      </c>
      <c r="E38" s="163" t="s">
        <v>610</v>
      </c>
      <c r="F38" s="163" t="s">
        <v>611</v>
      </c>
    </row>
    <row r="39" spans="1:6" x14ac:dyDescent="0.3">
      <c r="A39" s="798" t="s">
        <v>612</v>
      </c>
      <c r="B39" s="915">
        <v>7</v>
      </c>
      <c r="C39" s="163" t="s">
        <v>598</v>
      </c>
      <c r="E39" s="163" t="s">
        <v>613</v>
      </c>
      <c r="F39" s="163" t="s">
        <v>614</v>
      </c>
    </row>
    <row r="40" spans="1:6" x14ac:dyDescent="0.3">
      <c r="A40" s="798" t="s">
        <v>615</v>
      </c>
      <c r="B40" s="915">
        <v>5</v>
      </c>
      <c r="C40" s="163" t="s">
        <v>109</v>
      </c>
      <c r="E40" s="163" t="s">
        <v>616</v>
      </c>
    </row>
    <row r="41" spans="1:6" x14ac:dyDescent="0.3">
      <c r="A41" s="798" t="s">
        <v>617</v>
      </c>
      <c r="B41" s="915">
        <v>2</v>
      </c>
      <c r="C41" s="163" t="s">
        <v>598</v>
      </c>
      <c r="E41" s="163" t="s">
        <v>618</v>
      </c>
    </row>
    <row r="42" spans="1:6" x14ac:dyDescent="0.3">
      <c r="A42" s="798" t="s">
        <v>619</v>
      </c>
      <c r="B42" s="915">
        <v>2</v>
      </c>
      <c r="C42" s="163" t="s">
        <v>587</v>
      </c>
      <c r="E42" s="1027" t="s">
        <v>620</v>
      </c>
    </row>
    <row r="43" spans="1:6" x14ac:dyDescent="0.3">
      <c r="A43" s="798" t="s">
        <v>621</v>
      </c>
      <c r="B43" s="915">
        <v>0</v>
      </c>
      <c r="E43" s="163" t="s">
        <v>622</v>
      </c>
    </row>
    <row r="44" spans="1:6" x14ac:dyDescent="0.3">
      <c r="A44" s="431" t="s">
        <v>623</v>
      </c>
      <c r="B44" s="915">
        <v>40</v>
      </c>
    </row>
    <row r="45" spans="1:6" x14ac:dyDescent="0.3">
      <c r="A45" s="1032" t="s">
        <v>624</v>
      </c>
      <c r="B45" s="1033">
        <v>21</v>
      </c>
    </row>
    <row r="46" spans="1:6" x14ac:dyDescent="0.3">
      <c r="A46" s="798" t="s">
        <v>625</v>
      </c>
      <c r="B46" s="915">
        <v>6</v>
      </c>
    </row>
    <row r="47" spans="1:6" x14ac:dyDescent="0.3">
      <c r="A47" s="1032" t="s">
        <v>626</v>
      </c>
      <c r="B47" s="1033">
        <v>4</v>
      </c>
    </row>
    <row r="48" spans="1:6" x14ac:dyDescent="0.3">
      <c r="A48" s="798" t="s">
        <v>627</v>
      </c>
      <c r="B48" s="915">
        <v>4</v>
      </c>
    </row>
    <row r="49" spans="1:2" x14ac:dyDescent="0.3">
      <c r="A49" s="1032" t="s">
        <v>628</v>
      </c>
      <c r="B49" s="1033">
        <v>3</v>
      </c>
    </row>
    <row r="50" spans="1:2" x14ac:dyDescent="0.3">
      <c r="A50" s="798" t="s">
        <v>629</v>
      </c>
      <c r="B50" s="9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837</v>
      </c>
      <c r="I1" s="1765"/>
      <c r="J1" s="1765"/>
      <c r="K1" s="1765"/>
    </row>
    <row r="2" spans="1:62" ht="13.35" customHeight="1" x14ac:dyDescent="0.3">
      <c r="A2" s="1046"/>
      <c r="O2" s="1073" t="s">
        <v>801</v>
      </c>
      <c r="P2" s="1771" t="s">
        <v>630</v>
      </c>
      <c r="Q2" s="1771"/>
      <c r="R2" s="1771"/>
      <c r="S2" s="1771"/>
      <c r="T2" s="1076"/>
      <c r="U2" s="1076"/>
      <c r="V2" s="1076"/>
      <c r="W2" s="1076"/>
      <c r="X2" s="1076"/>
      <c r="Y2" s="1766" t="s">
        <v>631</v>
      </c>
      <c r="Z2" s="1767"/>
      <c r="AA2" s="1767"/>
      <c r="AB2" s="1767"/>
      <c r="AC2" s="1767"/>
      <c r="AD2" s="1767"/>
      <c r="AE2" s="1076"/>
      <c r="AF2" s="1076"/>
      <c r="AG2" s="1768" t="s">
        <v>632</v>
      </c>
      <c r="AH2" s="1767"/>
      <c r="AI2" s="1767"/>
      <c r="AJ2" s="1770" t="s">
        <v>633</v>
      </c>
      <c r="AK2" s="1770"/>
      <c r="AL2" s="1770"/>
      <c r="AM2" s="1770"/>
      <c r="AN2" s="1770"/>
      <c r="AO2" s="1770"/>
      <c r="AP2" s="1770"/>
      <c r="AQ2" s="1770"/>
      <c r="AR2" s="1770"/>
      <c r="AS2" s="1770"/>
      <c r="AT2" s="1077"/>
      <c r="AU2" s="1769" t="s">
        <v>386</v>
      </c>
      <c r="AV2" s="1769"/>
      <c r="AW2" s="1769"/>
      <c r="AX2" s="1769"/>
      <c r="AY2" s="1769"/>
      <c r="AZ2" s="1769"/>
      <c r="BA2" s="1769"/>
      <c r="BB2" s="1057"/>
      <c r="BC2" s="1057"/>
      <c r="BD2" s="1057"/>
      <c r="BE2" s="1057"/>
      <c r="BF2" s="1057"/>
      <c r="BG2" s="1057"/>
      <c r="BH2" s="1057"/>
      <c r="BI2" s="1057"/>
      <c r="BJ2" s="1063" t="s">
        <v>634</v>
      </c>
    </row>
    <row r="3" spans="1:62" ht="43.35" customHeight="1" x14ac:dyDescent="0.3">
      <c r="A3" s="1047"/>
      <c r="B3" s="1047"/>
      <c r="C3" s="1047"/>
      <c r="D3" s="1047"/>
      <c r="E3" s="1047"/>
      <c r="F3" s="1047"/>
      <c r="G3" s="1047"/>
      <c r="H3" s="1047"/>
      <c r="I3" s="1047"/>
      <c r="J3" s="1047"/>
      <c r="K3" s="1047"/>
      <c r="L3" s="1047"/>
      <c r="M3" s="1047"/>
      <c r="N3" s="1047"/>
      <c r="O3" s="1074" t="s">
        <v>635</v>
      </c>
      <c r="P3" s="1056" t="s">
        <v>636</v>
      </c>
      <c r="Q3" s="1056" t="s">
        <v>637</v>
      </c>
      <c r="R3" s="1056" t="s">
        <v>638</v>
      </c>
      <c r="S3" s="1056" t="s">
        <v>639</v>
      </c>
      <c r="T3" s="1056" t="s">
        <v>640</v>
      </c>
      <c r="U3" s="1056" t="s">
        <v>641</v>
      </c>
      <c r="V3" s="1056" t="s">
        <v>642</v>
      </c>
      <c r="W3" s="1056" t="s">
        <v>643</v>
      </c>
      <c r="X3" s="1056" t="s">
        <v>644</v>
      </c>
      <c r="Y3" s="1056" t="s">
        <v>645</v>
      </c>
      <c r="Z3" s="1056"/>
      <c r="AA3" s="1056"/>
      <c r="AB3" s="1056"/>
      <c r="AC3" s="1056" t="s">
        <v>646</v>
      </c>
      <c r="AD3" s="1056" t="s">
        <v>647</v>
      </c>
      <c r="AE3" s="1056" t="s">
        <v>648</v>
      </c>
      <c r="AF3" s="1056" t="s">
        <v>649</v>
      </c>
      <c r="AG3" s="1056" t="s">
        <v>650</v>
      </c>
      <c r="AH3" s="1056" t="s">
        <v>651</v>
      </c>
      <c r="AI3" s="1056" t="s">
        <v>652</v>
      </c>
      <c r="AJ3" s="1056" t="s">
        <v>653</v>
      </c>
      <c r="AK3" s="1056" t="s">
        <v>654</v>
      </c>
      <c r="AL3" s="1056" t="s">
        <v>655</v>
      </c>
      <c r="AM3" s="1056" t="s">
        <v>656</v>
      </c>
      <c r="AN3" s="1056" t="s">
        <v>657</v>
      </c>
      <c r="AO3" s="1056" t="s">
        <v>658</v>
      </c>
      <c r="AP3" s="1056" t="s">
        <v>659</v>
      </c>
      <c r="AQ3" s="1069" t="s">
        <v>660</v>
      </c>
      <c r="AR3" s="1056" t="s">
        <v>661</v>
      </c>
      <c r="AS3" s="1056" t="s">
        <v>662</v>
      </c>
      <c r="AT3" s="1056" t="s">
        <v>663</v>
      </c>
      <c r="AU3" s="1056" t="s">
        <v>664</v>
      </c>
      <c r="AV3" s="1056" t="s">
        <v>665</v>
      </c>
      <c r="AW3" s="1056" t="s">
        <v>666</v>
      </c>
      <c r="AX3" s="1056" t="s">
        <v>667</v>
      </c>
      <c r="AY3" s="1056" t="s">
        <v>668</v>
      </c>
      <c r="AZ3" s="1056" t="s">
        <v>669</v>
      </c>
      <c r="BA3" s="1056" t="s">
        <v>646</v>
      </c>
      <c r="BB3" s="1064" t="s">
        <v>670</v>
      </c>
      <c r="BC3" s="1064" t="s">
        <v>671</v>
      </c>
      <c r="BD3" s="1064" t="s">
        <v>672</v>
      </c>
      <c r="BE3" s="1064" t="s">
        <v>673</v>
      </c>
      <c r="BF3" s="1064" t="s">
        <v>674</v>
      </c>
      <c r="BG3" s="1064" t="s">
        <v>675</v>
      </c>
      <c r="BH3" s="1064" t="s">
        <v>676</v>
      </c>
      <c r="BI3" s="1064" t="s">
        <v>677</v>
      </c>
      <c r="BJ3" s="1058" t="s">
        <v>678</v>
      </c>
    </row>
    <row r="4" spans="1:62" ht="63" customHeight="1" x14ac:dyDescent="0.3">
      <c r="A4" s="1067" t="s">
        <v>679</v>
      </c>
      <c r="B4" s="1046" t="s">
        <v>56</v>
      </c>
      <c r="C4" s="1046" t="s">
        <v>680</v>
      </c>
      <c r="D4" s="1046" t="s">
        <v>550</v>
      </c>
      <c r="E4" s="1046" t="s">
        <v>681</v>
      </c>
      <c r="F4" s="1046" t="s">
        <v>682</v>
      </c>
      <c r="G4" s="1046" t="s">
        <v>683</v>
      </c>
      <c r="H4" s="1046" t="s">
        <v>131</v>
      </c>
      <c r="I4" s="1053" t="s">
        <v>348</v>
      </c>
      <c r="J4" s="1053" t="s">
        <v>150</v>
      </c>
      <c r="K4" s="1053" t="s">
        <v>684</v>
      </c>
      <c r="L4" s="1051" t="s">
        <v>159</v>
      </c>
      <c r="M4" s="1046" t="s">
        <v>109</v>
      </c>
      <c r="N4" s="1046" t="s">
        <v>685</v>
      </c>
      <c r="O4" s="1075" t="s">
        <v>686</v>
      </c>
      <c r="P4" s="1064" t="s">
        <v>687</v>
      </c>
      <c r="Q4" s="1064" t="s">
        <v>688</v>
      </c>
      <c r="R4" s="1064" t="s">
        <v>689</v>
      </c>
      <c r="S4" s="1064" t="s">
        <v>690</v>
      </c>
      <c r="T4" s="1064" t="s">
        <v>691</v>
      </c>
      <c r="U4" s="1064" t="s">
        <v>692</v>
      </c>
      <c r="V4" s="1064" t="s">
        <v>693</v>
      </c>
      <c r="W4" s="1064" t="s">
        <v>694</v>
      </c>
      <c r="X4" s="1064" t="s">
        <v>695</v>
      </c>
      <c r="Y4" s="1064" t="s">
        <v>696</v>
      </c>
      <c r="Z4" s="1064" t="s">
        <v>697</v>
      </c>
      <c r="AA4" s="1064" t="s">
        <v>698</v>
      </c>
      <c r="AB4" s="1064" t="s">
        <v>699</v>
      </c>
      <c r="AC4" s="1064" t="s">
        <v>700</v>
      </c>
      <c r="AD4" s="1064" t="s">
        <v>701</v>
      </c>
      <c r="AE4" s="1064" t="s">
        <v>702</v>
      </c>
      <c r="AF4" s="1064" t="s">
        <v>703</v>
      </c>
      <c r="AG4" s="1064" t="s">
        <v>210</v>
      </c>
      <c r="AH4" s="1064" t="s">
        <v>211</v>
      </c>
      <c r="AI4" s="1064" t="s">
        <v>704</v>
      </c>
      <c r="AJ4" s="1064" t="s">
        <v>705</v>
      </c>
      <c r="AK4" s="1064" t="s">
        <v>706</v>
      </c>
      <c r="AL4" s="1064" t="s">
        <v>707</v>
      </c>
      <c r="AM4" s="1064" t="s">
        <v>708</v>
      </c>
      <c r="AN4" s="1064" t="s">
        <v>709</v>
      </c>
      <c r="AO4" s="1064" t="s">
        <v>710</v>
      </c>
      <c r="AP4" s="1064" t="s">
        <v>711</v>
      </c>
      <c r="AQ4" s="1065" t="s">
        <v>712</v>
      </c>
      <c r="AR4" s="1064" t="s">
        <v>713</v>
      </c>
      <c r="AS4" s="1064" t="s">
        <v>714</v>
      </c>
      <c r="AT4" s="1064" t="s">
        <v>715</v>
      </c>
      <c r="AU4" s="1064" t="s">
        <v>716</v>
      </c>
      <c r="AV4" s="1064" t="s">
        <v>717</v>
      </c>
      <c r="AW4" s="1064" t="s">
        <v>718</v>
      </c>
      <c r="AX4" s="1064" t="s">
        <v>719</v>
      </c>
      <c r="AY4" s="1064" t="s">
        <v>720</v>
      </c>
      <c r="AZ4" s="1064" t="s">
        <v>721</v>
      </c>
      <c r="BA4" s="1064"/>
      <c r="BB4" s="1064" t="s">
        <v>428</v>
      </c>
      <c r="BC4" s="1064" t="s">
        <v>722</v>
      </c>
      <c r="BD4" s="1064" t="s">
        <v>723</v>
      </c>
      <c r="BE4" s="1064" t="s">
        <v>724</v>
      </c>
      <c r="BF4" s="1064" t="s">
        <v>725</v>
      </c>
      <c r="BG4" s="1064" t="s">
        <v>726</v>
      </c>
      <c r="BH4" s="1064" t="s">
        <v>727</v>
      </c>
      <c r="BI4" s="1064" t="s">
        <v>728</v>
      </c>
      <c r="BJ4" s="1066" t="s">
        <v>729</v>
      </c>
    </row>
    <row r="5" spans="1:62" x14ac:dyDescent="0.3">
      <c r="A5" s="1048">
        <v>2021</v>
      </c>
      <c r="B5" s="1050">
        <f>Q5</f>
        <v>394.202</v>
      </c>
      <c r="C5" s="1050">
        <f>SUM(Y5:AB5)</f>
        <v>195.7</v>
      </c>
      <c r="D5" s="1050">
        <f>T5</f>
        <v>18.823</v>
      </c>
      <c r="E5" s="1050">
        <f>SUM(P5:S5)-B5</f>
        <v>0.77600000000001046</v>
      </c>
      <c r="F5" s="1050">
        <f>SUM(T5:AF5)-C5-L5-D5 - 28</f>
        <v>19.722000000000016</v>
      </c>
      <c r="G5" s="1050">
        <f>SUM(BB5:BI5)-BC5</f>
        <v>81.642999999999986</v>
      </c>
      <c r="H5" s="1050">
        <f>SUM(AG5:AI5)</f>
        <v>7.798</v>
      </c>
      <c r="I5" s="1050">
        <f>AJ5</f>
        <v>283.95749999999998</v>
      </c>
      <c r="J5" s="1050">
        <f>AL5</f>
        <v>12.347</v>
      </c>
      <c r="K5" s="1050">
        <f>SUM(AM5:AT5)</f>
        <v>29.628</v>
      </c>
      <c r="L5" s="1054">
        <f>103/4</f>
        <v>25.75</v>
      </c>
      <c r="M5" s="1050">
        <f t="shared" ref="M5:M16" si="0">SUM(AU5:BA5)</f>
        <v>31.939</v>
      </c>
      <c r="N5" s="1050">
        <f>AK5</f>
        <v>3.4</v>
      </c>
      <c r="O5" s="1078">
        <v>50</v>
      </c>
      <c r="P5" s="1071">
        <v>0.55000000000000004</v>
      </c>
      <c r="Q5" s="1072">
        <v>394.202</v>
      </c>
      <c r="R5" s="1080">
        <v>0.14599999999999999</v>
      </c>
      <c r="S5" s="1080">
        <v>0.08</v>
      </c>
      <c r="T5" s="1080">
        <v>18.823</v>
      </c>
      <c r="U5" s="1072">
        <v>19</v>
      </c>
      <c r="V5" s="1080">
        <v>11.481999999999999</v>
      </c>
      <c r="W5" s="1043">
        <v>1.5580000000000001</v>
      </c>
      <c r="X5" s="1043">
        <v>0.74</v>
      </c>
      <c r="Y5" s="1072">
        <v>0.2</v>
      </c>
      <c r="Z5" s="1072">
        <v>43.1</v>
      </c>
      <c r="AA5" s="1072">
        <v>33.9</v>
      </c>
      <c r="AB5" s="1072">
        <v>118.5</v>
      </c>
      <c r="AC5" s="1072">
        <v>28</v>
      </c>
      <c r="AD5" s="1043">
        <v>-2.0379999999999998</v>
      </c>
      <c r="AE5" s="1072">
        <v>14.31</v>
      </c>
      <c r="AF5" s="1080">
        <v>0.42</v>
      </c>
      <c r="AG5" s="1080">
        <v>7.7279999999999998</v>
      </c>
      <c r="AH5" s="1072">
        <v>7.0000000000000007E-2</v>
      </c>
      <c r="AI5" s="1072">
        <v>0</v>
      </c>
      <c r="AJ5" s="1072">
        <v>283.95749999999998</v>
      </c>
      <c r="AK5" s="1070">
        <v>3.4</v>
      </c>
      <c r="AL5" s="1070">
        <v>12.347</v>
      </c>
      <c r="AM5" s="1081">
        <v>0.28599999999999998</v>
      </c>
      <c r="AN5" s="1070">
        <v>2</v>
      </c>
      <c r="AO5" s="1072">
        <v>0.81</v>
      </c>
      <c r="AP5" s="1070">
        <v>0.52100000000000002</v>
      </c>
      <c r="AQ5" s="1082">
        <v>10</v>
      </c>
      <c r="AR5" s="1070">
        <v>2.7</v>
      </c>
      <c r="AS5" s="1070">
        <v>0.751</v>
      </c>
      <c r="AT5" s="1072">
        <v>12.56</v>
      </c>
      <c r="AU5" s="1072">
        <v>0</v>
      </c>
      <c r="AV5" s="1070">
        <v>1.415</v>
      </c>
      <c r="AW5" s="1070">
        <v>10.51</v>
      </c>
      <c r="AX5" s="1070">
        <v>2.6</v>
      </c>
      <c r="AY5" s="1072">
        <v>-0.33</v>
      </c>
      <c r="AZ5" s="1070">
        <v>17.744</v>
      </c>
      <c r="BA5" s="1072">
        <v>0</v>
      </c>
      <c r="BB5" s="1070">
        <v>4.0999999999999996</v>
      </c>
      <c r="BC5" s="1070">
        <v>7.25</v>
      </c>
      <c r="BD5" s="1070">
        <v>48.4</v>
      </c>
      <c r="BE5" s="1080">
        <v>0.83</v>
      </c>
      <c r="BF5" s="1043">
        <v>4.5110000000000001</v>
      </c>
      <c r="BG5" s="1072">
        <v>3.0739999999999998</v>
      </c>
      <c r="BH5" s="1034">
        <v>-0.28399999999999997</v>
      </c>
      <c r="BI5" s="1070">
        <v>21.012</v>
      </c>
      <c r="BJ5" s="1059">
        <v>1.1599999999999999</v>
      </c>
    </row>
    <row r="6" spans="1:62" x14ac:dyDescent="0.3">
      <c r="A6" s="1048">
        <v>2022</v>
      </c>
      <c r="B6" s="1050">
        <f t="shared" ref="B6:B15" si="1">Q6</f>
        <v>17.465</v>
      </c>
      <c r="C6" s="1050">
        <f t="shared" ref="C6:C15" si="2">SUM(Y6:AB6)</f>
        <v>10.1</v>
      </c>
      <c r="D6" s="1050">
        <f t="shared" ref="D6:D15" si="3">T6</f>
        <v>2.5950000000000002</v>
      </c>
      <c r="E6" s="1050">
        <f t="shared" ref="E6:E15" si="4">SUM(P6:S6)-B6</f>
        <v>19.719000000000005</v>
      </c>
      <c r="F6" s="1050">
        <f>SUM(T6:AF6)-C6-L6-D6</f>
        <v>52.756999999999998</v>
      </c>
      <c r="G6" s="1050">
        <f t="shared" ref="G6:G16" si="5">SUM(BB6:BI6)-BC6</f>
        <v>110.24799999999999</v>
      </c>
      <c r="H6" s="1050">
        <f t="shared" ref="H6:H15" si="6">SUM(AG6:AI6)</f>
        <v>7.9489999999999998</v>
      </c>
      <c r="I6" s="1050">
        <f t="shared" ref="I6:I15" si="7">AJ6</f>
        <v>77.092500000000001</v>
      </c>
      <c r="J6" s="1050">
        <f t="shared" ref="J6:J15" si="8">AL6</f>
        <v>46.79</v>
      </c>
      <c r="K6" s="1050">
        <f t="shared" ref="K6:K16" si="9">SUM(AM6:AT6)</f>
        <v>35.671000000000006</v>
      </c>
      <c r="L6" s="1054">
        <v>0</v>
      </c>
      <c r="M6" s="1050">
        <f t="shared" si="0"/>
        <v>56.412999999999997</v>
      </c>
      <c r="N6" s="1050">
        <f t="shared" ref="N6:N15" si="10">AK6</f>
        <v>5.0999999999999996</v>
      </c>
      <c r="O6" s="1078">
        <v>55</v>
      </c>
      <c r="P6" s="1071">
        <v>15.61</v>
      </c>
      <c r="Q6" s="1072">
        <v>17.465</v>
      </c>
      <c r="R6" s="1080">
        <v>0.317</v>
      </c>
      <c r="S6" s="1080">
        <v>3.7919999999999998</v>
      </c>
      <c r="T6" s="1072">
        <v>2.5950000000000002</v>
      </c>
      <c r="U6" s="1070">
        <v>14.5</v>
      </c>
      <c r="V6" s="1072">
        <v>25.070999999999998</v>
      </c>
      <c r="W6" s="1043">
        <v>1.952</v>
      </c>
      <c r="X6" s="1043">
        <v>0.61399999999999999</v>
      </c>
      <c r="Y6" s="1070">
        <v>0</v>
      </c>
      <c r="Z6" s="1070">
        <v>2.2999999999999998</v>
      </c>
      <c r="AA6" s="1070">
        <v>1.6</v>
      </c>
      <c r="AB6" s="1070">
        <v>6.2</v>
      </c>
      <c r="AC6" s="1072">
        <v>0</v>
      </c>
      <c r="AD6" s="1072">
        <v>1.31</v>
      </c>
      <c r="AE6" s="1072">
        <v>8.61</v>
      </c>
      <c r="AF6" s="1072">
        <v>0.7</v>
      </c>
      <c r="AG6" s="1080">
        <v>7.782</v>
      </c>
      <c r="AH6" s="1072">
        <v>0.12</v>
      </c>
      <c r="AI6" s="1072">
        <v>4.7E-2</v>
      </c>
      <c r="AJ6" s="1072">
        <v>77.092500000000001</v>
      </c>
      <c r="AK6" s="1070">
        <v>5.0999999999999996</v>
      </c>
      <c r="AL6" s="1070">
        <v>46.79</v>
      </c>
      <c r="AM6" s="1034">
        <v>0.30499999999999999</v>
      </c>
      <c r="AN6" s="1070">
        <v>4.3</v>
      </c>
      <c r="AO6" s="1043">
        <v>1.1000000000000001</v>
      </c>
      <c r="AP6" s="1070">
        <v>1.575</v>
      </c>
      <c r="AQ6" s="1082">
        <v>10</v>
      </c>
      <c r="AR6" s="1070">
        <v>4.5</v>
      </c>
      <c r="AS6" s="1070">
        <v>1.9810000000000001</v>
      </c>
      <c r="AT6" s="1072">
        <v>11.91</v>
      </c>
      <c r="AU6" s="1072">
        <v>0</v>
      </c>
      <c r="AV6" s="1070">
        <v>3.927</v>
      </c>
      <c r="AW6" s="1070">
        <v>4.2880000000000003</v>
      </c>
      <c r="AX6" s="1070">
        <v>3.7</v>
      </c>
      <c r="AY6" s="1072">
        <v>-1.34</v>
      </c>
      <c r="AZ6" s="1070">
        <v>45.838000000000001</v>
      </c>
      <c r="BA6" s="1072">
        <v>0</v>
      </c>
      <c r="BB6" s="1070">
        <v>11.3</v>
      </c>
      <c r="BC6" s="1070">
        <v>0</v>
      </c>
      <c r="BD6" s="1070">
        <v>1.1000000000000001</v>
      </c>
      <c r="BE6" s="1080">
        <v>1.75</v>
      </c>
      <c r="BF6" s="1043">
        <v>1.7330000000000001</v>
      </c>
      <c r="BG6" s="1043">
        <v>7.1440000000000001</v>
      </c>
      <c r="BH6" s="1035">
        <v>81.608999999999995</v>
      </c>
      <c r="BI6" s="1070">
        <v>5.6120000000000001</v>
      </c>
      <c r="BJ6" s="1059">
        <v>4.2</v>
      </c>
    </row>
    <row r="7" spans="1:62" x14ac:dyDescent="0.3">
      <c r="A7" s="1048">
        <v>2023</v>
      </c>
      <c r="B7" s="1050">
        <f t="shared" si="1"/>
        <v>0.48599999999999999</v>
      </c>
      <c r="C7" s="1050">
        <f t="shared" si="2"/>
        <v>0</v>
      </c>
      <c r="D7" s="1050">
        <f t="shared" si="3"/>
        <v>0.93700000000000006</v>
      </c>
      <c r="E7" s="1050">
        <f t="shared" si="4"/>
        <v>1.4159999999999999</v>
      </c>
      <c r="F7" s="1050">
        <f t="shared" ref="F7:F15" si="11">SUM(T7:AF7)-C7-L7-D7</f>
        <v>12</v>
      </c>
      <c r="G7" s="1050">
        <f t="shared" si="5"/>
        <v>12.726000000000001</v>
      </c>
      <c r="H7" s="1050">
        <f t="shared" si="6"/>
        <v>4.7519999999999998</v>
      </c>
      <c r="I7" s="1050">
        <f t="shared" si="7"/>
        <v>1</v>
      </c>
      <c r="J7" s="1050">
        <f t="shared" si="8"/>
        <v>38.595999999999997</v>
      </c>
      <c r="K7" s="1050">
        <f t="shared" si="9"/>
        <v>24.216000000000001</v>
      </c>
      <c r="L7" s="1054">
        <v>0</v>
      </c>
      <c r="M7" s="1050">
        <f t="shared" si="0"/>
        <v>15.652999999999999</v>
      </c>
      <c r="N7" s="1050">
        <f t="shared" si="10"/>
        <v>0</v>
      </c>
      <c r="O7" s="1078">
        <v>0.7</v>
      </c>
      <c r="P7" s="1071">
        <v>0.96</v>
      </c>
      <c r="Q7" s="1072">
        <v>0.48599999999999999</v>
      </c>
      <c r="R7" s="1080">
        <v>0.45600000000000002</v>
      </c>
      <c r="S7" s="1072">
        <v>0</v>
      </c>
      <c r="T7" s="1036">
        <v>0.93700000000000006</v>
      </c>
      <c r="U7" s="1070">
        <v>3</v>
      </c>
      <c r="V7" s="1080">
        <v>7.891</v>
      </c>
      <c r="W7" s="1043">
        <v>0.61699999999999999</v>
      </c>
      <c r="X7" s="1043">
        <v>8.4000000000000005E-2</v>
      </c>
      <c r="Y7" s="1070">
        <v>0</v>
      </c>
      <c r="Z7" s="1070">
        <v>0</v>
      </c>
      <c r="AA7" s="1070">
        <v>0</v>
      </c>
      <c r="AB7" s="1070">
        <v>0</v>
      </c>
      <c r="AC7" s="1072">
        <v>0</v>
      </c>
      <c r="AD7" s="1072">
        <v>0.318</v>
      </c>
      <c r="AE7" s="1080">
        <v>-0.11000000000000001</v>
      </c>
      <c r="AF7" s="1072">
        <v>0.2</v>
      </c>
      <c r="AG7" s="1080">
        <v>4.6749999999999998</v>
      </c>
      <c r="AH7" s="1072">
        <v>0.06</v>
      </c>
      <c r="AI7" s="1072">
        <v>1.7000000000000001E-2</v>
      </c>
      <c r="AJ7" s="1072">
        <v>1</v>
      </c>
      <c r="AK7" s="1070">
        <v>0</v>
      </c>
      <c r="AL7" s="1070">
        <v>38.595999999999997</v>
      </c>
      <c r="AM7" s="1072">
        <v>0.14899999999999999</v>
      </c>
      <c r="AN7" s="1070">
        <v>1.2</v>
      </c>
      <c r="AO7" s="1043">
        <v>0.53</v>
      </c>
      <c r="AP7" s="1070">
        <v>0.38100000000000001</v>
      </c>
      <c r="AQ7" s="1082">
        <v>8</v>
      </c>
      <c r="AR7" s="1070">
        <v>4.5</v>
      </c>
      <c r="AS7" s="1070">
        <v>0.76600000000000001</v>
      </c>
      <c r="AT7" s="1072">
        <v>8.69</v>
      </c>
      <c r="AU7" s="1072">
        <v>0</v>
      </c>
      <c r="AV7" s="1070">
        <v>1.93</v>
      </c>
      <c r="AW7" s="1070">
        <v>1.4379999999999999</v>
      </c>
      <c r="AX7" s="1070">
        <v>2.6</v>
      </c>
      <c r="AY7" s="1043">
        <v>-2.48</v>
      </c>
      <c r="AZ7" s="1070">
        <v>12.164999999999999</v>
      </c>
      <c r="BA7" s="1043">
        <v>0</v>
      </c>
      <c r="BB7" s="1070">
        <v>8.4</v>
      </c>
      <c r="BC7" s="1070">
        <v>0</v>
      </c>
      <c r="BD7" s="1070">
        <v>0.3</v>
      </c>
      <c r="BE7" s="1080">
        <v>1.8</v>
      </c>
      <c r="BF7" s="1043">
        <v>0</v>
      </c>
      <c r="BG7" s="1043">
        <v>0</v>
      </c>
      <c r="BH7" s="1034">
        <v>1.3759999999999999</v>
      </c>
      <c r="BI7" s="1070">
        <v>0.85</v>
      </c>
      <c r="BJ7" s="1059">
        <v>2.7</v>
      </c>
    </row>
    <row r="8" spans="1:62" x14ac:dyDescent="0.3">
      <c r="A8" s="1048">
        <v>2024</v>
      </c>
      <c r="B8" s="1050">
        <f t="shared" si="1"/>
        <v>0</v>
      </c>
      <c r="C8" s="1050">
        <f t="shared" si="2"/>
        <v>0</v>
      </c>
      <c r="D8" s="1050">
        <f t="shared" si="3"/>
        <v>0.16</v>
      </c>
      <c r="E8" s="1050">
        <f t="shared" si="4"/>
        <v>1.4790000000000001</v>
      </c>
      <c r="F8" s="1050">
        <f t="shared" si="11"/>
        <v>4.2219999999999995</v>
      </c>
      <c r="G8" s="1050">
        <f t="shared" si="5"/>
        <v>1.365</v>
      </c>
      <c r="H8" s="1050">
        <f t="shared" si="6"/>
        <v>4.637999999999999</v>
      </c>
      <c r="I8" s="1050">
        <f t="shared" si="7"/>
        <v>0</v>
      </c>
      <c r="J8" s="1050">
        <f t="shared" si="8"/>
        <v>31.911000000000001</v>
      </c>
      <c r="K8" s="1050">
        <f t="shared" si="9"/>
        <v>9.6430000000000007</v>
      </c>
      <c r="L8" s="1054">
        <v>0</v>
      </c>
      <c r="M8" s="1050">
        <f t="shared" si="0"/>
        <v>3.9320000000000004</v>
      </c>
      <c r="N8" s="1050">
        <f t="shared" si="10"/>
        <v>0</v>
      </c>
      <c r="O8" s="1078">
        <v>0.7</v>
      </c>
      <c r="P8" s="1071">
        <v>0.96</v>
      </c>
      <c r="Q8" s="1070">
        <v>0</v>
      </c>
      <c r="R8" s="1080">
        <v>0.51900000000000002</v>
      </c>
      <c r="S8" s="1072">
        <v>0</v>
      </c>
      <c r="T8" s="1037">
        <v>0.16</v>
      </c>
      <c r="U8" s="1070">
        <v>2.8</v>
      </c>
      <c r="V8" s="1072">
        <v>0.504</v>
      </c>
      <c r="W8" s="1043">
        <v>0.47199999999999998</v>
      </c>
      <c r="X8" s="1043">
        <v>2E-3</v>
      </c>
      <c r="Y8" s="1070">
        <v>0</v>
      </c>
      <c r="Z8" s="1070">
        <v>0</v>
      </c>
      <c r="AA8" s="1070">
        <v>0</v>
      </c>
      <c r="AB8" s="1070">
        <v>0</v>
      </c>
      <c r="AC8" s="1072">
        <v>0</v>
      </c>
      <c r="AD8" s="1072">
        <v>0.34399999999999997</v>
      </c>
      <c r="AE8" s="1080">
        <v>0</v>
      </c>
      <c r="AF8" s="1080">
        <v>0.1</v>
      </c>
      <c r="AG8" s="1080">
        <v>4.5739999999999998</v>
      </c>
      <c r="AH8" s="1072">
        <v>0.06</v>
      </c>
      <c r="AI8" s="1072">
        <v>4.0000000000000001E-3</v>
      </c>
      <c r="AJ8" s="1072">
        <v>0</v>
      </c>
      <c r="AK8" s="1070">
        <v>0</v>
      </c>
      <c r="AL8" s="1070">
        <v>31.911000000000001</v>
      </c>
      <c r="AM8" s="1072">
        <v>4.1000000000000002E-2</v>
      </c>
      <c r="AN8" s="1070">
        <v>0.4</v>
      </c>
      <c r="AO8" s="1043">
        <v>0.41</v>
      </c>
      <c r="AP8" s="1070">
        <v>0.13100000000000001</v>
      </c>
      <c r="AQ8" s="1082">
        <v>0</v>
      </c>
      <c r="AR8" s="1070">
        <v>3</v>
      </c>
      <c r="AS8" s="1070">
        <v>0.30099999999999999</v>
      </c>
      <c r="AT8" s="1043">
        <v>5.36</v>
      </c>
      <c r="AU8" s="1072">
        <v>0</v>
      </c>
      <c r="AV8" s="1070">
        <v>0.79600000000000004</v>
      </c>
      <c r="AW8" s="1070">
        <v>0.27500000000000002</v>
      </c>
      <c r="AX8" s="1070">
        <v>1</v>
      </c>
      <c r="AY8" s="1043">
        <v>-2.6</v>
      </c>
      <c r="AZ8" s="1070">
        <v>4.4610000000000003</v>
      </c>
      <c r="BA8" s="1043">
        <v>0</v>
      </c>
      <c r="BB8" s="1070">
        <v>0.2</v>
      </c>
      <c r="BC8" s="1070">
        <v>0</v>
      </c>
      <c r="BD8" s="1070">
        <v>0</v>
      </c>
      <c r="BE8" s="1080">
        <v>1.95</v>
      </c>
      <c r="BF8" s="1043">
        <v>0</v>
      </c>
      <c r="BG8" s="1043">
        <v>0</v>
      </c>
      <c r="BH8" s="1034">
        <v>-0.875</v>
      </c>
      <c r="BI8" s="1070">
        <v>0.09</v>
      </c>
      <c r="BJ8" s="1060">
        <v>0.87</v>
      </c>
    </row>
    <row r="9" spans="1:62" x14ac:dyDescent="0.3">
      <c r="A9" s="1048">
        <v>2025</v>
      </c>
      <c r="B9" s="1050">
        <f t="shared" si="1"/>
        <v>0</v>
      </c>
      <c r="C9" s="1050">
        <f t="shared" si="2"/>
        <v>0</v>
      </c>
      <c r="D9" s="1050">
        <f t="shared" si="3"/>
        <v>3.3000000000000002E-2</v>
      </c>
      <c r="E9" s="1050">
        <f t="shared" si="4"/>
        <v>1.63</v>
      </c>
      <c r="F9" s="1050">
        <f t="shared" si="11"/>
        <v>2.3719999999999999</v>
      </c>
      <c r="G9" s="1050">
        <f t="shared" si="5"/>
        <v>-0.90100000000000025</v>
      </c>
      <c r="H9" s="1050">
        <f t="shared" si="6"/>
        <v>1.8800000000000001</v>
      </c>
      <c r="I9" s="1050">
        <f t="shared" si="7"/>
        <v>0</v>
      </c>
      <c r="J9" s="1050">
        <f t="shared" si="8"/>
        <v>23.099</v>
      </c>
      <c r="K9" s="1050">
        <f t="shared" si="9"/>
        <v>4.5789999999999997</v>
      </c>
      <c r="L9" s="1054">
        <v>0</v>
      </c>
      <c r="M9" s="1050">
        <f t="shared" si="0"/>
        <v>-0.74299999999999988</v>
      </c>
      <c r="N9" s="1050">
        <f t="shared" si="10"/>
        <v>0</v>
      </c>
      <c r="O9" s="1078">
        <v>0.7</v>
      </c>
      <c r="P9" s="1071">
        <v>1.06</v>
      </c>
      <c r="Q9" s="1070">
        <v>0</v>
      </c>
      <c r="R9" s="1080">
        <v>0.56999999999999995</v>
      </c>
      <c r="S9" s="1072">
        <v>0</v>
      </c>
      <c r="T9" s="1038">
        <v>3.3000000000000002E-2</v>
      </c>
      <c r="U9" s="1070">
        <v>2</v>
      </c>
      <c r="V9" s="1038">
        <v>0</v>
      </c>
      <c r="W9" s="1043">
        <v>0.21299999999999999</v>
      </c>
      <c r="X9" s="1043">
        <v>2E-3</v>
      </c>
      <c r="Y9" s="1070">
        <v>0</v>
      </c>
      <c r="Z9" s="1070">
        <v>0</v>
      </c>
      <c r="AA9" s="1070">
        <v>0</v>
      </c>
      <c r="AB9" s="1070">
        <v>0</v>
      </c>
      <c r="AC9" s="1072">
        <v>0</v>
      </c>
      <c r="AD9" s="1072">
        <v>0.157</v>
      </c>
      <c r="AE9" s="1080">
        <v>0</v>
      </c>
      <c r="AF9" s="1080">
        <v>0</v>
      </c>
      <c r="AG9" s="1072">
        <v>1.81</v>
      </c>
      <c r="AH9" s="1072">
        <v>7.0000000000000007E-2</v>
      </c>
      <c r="AI9" s="1072">
        <v>0</v>
      </c>
      <c r="AJ9" s="1070">
        <v>0</v>
      </c>
      <c r="AK9" s="1070">
        <v>0</v>
      </c>
      <c r="AL9" s="1070">
        <v>23.099</v>
      </c>
      <c r="AM9" s="1072">
        <v>1.2999999999999999E-2</v>
      </c>
      <c r="AN9" s="1070">
        <v>0.3</v>
      </c>
      <c r="AO9" s="1068">
        <v>0.15</v>
      </c>
      <c r="AP9" s="1070">
        <v>0.112</v>
      </c>
      <c r="AQ9" s="1082">
        <v>0</v>
      </c>
      <c r="AR9" s="1070">
        <v>0.2</v>
      </c>
      <c r="AS9" s="1070">
        <v>7.3999999999999996E-2</v>
      </c>
      <c r="AT9" s="1043">
        <v>3.73</v>
      </c>
      <c r="AU9" s="1072">
        <v>0</v>
      </c>
      <c r="AV9" s="1070">
        <v>5.3999999999999999E-2</v>
      </c>
      <c r="AW9" s="1070">
        <v>0.13100000000000001</v>
      </c>
      <c r="AX9" s="1070">
        <v>0</v>
      </c>
      <c r="AY9" s="1043">
        <v>-2.71</v>
      </c>
      <c r="AZ9" s="1070">
        <v>1.782</v>
      </c>
      <c r="BA9" s="1043">
        <v>0</v>
      </c>
      <c r="BB9" s="1070">
        <v>0</v>
      </c>
      <c r="BC9" s="1070">
        <v>0</v>
      </c>
      <c r="BD9" s="1070">
        <v>0</v>
      </c>
      <c r="BE9" s="1080">
        <v>1.43</v>
      </c>
      <c r="BF9" s="1043">
        <v>0</v>
      </c>
      <c r="BG9" s="1043">
        <v>0</v>
      </c>
      <c r="BH9" s="1034">
        <v>-2.3410000000000002</v>
      </c>
      <c r="BI9" s="1070">
        <v>0.01</v>
      </c>
      <c r="BJ9" s="1060">
        <v>0.33</v>
      </c>
    </row>
    <row r="10" spans="1:62" x14ac:dyDescent="0.3">
      <c r="A10" s="1048">
        <v>2026</v>
      </c>
      <c r="B10" s="1050">
        <f t="shared" si="1"/>
        <v>0</v>
      </c>
      <c r="C10" s="1050">
        <f t="shared" si="2"/>
        <v>0</v>
      </c>
      <c r="D10" s="1050">
        <f t="shared" si="3"/>
        <v>3.2000000000000001E-2</v>
      </c>
      <c r="E10" s="1050">
        <f t="shared" si="4"/>
        <v>1.671</v>
      </c>
      <c r="F10" s="1050">
        <f t="shared" si="11"/>
        <v>0.49</v>
      </c>
      <c r="G10" s="1050">
        <f t="shared" si="5"/>
        <v>-2.1500000000000004</v>
      </c>
      <c r="H10" s="1050">
        <f t="shared" si="6"/>
        <v>1.446</v>
      </c>
      <c r="I10" s="1050">
        <f t="shared" si="7"/>
        <v>0</v>
      </c>
      <c r="J10" s="1050">
        <f t="shared" si="8"/>
        <v>10.766999999999999</v>
      </c>
      <c r="K10" s="1050">
        <f t="shared" si="9"/>
        <v>2.9130000000000003</v>
      </c>
      <c r="L10" s="1054"/>
      <c r="M10" s="1050">
        <f t="shared" si="0"/>
        <v>-21.606000000000002</v>
      </c>
      <c r="N10" s="1050">
        <f t="shared" si="10"/>
        <v>0</v>
      </c>
      <c r="O10" s="1078">
        <v>0.7</v>
      </c>
      <c r="P10" s="1071">
        <v>1.07</v>
      </c>
      <c r="Q10" s="1070">
        <v>0</v>
      </c>
      <c r="R10" s="1080">
        <v>0.60099999999999998</v>
      </c>
      <c r="S10" s="1072">
        <v>0</v>
      </c>
      <c r="T10" s="1034">
        <v>3.2000000000000001E-2</v>
      </c>
      <c r="U10" s="1070">
        <v>0.3</v>
      </c>
      <c r="V10" s="1080">
        <v>0</v>
      </c>
      <c r="W10" s="1043">
        <v>0.188</v>
      </c>
      <c r="X10" s="1043">
        <v>2E-3</v>
      </c>
      <c r="Y10" s="1070">
        <v>0</v>
      </c>
      <c r="Z10" s="1070">
        <v>0</v>
      </c>
      <c r="AA10" s="1070">
        <v>0</v>
      </c>
      <c r="AB10" s="1070">
        <v>0</v>
      </c>
      <c r="AC10" s="1072">
        <v>0</v>
      </c>
      <c r="AD10" s="1072">
        <v>0</v>
      </c>
      <c r="AE10" s="1072">
        <v>0</v>
      </c>
      <c r="AF10" s="1080">
        <v>0</v>
      </c>
      <c r="AG10" s="1072">
        <v>1.3759999999999999</v>
      </c>
      <c r="AH10" s="1072">
        <v>7.0000000000000007E-2</v>
      </c>
      <c r="AI10" s="1072">
        <v>0</v>
      </c>
      <c r="AJ10" s="1039">
        <v>0</v>
      </c>
      <c r="AK10" s="1070">
        <v>0</v>
      </c>
      <c r="AL10" s="1070">
        <v>10.766999999999999</v>
      </c>
      <c r="AM10" s="1072">
        <v>3.0000000000000001E-3</v>
      </c>
      <c r="AN10" s="1070">
        <v>0.2</v>
      </c>
      <c r="AO10" s="1068">
        <v>0.1</v>
      </c>
      <c r="AP10" s="1070">
        <v>0.05</v>
      </c>
      <c r="AQ10" s="1082">
        <v>0</v>
      </c>
      <c r="AR10" s="1070">
        <v>0</v>
      </c>
      <c r="AS10" s="1070">
        <v>0</v>
      </c>
      <c r="AT10" s="1043">
        <v>2.56</v>
      </c>
      <c r="AU10" s="1072">
        <v>0</v>
      </c>
      <c r="AV10" s="1070">
        <v>3.7999999999999999E-2</v>
      </c>
      <c r="AW10" s="1070">
        <v>2.5999999999999999E-2</v>
      </c>
      <c r="AX10" s="1070">
        <v>0</v>
      </c>
      <c r="AY10" s="1043">
        <v>-2.6700000000000004</v>
      </c>
      <c r="AZ10" s="1070">
        <v>0</v>
      </c>
      <c r="BA10" s="1043">
        <v>-19</v>
      </c>
      <c r="BB10" s="1070">
        <v>0</v>
      </c>
      <c r="BC10" s="1070">
        <v>0</v>
      </c>
      <c r="BD10" s="1070">
        <v>0</v>
      </c>
      <c r="BE10" s="1043">
        <v>0.88</v>
      </c>
      <c r="BF10" s="1043">
        <v>0</v>
      </c>
      <c r="BG10" s="1043">
        <v>0</v>
      </c>
      <c r="BH10" s="1072">
        <v>-2.8200000000000003</v>
      </c>
      <c r="BI10" s="1070">
        <v>-0.21</v>
      </c>
      <c r="BJ10" s="1060">
        <v>0.17</v>
      </c>
    </row>
    <row r="11" spans="1:62" x14ac:dyDescent="0.3">
      <c r="A11" s="1048">
        <v>2027</v>
      </c>
      <c r="B11" s="1050">
        <f t="shared" si="1"/>
        <v>0</v>
      </c>
      <c r="C11" s="1050">
        <f t="shared" si="2"/>
        <v>0</v>
      </c>
      <c r="D11" s="1050">
        <f t="shared" si="3"/>
        <v>3.2000000000000001E-2</v>
      </c>
      <c r="E11" s="1050">
        <f t="shared" si="4"/>
        <v>1.7130000000000001</v>
      </c>
      <c r="F11" s="1050">
        <f t="shared" si="11"/>
        <v>0</v>
      </c>
      <c r="G11" s="1050">
        <f t="shared" si="5"/>
        <v>-4.8169999999999993</v>
      </c>
      <c r="H11" s="1050">
        <f t="shared" si="6"/>
        <v>0.65699999999999992</v>
      </c>
      <c r="I11" s="1050">
        <f t="shared" si="7"/>
        <v>0</v>
      </c>
      <c r="J11" s="1050">
        <f t="shared" si="8"/>
        <v>4.0789999999999997</v>
      </c>
      <c r="K11" s="1050">
        <f t="shared" si="9"/>
        <v>2.46</v>
      </c>
      <c r="L11" s="1054"/>
      <c r="M11" s="1050">
        <f t="shared" si="0"/>
        <v>-14.713000000000001</v>
      </c>
      <c r="N11" s="1050">
        <f t="shared" si="10"/>
        <v>0</v>
      </c>
      <c r="O11" s="1078">
        <v>0.3</v>
      </c>
      <c r="P11" s="1071">
        <v>1.08</v>
      </c>
      <c r="Q11" s="1070">
        <v>0</v>
      </c>
      <c r="R11" s="1080">
        <v>0.63300000000000001</v>
      </c>
      <c r="S11" s="1037">
        <v>0</v>
      </c>
      <c r="T11" s="1070">
        <v>3.2000000000000001E-2</v>
      </c>
      <c r="U11" s="1070">
        <v>0</v>
      </c>
      <c r="V11" s="1072">
        <v>0</v>
      </c>
      <c r="W11" s="1043">
        <v>0</v>
      </c>
      <c r="X11" s="1043">
        <v>0</v>
      </c>
      <c r="Y11" s="1070">
        <v>0</v>
      </c>
      <c r="Z11" s="1070">
        <v>0</v>
      </c>
      <c r="AA11" s="1070">
        <v>0</v>
      </c>
      <c r="AB11" s="1070">
        <v>0</v>
      </c>
      <c r="AC11" s="1072">
        <v>0</v>
      </c>
      <c r="AD11" s="1080">
        <v>0</v>
      </c>
      <c r="AE11" s="1072">
        <v>0</v>
      </c>
      <c r="AF11" s="1080">
        <v>0</v>
      </c>
      <c r="AG11" s="1072">
        <v>0.57699999999999996</v>
      </c>
      <c r="AH11" s="1072">
        <v>0.08</v>
      </c>
      <c r="AI11" s="1072">
        <v>0</v>
      </c>
      <c r="AJ11" s="1072">
        <v>0</v>
      </c>
      <c r="AK11" s="1070">
        <v>0</v>
      </c>
      <c r="AL11" s="1070">
        <v>4.0789999999999997</v>
      </c>
      <c r="AM11" s="1070">
        <v>0</v>
      </c>
      <c r="AN11" s="1070">
        <v>0.1</v>
      </c>
      <c r="AO11" s="1068">
        <v>0.1</v>
      </c>
      <c r="AP11" s="1070">
        <v>0.03</v>
      </c>
      <c r="AQ11" s="1082">
        <v>0</v>
      </c>
      <c r="AR11" s="1070">
        <v>0</v>
      </c>
      <c r="AS11" s="1070">
        <v>0</v>
      </c>
      <c r="AT11" s="1068">
        <v>2.23</v>
      </c>
      <c r="AU11" s="1072">
        <v>0</v>
      </c>
      <c r="AV11" s="1070">
        <v>1.7000000000000001E-2</v>
      </c>
      <c r="AW11" s="1070">
        <v>0</v>
      </c>
      <c r="AX11" s="1070">
        <v>0</v>
      </c>
      <c r="AY11" s="1043">
        <v>-2.73</v>
      </c>
      <c r="AZ11" s="1070">
        <v>0</v>
      </c>
      <c r="BA11" s="1043">
        <v>-12</v>
      </c>
      <c r="BB11" s="1070">
        <v>0</v>
      </c>
      <c r="BC11" s="1070">
        <v>0</v>
      </c>
      <c r="BD11" s="1070">
        <v>0</v>
      </c>
      <c r="BE11" s="1043">
        <v>0.28000000000000003</v>
      </c>
      <c r="BF11" s="1043">
        <v>0</v>
      </c>
      <c r="BG11" s="1043">
        <v>0</v>
      </c>
      <c r="BH11" s="1038">
        <v>-5.0069999999999997</v>
      </c>
      <c r="BI11" s="1070">
        <v>-0.09</v>
      </c>
      <c r="BJ11" s="1061">
        <v>0.06</v>
      </c>
    </row>
    <row r="12" spans="1:62" x14ac:dyDescent="0.3">
      <c r="A12" s="1048">
        <v>2028</v>
      </c>
      <c r="B12" s="1050">
        <f t="shared" si="1"/>
        <v>0</v>
      </c>
      <c r="C12" s="1050">
        <f t="shared" si="2"/>
        <v>0</v>
      </c>
      <c r="D12" s="1050">
        <f t="shared" si="3"/>
        <v>3.3000000000000002E-2</v>
      </c>
      <c r="E12" s="1050">
        <f t="shared" si="4"/>
        <v>1.7130000000000001</v>
      </c>
      <c r="F12" s="1050">
        <f t="shared" si="11"/>
        <v>0</v>
      </c>
      <c r="G12" s="1050">
        <f t="shared" si="5"/>
        <v>-5.0590000000000002</v>
      </c>
      <c r="H12" s="1050">
        <f t="shared" si="6"/>
        <v>-1.071</v>
      </c>
      <c r="I12" s="1050">
        <f t="shared" si="7"/>
        <v>0</v>
      </c>
      <c r="J12" s="1050">
        <f t="shared" si="8"/>
        <v>1.635</v>
      </c>
      <c r="K12" s="1050">
        <f t="shared" si="9"/>
        <v>1.81</v>
      </c>
      <c r="L12" s="1054"/>
      <c r="M12" s="1050">
        <f t="shared" si="0"/>
        <v>-2.7690000000000001</v>
      </c>
      <c r="N12" s="1050">
        <f t="shared" si="10"/>
        <v>0</v>
      </c>
      <c r="O12" s="1078">
        <v>0.3</v>
      </c>
      <c r="P12" s="1071">
        <v>1.08</v>
      </c>
      <c r="Q12" s="1070">
        <v>0</v>
      </c>
      <c r="R12" s="1080">
        <v>0.63300000000000001</v>
      </c>
      <c r="S12" s="1037">
        <v>0</v>
      </c>
      <c r="T12" s="1040">
        <v>3.3000000000000002E-2</v>
      </c>
      <c r="U12" s="1070">
        <v>0</v>
      </c>
      <c r="V12" s="1072">
        <v>0</v>
      </c>
      <c r="W12" s="1043">
        <v>0</v>
      </c>
      <c r="X12" s="1043">
        <v>0</v>
      </c>
      <c r="Y12" s="1070">
        <v>0</v>
      </c>
      <c r="Z12" s="1070">
        <v>0</v>
      </c>
      <c r="AA12" s="1070">
        <v>0</v>
      </c>
      <c r="AB12" s="1070">
        <v>0</v>
      </c>
      <c r="AC12" s="1072">
        <v>0</v>
      </c>
      <c r="AD12" s="1072">
        <v>0</v>
      </c>
      <c r="AE12" s="1072">
        <v>0</v>
      </c>
      <c r="AF12" s="1072">
        <v>0</v>
      </c>
      <c r="AG12" s="1072">
        <v>-1.151</v>
      </c>
      <c r="AH12" s="1072">
        <v>0.08</v>
      </c>
      <c r="AI12" s="1072">
        <v>0</v>
      </c>
      <c r="AJ12" s="1072">
        <v>0</v>
      </c>
      <c r="AK12" s="1070">
        <v>0</v>
      </c>
      <c r="AL12" s="1070">
        <v>1.635</v>
      </c>
      <c r="AM12" s="1070">
        <v>0</v>
      </c>
      <c r="AN12" s="1070">
        <v>0.1</v>
      </c>
      <c r="AO12" s="1043">
        <v>0</v>
      </c>
      <c r="AP12" s="1070">
        <v>0</v>
      </c>
      <c r="AQ12" s="1082">
        <v>0</v>
      </c>
      <c r="AR12" s="1070">
        <v>0</v>
      </c>
      <c r="AS12" s="1070">
        <v>0</v>
      </c>
      <c r="AT12" s="1068">
        <v>1.71</v>
      </c>
      <c r="AU12" s="1072">
        <v>0</v>
      </c>
      <c r="AV12" s="1070">
        <v>1E-3</v>
      </c>
      <c r="AW12" s="1070">
        <v>0</v>
      </c>
      <c r="AX12" s="1070">
        <v>0</v>
      </c>
      <c r="AY12" s="1043">
        <v>-2.77</v>
      </c>
      <c r="AZ12" s="1070">
        <v>0</v>
      </c>
      <c r="BA12" s="1043">
        <v>0</v>
      </c>
      <c r="BB12" s="1070">
        <v>0</v>
      </c>
      <c r="BC12" s="1070">
        <v>0</v>
      </c>
      <c r="BD12" s="1070">
        <v>0</v>
      </c>
      <c r="BE12" s="1043">
        <v>0.1</v>
      </c>
      <c r="BF12" s="1043">
        <v>0</v>
      </c>
      <c r="BG12" s="1043">
        <v>0</v>
      </c>
      <c r="BH12" s="1038">
        <v>-5.069</v>
      </c>
      <c r="BI12" s="1070">
        <v>-0.09</v>
      </c>
      <c r="BJ12" s="1061">
        <v>0.03</v>
      </c>
    </row>
    <row r="13" spans="1:62" x14ac:dyDescent="0.3">
      <c r="A13" s="1048">
        <v>2029</v>
      </c>
      <c r="B13" s="1050">
        <f t="shared" si="1"/>
        <v>0</v>
      </c>
      <c r="C13" s="1050">
        <f t="shared" si="2"/>
        <v>0</v>
      </c>
      <c r="D13" s="1050">
        <f t="shared" si="3"/>
        <v>3.3000000000000002E-2</v>
      </c>
      <c r="E13" s="1050">
        <f t="shared" si="4"/>
        <v>1.7130000000000001</v>
      </c>
      <c r="F13" s="1050">
        <f t="shared" si="11"/>
        <v>0</v>
      </c>
      <c r="G13" s="1050">
        <f t="shared" si="5"/>
        <v>-5.218</v>
      </c>
      <c r="H13" s="1050">
        <f t="shared" si="6"/>
        <v>-1.964</v>
      </c>
      <c r="I13" s="1050">
        <f t="shared" si="7"/>
        <v>0</v>
      </c>
      <c r="J13" s="1050">
        <f t="shared" si="8"/>
        <v>-1.7000000000000001E-2</v>
      </c>
      <c r="K13" s="1050">
        <f t="shared" si="9"/>
        <v>1</v>
      </c>
      <c r="L13" s="1054"/>
      <c r="M13" s="1050">
        <f t="shared" si="0"/>
        <v>-2.75</v>
      </c>
      <c r="N13" s="1050">
        <f t="shared" si="10"/>
        <v>0</v>
      </c>
      <c r="O13" s="1078">
        <v>0.3</v>
      </c>
      <c r="P13" s="1071">
        <v>1.08</v>
      </c>
      <c r="Q13" s="1070">
        <v>0</v>
      </c>
      <c r="R13" s="1080">
        <v>0.63300000000000001</v>
      </c>
      <c r="S13" s="1037">
        <v>0</v>
      </c>
      <c r="T13" s="1072">
        <v>3.3000000000000002E-2</v>
      </c>
      <c r="U13" s="1070">
        <v>0</v>
      </c>
      <c r="V13" s="1072">
        <v>0</v>
      </c>
      <c r="W13" s="1043">
        <v>0</v>
      </c>
      <c r="X13" s="1043">
        <v>0</v>
      </c>
      <c r="Y13" s="1070">
        <v>0</v>
      </c>
      <c r="Z13" s="1070">
        <v>0</v>
      </c>
      <c r="AA13" s="1070">
        <v>0</v>
      </c>
      <c r="AB13" s="1070">
        <v>0</v>
      </c>
      <c r="AC13" s="1072">
        <v>0</v>
      </c>
      <c r="AD13" s="1072">
        <v>0</v>
      </c>
      <c r="AE13" s="1072">
        <v>0</v>
      </c>
      <c r="AF13" s="1072">
        <v>0</v>
      </c>
      <c r="AG13" s="1070">
        <v>-2.044</v>
      </c>
      <c r="AH13" s="1072">
        <v>0.08</v>
      </c>
      <c r="AI13" s="1072">
        <v>0</v>
      </c>
      <c r="AJ13" s="1041">
        <v>0</v>
      </c>
      <c r="AK13" s="1070">
        <v>0</v>
      </c>
      <c r="AL13" s="1070">
        <v>-1.7000000000000001E-2</v>
      </c>
      <c r="AM13" s="1070">
        <v>0</v>
      </c>
      <c r="AN13" s="1070">
        <v>0</v>
      </c>
      <c r="AO13" s="1043">
        <v>0</v>
      </c>
      <c r="AP13" s="1070">
        <v>0</v>
      </c>
      <c r="AQ13" s="1082">
        <v>0</v>
      </c>
      <c r="AR13" s="1070">
        <v>0</v>
      </c>
      <c r="AS13" s="1070">
        <v>0</v>
      </c>
      <c r="AT13" s="1068">
        <v>1</v>
      </c>
      <c r="AU13" s="1072">
        <v>0</v>
      </c>
      <c r="AV13" s="1070">
        <v>0</v>
      </c>
      <c r="AW13" s="1070">
        <v>0</v>
      </c>
      <c r="AX13" s="1070">
        <v>0</v>
      </c>
      <c r="AY13" s="1043">
        <v>-2.75</v>
      </c>
      <c r="AZ13" s="1070">
        <v>0</v>
      </c>
      <c r="BA13" s="1043">
        <v>0</v>
      </c>
      <c r="BB13" s="1070">
        <v>0</v>
      </c>
      <c r="BC13" s="1070">
        <v>0</v>
      </c>
      <c r="BD13" s="1070">
        <v>0</v>
      </c>
      <c r="BE13" s="1043">
        <v>0</v>
      </c>
      <c r="BF13" s="1042">
        <v>0</v>
      </c>
      <c r="BG13" s="1043">
        <v>0</v>
      </c>
      <c r="BH13" s="1038">
        <v>-5.1180000000000003</v>
      </c>
      <c r="BI13" s="1070">
        <v>-0.1</v>
      </c>
      <c r="BJ13" s="1061">
        <v>0.01</v>
      </c>
    </row>
    <row r="14" spans="1:62" x14ac:dyDescent="0.3">
      <c r="A14" s="1048">
        <v>2030</v>
      </c>
      <c r="B14" s="1050">
        <f t="shared" si="1"/>
        <v>0</v>
      </c>
      <c r="C14" s="1050">
        <f t="shared" si="2"/>
        <v>0</v>
      </c>
      <c r="D14" s="1050">
        <f t="shared" si="3"/>
        <v>3.3000000000000002E-2</v>
      </c>
      <c r="E14" s="1050">
        <f t="shared" si="4"/>
        <v>1.8130000000000002</v>
      </c>
      <c r="F14" s="1050">
        <f t="shared" si="11"/>
        <v>0</v>
      </c>
      <c r="G14" s="1050">
        <f t="shared" si="5"/>
        <v>-5.9420000000000002</v>
      </c>
      <c r="H14" s="1050">
        <f t="shared" si="6"/>
        <v>-2.0210000000000004</v>
      </c>
      <c r="I14" s="1050">
        <f t="shared" si="7"/>
        <v>0</v>
      </c>
      <c r="J14" s="1050">
        <f t="shared" si="8"/>
        <v>-1.9E-2</v>
      </c>
      <c r="K14" s="1050">
        <f t="shared" si="9"/>
        <v>0.8</v>
      </c>
      <c r="L14" s="1054"/>
      <c r="M14" s="1050">
        <f t="shared" si="0"/>
        <v>-8.1189999999999998</v>
      </c>
      <c r="N14" s="1050">
        <f t="shared" si="10"/>
        <v>0</v>
      </c>
      <c r="O14" s="1078">
        <v>0.3</v>
      </c>
      <c r="P14" s="1071">
        <v>1.1800000000000002</v>
      </c>
      <c r="Q14" s="1070">
        <v>0</v>
      </c>
      <c r="R14" s="1080">
        <v>0.63300000000000001</v>
      </c>
      <c r="S14" s="1037">
        <v>0</v>
      </c>
      <c r="T14" s="1072">
        <v>3.3000000000000002E-2</v>
      </c>
      <c r="U14" s="1070">
        <v>0</v>
      </c>
      <c r="V14" s="1072">
        <v>0</v>
      </c>
      <c r="W14" s="1043">
        <v>0</v>
      </c>
      <c r="X14" s="1043">
        <v>0</v>
      </c>
      <c r="Y14" s="1070">
        <v>0</v>
      </c>
      <c r="Z14" s="1070">
        <v>0</v>
      </c>
      <c r="AA14" s="1070">
        <v>0</v>
      </c>
      <c r="AB14" s="1070">
        <v>0</v>
      </c>
      <c r="AC14" s="1072">
        <v>0</v>
      </c>
      <c r="AD14" s="1080">
        <v>0</v>
      </c>
      <c r="AE14" s="1070">
        <v>0</v>
      </c>
      <c r="AF14" s="1072">
        <v>0</v>
      </c>
      <c r="AG14" s="1072">
        <v>-2.1110000000000002</v>
      </c>
      <c r="AH14" s="1072">
        <v>0.09</v>
      </c>
      <c r="AI14" s="1072">
        <v>0</v>
      </c>
      <c r="AJ14" s="1044">
        <v>0</v>
      </c>
      <c r="AK14" s="1070">
        <v>0</v>
      </c>
      <c r="AL14" s="1070">
        <v>-1.9E-2</v>
      </c>
      <c r="AM14" s="1070">
        <v>0</v>
      </c>
      <c r="AN14" s="1070">
        <v>0</v>
      </c>
      <c r="AO14" s="1043">
        <v>0</v>
      </c>
      <c r="AP14" s="1070">
        <v>0</v>
      </c>
      <c r="AQ14" s="1082">
        <v>0</v>
      </c>
      <c r="AR14" s="1070">
        <v>0</v>
      </c>
      <c r="AS14" s="1070">
        <v>0</v>
      </c>
      <c r="AT14" s="1043">
        <v>0.8</v>
      </c>
      <c r="AU14" s="1072">
        <v>-5.4089999999999998</v>
      </c>
      <c r="AV14" s="1070">
        <v>0</v>
      </c>
      <c r="AW14" s="1070">
        <v>0</v>
      </c>
      <c r="AX14" s="1070">
        <v>0</v>
      </c>
      <c r="AY14" s="1043">
        <v>-2.71</v>
      </c>
      <c r="AZ14" s="1070">
        <v>0</v>
      </c>
      <c r="BA14" s="1043">
        <v>0</v>
      </c>
      <c r="BB14" s="1070">
        <v>0</v>
      </c>
      <c r="BC14" s="1070">
        <v>0</v>
      </c>
      <c r="BD14" s="1070">
        <v>0</v>
      </c>
      <c r="BE14" s="1070">
        <v>0</v>
      </c>
      <c r="BF14" s="1043">
        <v>0</v>
      </c>
      <c r="BG14" s="1043">
        <v>0</v>
      </c>
      <c r="BH14" s="1072">
        <v>-5.8319999999999999</v>
      </c>
      <c r="BI14" s="1070">
        <v>-0.11</v>
      </c>
      <c r="BJ14" s="1060">
        <v>0.01</v>
      </c>
    </row>
    <row r="15" spans="1:62" ht="17.25" customHeight="1" x14ac:dyDescent="0.3">
      <c r="A15" s="1048">
        <v>2031</v>
      </c>
      <c r="B15" s="1050">
        <f t="shared" si="1"/>
        <v>0</v>
      </c>
      <c r="C15" s="1050">
        <f t="shared" si="2"/>
        <v>0</v>
      </c>
      <c r="D15" s="1050">
        <f t="shared" si="3"/>
        <v>0</v>
      </c>
      <c r="E15" s="1050">
        <f t="shared" si="4"/>
        <v>1.8230000000000002</v>
      </c>
      <c r="F15" s="1050">
        <f t="shared" si="11"/>
        <v>0</v>
      </c>
      <c r="G15" s="1050">
        <f t="shared" si="5"/>
        <v>-7.7250000000000005</v>
      </c>
      <c r="H15" s="1050">
        <f t="shared" si="6"/>
        <v>-2.4630000000000001</v>
      </c>
      <c r="I15" s="1050">
        <f t="shared" si="7"/>
        <v>0</v>
      </c>
      <c r="J15" s="1050">
        <f t="shared" si="8"/>
        <v>-1.9E-2</v>
      </c>
      <c r="K15" s="1050">
        <f t="shared" si="9"/>
        <v>0</v>
      </c>
      <c r="L15" s="1054"/>
      <c r="M15" s="1050">
        <f t="shared" si="0"/>
        <v>-3.0390000000000001</v>
      </c>
      <c r="N15" s="1050">
        <f t="shared" si="10"/>
        <v>0</v>
      </c>
      <c r="O15" s="1078">
        <v>0.3</v>
      </c>
      <c r="P15" s="1071">
        <v>1.1900000000000002</v>
      </c>
      <c r="Q15" s="1070">
        <v>0</v>
      </c>
      <c r="R15" s="1080">
        <v>0.63300000000000001</v>
      </c>
      <c r="S15" s="1037">
        <v>0</v>
      </c>
      <c r="T15" s="1043">
        <v>0</v>
      </c>
      <c r="U15" s="1070">
        <v>0</v>
      </c>
      <c r="V15" s="1070">
        <v>0</v>
      </c>
      <c r="W15" s="1043">
        <v>0</v>
      </c>
      <c r="X15" s="1043">
        <v>0</v>
      </c>
      <c r="Y15" s="1070">
        <v>0</v>
      </c>
      <c r="Z15" s="1070">
        <v>0</v>
      </c>
      <c r="AA15" s="1070">
        <v>0</v>
      </c>
      <c r="AB15" s="1070">
        <v>0</v>
      </c>
      <c r="AC15" s="1072">
        <v>0</v>
      </c>
      <c r="AD15" s="1070">
        <v>0</v>
      </c>
      <c r="AE15" s="1072">
        <v>0</v>
      </c>
      <c r="AF15" s="1072">
        <v>0</v>
      </c>
      <c r="AG15" s="1072">
        <v>-2.5529999999999999</v>
      </c>
      <c r="AH15" s="1072">
        <v>0.09</v>
      </c>
      <c r="AI15" s="1072">
        <v>0</v>
      </c>
      <c r="AJ15" s="1045">
        <v>0</v>
      </c>
      <c r="AK15" s="1070">
        <v>0</v>
      </c>
      <c r="AL15" s="1070">
        <v>-1.9E-2</v>
      </c>
      <c r="AM15" s="1070">
        <v>0</v>
      </c>
      <c r="AN15" s="1070">
        <v>0</v>
      </c>
      <c r="AO15" s="1043">
        <v>0</v>
      </c>
      <c r="AP15" s="1070">
        <v>0</v>
      </c>
      <c r="AQ15" s="1082">
        <v>0</v>
      </c>
      <c r="AR15" s="1070">
        <v>0</v>
      </c>
      <c r="AS15" s="1070">
        <v>0</v>
      </c>
      <c r="AT15" s="1043">
        <v>0</v>
      </c>
      <c r="AU15" s="1072">
        <v>-0.26900000000000002</v>
      </c>
      <c r="AV15" s="1070">
        <v>0</v>
      </c>
      <c r="AW15" s="1070">
        <v>0</v>
      </c>
      <c r="AX15" s="1070">
        <v>0</v>
      </c>
      <c r="AY15" s="1043">
        <v>-2.77</v>
      </c>
      <c r="AZ15" s="1070">
        <v>0</v>
      </c>
      <c r="BA15" s="1043">
        <v>0</v>
      </c>
      <c r="BB15" s="1070">
        <v>0</v>
      </c>
      <c r="BC15" s="1070">
        <v>0</v>
      </c>
      <c r="BD15" s="1070">
        <v>0</v>
      </c>
      <c r="BE15" s="1070">
        <v>0</v>
      </c>
      <c r="BF15" s="1043">
        <v>0</v>
      </c>
      <c r="BG15" s="1043">
        <v>0</v>
      </c>
      <c r="BH15" s="1072">
        <v>-5.4350000000000005</v>
      </c>
      <c r="BI15" s="1070">
        <v>-2.29</v>
      </c>
      <c r="BJ15" s="1060">
        <v>0</v>
      </c>
    </row>
    <row r="16" spans="1:62" x14ac:dyDescent="0.3">
      <c r="A16" s="1049" t="s">
        <v>312</v>
      </c>
      <c r="B16" s="1049">
        <f>SUM(B5:B15)</f>
        <v>412.15299999999996</v>
      </c>
      <c r="C16" s="1049">
        <f>SUM(C5:C15)</f>
        <v>205.79999999999998</v>
      </c>
      <c r="D16" s="1049">
        <f>SUM(D5:D15)</f>
        <v>22.711000000000006</v>
      </c>
      <c r="E16" s="1049">
        <f t="shared" ref="E16:H16" si="12">SUM(E5:E15)</f>
        <v>35.466000000000015</v>
      </c>
      <c r="F16" s="1049">
        <f t="shared" si="12"/>
        <v>91.563000000000002</v>
      </c>
      <c r="G16" s="1050">
        <f t="shared" si="5"/>
        <v>174.17</v>
      </c>
      <c r="H16" s="1049">
        <f t="shared" si="12"/>
        <v>21.600999999999996</v>
      </c>
      <c r="I16" s="1054">
        <f t="shared" ref="I16" si="13">SUM(I5:I15)</f>
        <v>362.04999999999995</v>
      </c>
      <c r="J16" s="1054">
        <f t="shared" ref="J16" si="14">SUM(J5:J15)</f>
        <v>169.16899999999998</v>
      </c>
      <c r="K16" s="1050">
        <f t="shared" si="9"/>
        <v>112.72</v>
      </c>
      <c r="L16" s="1054">
        <f>SUM(L5:L15)</f>
        <v>25.75</v>
      </c>
      <c r="M16" s="1050">
        <f t="shared" si="0"/>
        <v>85.197999999999993</v>
      </c>
      <c r="N16" s="1050">
        <f>AK16</f>
        <v>8.5</v>
      </c>
      <c r="O16" s="1079">
        <f t="shared" ref="O16:BI16" si="15">SUM(O5:O15)</f>
        <v>109.3</v>
      </c>
      <c r="P16" s="1070">
        <f t="shared" si="15"/>
        <v>25.819999999999997</v>
      </c>
      <c r="Q16" s="1070">
        <f t="shared" si="15"/>
        <v>412.15299999999996</v>
      </c>
      <c r="R16" s="1070">
        <f t="shared" si="15"/>
        <v>5.774</v>
      </c>
      <c r="S16" s="1070">
        <f t="shared" si="15"/>
        <v>3.8719999999999999</v>
      </c>
      <c r="T16" s="1070">
        <f t="shared" si="15"/>
        <v>22.711000000000006</v>
      </c>
      <c r="U16" s="1070">
        <f t="shared" si="15"/>
        <v>41.599999999999994</v>
      </c>
      <c r="V16" s="1070">
        <f t="shared" si="15"/>
        <v>44.947999999999993</v>
      </c>
      <c r="W16" s="1070">
        <f t="shared" si="15"/>
        <v>5</v>
      </c>
      <c r="X16" s="1070">
        <f t="shared" si="15"/>
        <v>1.4440000000000002</v>
      </c>
      <c r="Y16" s="1070">
        <f t="shared" si="15"/>
        <v>0.2</v>
      </c>
      <c r="Z16" s="1070">
        <f t="shared" si="15"/>
        <v>45.4</v>
      </c>
      <c r="AA16" s="1070">
        <f t="shared" si="15"/>
        <v>35.5</v>
      </c>
      <c r="AB16" s="1070">
        <f t="shared" si="15"/>
        <v>124.7</v>
      </c>
      <c r="AC16" s="1070">
        <f t="shared" si="15"/>
        <v>28</v>
      </c>
      <c r="AD16" s="1070">
        <f t="shared" si="15"/>
        <v>9.100000000000022E-2</v>
      </c>
      <c r="AE16" s="1070">
        <f t="shared" si="15"/>
        <v>22.810000000000002</v>
      </c>
      <c r="AF16" s="1070">
        <f t="shared" si="15"/>
        <v>1.42</v>
      </c>
      <c r="AG16" s="1070">
        <f t="shared" si="15"/>
        <v>20.662999999999997</v>
      </c>
      <c r="AH16" s="1070">
        <f t="shared" si="15"/>
        <v>0.86999999999999988</v>
      </c>
      <c r="AI16" s="1070">
        <f t="shared" si="15"/>
        <v>6.8000000000000005E-2</v>
      </c>
      <c r="AJ16" s="1070">
        <f t="shared" si="15"/>
        <v>362.04999999999995</v>
      </c>
      <c r="AK16" s="1070">
        <f t="shared" ref="AK16:AO16" si="16">SUM(AK5:AK15)</f>
        <v>8.5</v>
      </c>
      <c r="AL16" s="1070">
        <f t="shared" si="16"/>
        <v>169.16899999999998</v>
      </c>
      <c r="AM16" s="1052">
        <f t="shared" si="16"/>
        <v>0.79700000000000004</v>
      </c>
      <c r="AN16" s="1070">
        <f t="shared" si="16"/>
        <v>8.6</v>
      </c>
      <c r="AO16" s="1070">
        <f t="shared" si="16"/>
        <v>3.2000000000000006</v>
      </c>
      <c r="AP16" s="1070">
        <f t="shared" si="15"/>
        <v>2.8000000000000003</v>
      </c>
      <c r="AQ16" s="1055">
        <f>SUM(AQ5:AQ15)</f>
        <v>28</v>
      </c>
      <c r="AR16" s="1070">
        <f>SUM(AR5:AR15)</f>
        <v>14.899999999999999</v>
      </c>
      <c r="AS16" s="1070">
        <f>SUM(AS5:AS15)</f>
        <v>3.8730000000000002</v>
      </c>
      <c r="AT16" s="1070">
        <f t="shared" ref="AT16" si="17">SUM(AT5:AT15)</f>
        <v>50.54999999999999</v>
      </c>
      <c r="AU16" s="1070">
        <f t="shared" si="15"/>
        <v>-5.6779999999999999</v>
      </c>
      <c r="AV16" s="1070">
        <f t="shared" si="15"/>
        <v>8.177999999999999</v>
      </c>
      <c r="AW16" s="1070">
        <f t="shared" si="15"/>
        <v>16.667999999999999</v>
      </c>
      <c r="AX16" s="1070">
        <f t="shared" si="15"/>
        <v>9.9</v>
      </c>
      <c r="AY16" s="1070">
        <f t="shared" si="15"/>
        <v>-25.860000000000003</v>
      </c>
      <c r="AZ16" s="1070">
        <f t="shared" si="15"/>
        <v>81.99</v>
      </c>
      <c r="BA16" s="1070">
        <v>0</v>
      </c>
      <c r="BB16" s="1070">
        <f t="shared" si="15"/>
        <v>24</v>
      </c>
      <c r="BC16" s="1070">
        <f t="shared" si="15"/>
        <v>7.25</v>
      </c>
      <c r="BD16" s="1070">
        <f t="shared" si="15"/>
        <v>49.8</v>
      </c>
      <c r="BE16" s="1070">
        <f t="shared" si="15"/>
        <v>9.02</v>
      </c>
      <c r="BF16" s="1070">
        <f t="shared" si="15"/>
        <v>6.2439999999999998</v>
      </c>
      <c r="BG16" s="1070">
        <f t="shared" si="15"/>
        <v>10.218</v>
      </c>
      <c r="BH16" s="1070">
        <f t="shared" si="15"/>
        <v>50.203999999999979</v>
      </c>
      <c r="BI16" s="1070">
        <f t="shared" si="15"/>
        <v>24.684000000000005</v>
      </c>
      <c r="BJ16" s="1062">
        <f>SUM(BJ5:BJ15)</f>
        <v>9.5399999999999991</v>
      </c>
    </row>
    <row r="17" spans="2:61" x14ac:dyDescent="0.3">
      <c r="R17" s="1080"/>
      <c r="S17" s="1080"/>
      <c r="W17" s="1080"/>
      <c r="X17" s="1080"/>
      <c r="AE17" s="1080"/>
      <c r="AF17" s="1080"/>
      <c r="AV17" s="1080"/>
      <c r="AW17" s="1080"/>
      <c r="AX17" s="1080"/>
      <c r="AY17" s="1080"/>
      <c r="AZ17" s="1080"/>
      <c r="BA17" s="1080"/>
      <c r="BC17" s="1080"/>
      <c r="BE17" s="1080"/>
      <c r="BF17" s="1080"/>
      <c r="BG17" s="1080"/>
    </row>
    <row r="18" spans="2:61" x14ac:dyDescent="0.3">
      <c r="R18" s="1080"/>
      <c r="S18" s="1080"/>
      <c r="W18" s="1080"/>
      <c r="X18" s="1080"/>
      <c r="AE18" s="1080"/>
      <c r="AF18" s="1080"/>
      <c r="AV18" s="1080"/>
      <c r="AW18" s="1080"/>
      <c r="AX18" s="1080"/>
      <c r="AY18" s="1080"/>
      <c r="AZ18" s="1080"/>
      <c r="BA18" s="1080"/>
      <c r="BC18" s="1080" t="s">
        <v>730</v>
      </c>
      <c r="BD18" s="1080" t="s">
        <v>730</v>
      </c>
      <c r="BE18" s="1080"/>
      <c r="BF18" s="1080" t="s">
        <v>730</v>
      </c>
      <c r="BG18" s="1080" t="s">
        <v>730</v>
      </c>
      <c r="BI18" s="1080" t="s">
        <v>730</v>
      </c>
    </row>
    <row r="19" spans="2:61" x14ac:dyDescent="0.3">
      <c r="B19" s="897"/>
      <c r="C19" s="897"/>
      <c r="D19" s="897"/>
      <c r="E19" s="897"/>
      <c r="F19" s="897"/>
      <c r="H19" s="897"/>
      <c r="I19" s="897"/>
      <c r="J19" s="897"/>
      <c r="K19" s="897"/>
      <c r="M19" s="897"/>
      <c r="N19" s="897"/>
      <c r="R19" s="1080"/>
      <c r="S19" s="1080"/>
      <c r="W19" s="1080"/>
      <c r="X19" s="1080"/>
      <c r="AE19" s="1080"/>
      <c r="AF19" s="1080"/>
      <c r="AV19" s="1080"/>
      <c r="AW19" s="1080"/>
      <c r="AX19" s="1080"/>
      <c r="AY19" s="1080"/>
      <c r="AZ19" s="1080"/>
      <c r="BA19" s="1080"/>
      <c r="BC19" s="1080"/>
      <c r="BD19" t="s">
        <v>731</v>
      </c>
      <c r="BE19" s="1080"/>
      <c r="BF19" s="1080"/>
      <c r="BG19" s="1080"/>
    </row>
    <row r="20" spans="2:61" x14ac:dyDescent="0.3">
      <c r="R20" s="1080"/>
      <c r="S20" s="1080"/>
      <c r="W20" s="1080"/>
      <c r="X20" s="1080"/>
      <c r="AE20" s="1080"/>
      <c r="AF20" s="1080"/>
      <c r="AV20" s="1080"/>
      <c r="AW20" s="1080"/>
      <c r="AX20" s="1080"/>
      <c r="AY20" s="1080"/>
      <c r="AZ20" s="1080"/>
      <c r="BA20" s="1080"/>
      <c r="BC20" s="1080"/>
      <c r="BE20" s="1080"/>
      <c r="BF20" s="1080"/>
      <c r="BG20" s="1080"/>
    </row>
    <row r="21" spans="2:61" x14ac:dyDescent="0.3">
      <c r="R21" s="1080"/>
      <c r="S21" s="1080"/>
      <c r="W21" s="1080"/>
      <c r="X21" s="1080"/>
      <c r="AE21" s="1080"/>
      <c r="AF21" s="1080"/>
      <c r="AV21" s="1080"/>
      <c r="AW21" s="1080"/>
      <c r="AX21" s="1080"/>
      <c r="AY21" s="1080"/>
      <c r="AZ21" s="1080"/>
      <c r="BA21" s="1080"/>
      <c r="BC21" s="1080"/>
      <c r="BE21" s="1080"/>
      <c r="BF21" s="1080"/>
      <c r="BG21" s="1080"/>
    </row>
    <row r="22" spans="2:61" x14ac:dyDescent="0.3">
      <c r="B22" s="897"/>
      <c r="R22" s="1080"/>
      <c r="S22" s="1080"/>
      <c r="W22" s="1080"/>
      <c r="X22" s="1080"/>
      <c r="AE22" s="1080"/>
      <c r="AF22" s="1080"/>
      <c r="AV22" s="1080"/>
      <c r="AW22" s="1080"/>
      <c r="AX22" s="1080"/>
      <c r="AY22" s="1080"/>
      <c r="AZ22" s="1080"/>
      <c r="BA22" s="1080"/>
      <c r="BC22" s="1080"/>
      <c r="BE22" s="1080"/>
      <c r="BF22" s="1080"/>
      <c r="BG22" s="1080"/>
    </row>
    <row r="23" spans="2:61" x14ac:dyDescent="0.3">
      <c r="B23" s="897"/>
      <c r="R23" s="1080"/>
      <c r="S23" s="1080"/>
      <c r="W23" s="1080"/>
      <c r="X23" s="1080"/>
      <c r="AE23" s="1080"/>
      <c r="AF23" s="1080"/>
      <c r="AV23" s="1080"/>
      <c r="AW23" s="1080"/>
      <c r="AX23" s="1080"/>
      <c r="AY23" s="1080"/>
      <c r="AZ23" s="1080"/>
      <c r="BA23" s="1080"/>
      <c r="BC23" s="1080"/>
      <c r="BE23" s="1080"/>
      <c r="BF23" s="1080"/>
      <c r="BG23" s="1080"/>
    </row>
    <row r="24" spans="2:61" x14ac:dyDescent="0.3">
      <c r="B24" s="897"/>
      <c r="R24" s="1080"/>
      <c r="S24" s="1080"/>
      <c r="W24" s="1080"/>
      <c r="X24" s="1080"/>
      <c r="AE24" s="1080"/>
      <c r="AF24" s="1080"/>
      <c r="AV24" s="1080"/>
      <c r="AW24" s="1080"/>
      <c r="AX24" s="1080"/>
      <c r="AY24" s="1080"/>
      <c r="AZ24" s="1080"/>
      <c r="BA24" s="1080"/>
      <c r="BC24" s="1080"/>
      <c r="BE24" s="1080"/>
      <c r="BF24" s="1080"/>
      <c r="BG24" s="1080"/>
    </row>
    <row r="25" spans="2:61" x14ac:dyDescent="0.3">
      <c r="B25" s="897"/>
      <c r="R25" s="1080"/>
      <c r="S25" s="1080"/>
      <c r="W25" s="1080"/>
      <c r="X25" s="1080"/>
      <c r="AE25" s="1080"/>
      <c r="AF25" s="1080"/>
      <c r="AV25" s="1080"/>
      <c r="AW25" s="1080"/>
      <c r="AX25" s="1080"/>
      <c r="AY25" s="1080"/>
      <c r="AZ25" s="1080"/>
      <c r="BA25" s="1080"/>
      <c r="BC25" s="1080"/>
      <c r="BE25" s="1080"/>
      <c r="BF25" s="1080"/>
      <c r="BG25" s="1080"/>
    </row>
    <row r="26" spans="2:61" x14ac:dyDescent="0.3">
      <c r="B26" s="897"/>
      <c r="R26" s="1080"/>
      <c r="S26" s="1080"/>
      <c r="W26" s="1080"/>
      <c r="X26" s="1080"/>
      <c r="AE26" s="1080"/>
      <c r="AF26" s="1080"/>
      <c r="AV26" s="1080"/>
      <c r="AW26" s="1080"/>
      <c r="AX26" s="1080"/>
      <c r="AY26" s="1080"/>
      <c r="AZ26" s="1080"/>
      <c r="BA26" s="1080"/>
      <c r="BC26" s="1080"/>
      <c r="BE26" s="1080"/>
      <c r="BF26" s="1080"/>
      <c r="BG26" s="1080"/>
    </row>
    <row r="27" spans="2:61" x14ac:dyDescent="0.3">
      <c r="B27" s="897"/>
      <c r="R27" s="1080"/>
      <c r="S27" s="1080"/>
      <c r="W27" s="1080"/>
      <c r="X27" s="1080"/>
      <c r="AE27" s="1080"/>
      <c r="AF27" s="1080"/>
      <c r="AV27" s="1080"/>
      <c r="AW27" s="1080"/>
      <c r="AX27" s="1080"/>
      <c r="AY27" s="1080"/>
      <c r="AZ27" s="1080"/>
      <c r="BA27" s="1080"/>
      <c r="BC27" s="1080"/>
      <c r="BE27" s="1080"/>
      <c r="BF27" s="1080"/>
      <c r="BG27" s="1080"/>
    </row>
    <row r="28" spans="2:61" x14ac:dyDescent="0.3">
      <c r="B28" s="897"/>
      <c r="R28" s="1080"/>
      <c r="S28" s="1080"/>
      <c r="W28" s="1080"/>
      <c r="X28" s="1080"/>
      <c r="AE28" s="1080"/>
      <c r="AF28" s="1080"/>
      <c r="AV28" s="1080"/>
      <c r="AW28" s="1080"/>
      <c r="AX28" s="1080"/>
      <c r="AY28" s="1080"/>
      <c r="AZ28" s="1080"/>
      <c r="BA28" s="1080"/>
      <c r="BC28" s="1080"/>
      <c r="BE28" s="1080"/>
      <c r="BF28" s="1080"/>
      <c r="BG28" s="1080"/>
    </row>
    <row r="29" spans="2:61" x14ac:dyDescent="0.3">
      <c r="R29" s="1080"/>
      <c r="S29" s="1080"/>
      <c r="W29" s="1080"/>
      <c r="X29" s="1080"/>
      <c r="AE29" s="1080"/>
      <c r="AF29" s="1080"/>
      <c r="AV29" s="1080"/>
      <c r="AW29" s="1080"/>
      <c r="AX29" s="1080"/>
      <c r="AY29" s="1080"/>
      <c r="AZ29" s="1080"/>
      <c r="BA29" s="1080"/>
      <c r="BC29" s="1080"/>
      <c r="BE29" s="1080"/>
      <c r="BF29" s="1080"/>
      <c r="BG29" s="1080"/>
    </row>
    <row r="30" spans="2:61" x14ac:dyDescent="0.3">
      <c r="R30" s="1080"/>
      <c r="S30" s="1080"/>
      <c r="W30" s="1080"/>
      <c r="X30" s="1080"/>
      <c r="AE30" s="1080"/>
      <c r="AF30" s="1080"/>
      <c r="AV30" s="1080"/>
      <c r="AW30" s="1080"/>
      <c r="AX30" s="1080"/>
      <c r="AY30" s="1080"/>
      <c r="AZ30" s="1080"/>
      <c r="BA30" s="1080"/>
      <c r="BC30" s="1080"/>
      <c r="BE30" s="1080"/>
      <c r="BF30" s="1080"/>
      <c r="BG30" s="1080"/>
    </row>
    <row r="31" spans="2:61" x14ac:dyDescent="0.3">
      <c r="R31" s="1080"/>
      <c r="S31" s="1080"/>
      <c r="W31" s="1080"/>
      <c r="X31" s="1080"/>
      <c r="AE31" s="1080"/>
      <c r="AF31" s="1080"/>
      <c r="AV31" s="1080"/>
      <c r="AW31" s="1080"/>
      <c r="AX31" s="1080"/>
      <c r="AY31" s="1080"/>
      <c r="AZ31" s="1080"/>
      <c r="BA31" s="1080"/>
      <c r="BC31" s="1080"/>
      <c r="BE31" s="1080"/>
      <c r="BF31" s="1080"/>
      <c r="BG31" s="1080"/>
    </row>
    <row r="32" spans="2:61" x14ac:dyDescent="0.3">
      <c r="R32" s="1080"/>
      <c r="S32" s="1080"/>
      <c r="W32" s="1080"/>
      <c r="X32" s="1080"/>
      <c r="AE32" s="1080"/>
      <c r="AF32" s="1080"/>
      <c r="AV32" s="1080"/>
      <c r="AW32" s="1080"/>
      <c r="AX32" s="1080"/>
      <c r="AY32" s="1080"/>
      <c r="AZ32" s="1080"/>
      <c r="BA32" s="1080"/>
      <c r="BC32" s="1080"/>
      <c r="BE32" s="1080"/>
      <c r="BF32" s="1080"/>
      <c r="BG32" s="1080"/>
    </row>
    <row r="33" spans="18:59" x14ac:dyDescent="0.3">
      <c r="R33" s="1080"/>
      <c r="S33" s="1080"/>
      <c r="W33" s="1080"/>
      <c r="X33" s="1080"/>
      <c r="AE33" s="1080"/>
      <c r="AF33" s="1080"/>
      <c r="AV33" s="1080"/>
      <c r="AW33" s="1080"/>
      <c r="AX33" s="1080"/>
      <c r="AY33" s="1080"/>
      <c r="AZ33" s="1080"/>
      <c r="BA33" s="1080"/>
      <c r="BC33" s="1080"/>
      <c r="BE33" s="1080"/>
      <c r="BF33" s="1080"/>
      <c r="BG33" s="1080"/>
    </row>
    <row r="34" spans="18:59" x14ac:dyDescent="0.3">
      <c r="R34" s="1080"/>
      <c r="S34" s="1080"/>
      <c r="W34" s="1080"/>
      <c r="X34" s="1080"/>
      <c r="AE34" s="1080"/>
      <c r="AF34" s="1080"/>
      <c r="AV34" s="1080"/>
      <c r="AW34" s="1080"/>
      <c r="AX34" s="1080"/>
      <c r="AY34" s="1080"/>
      <c r="AZ34" s="1080"/>
      <c r="BA34" s="1080"/>
      <c r="BC34" s="1080"/>
      <c r="BE34" s="1080"/>
      <c r="BF34" s="1080"/>
      <c r="BG34" s="1080"/>
    </row>
    <row r="35" spans="18:59" x14ac:dyDescent="0.3">
      <c r="R35" s="1080"/>
      <c r="S35" s="1080"/>
      <c r="W35" s="1080"/>
      <c r="X35" s="1080"/>
      <c r="AE35" s="1080"/>
      <c r="AF35" s="1080"/>
      <c r="AV35" s="1080"/>
      <c r="AW35" s="1080"/>
      <c r="AX35" s="1080"/>
      <c r="AY35" s="1080"/>
      <c r="AZ35" s="1080"/>
      <c r="BA35" s="1080"/>
      <c r="BC35" s="1080"/>
      <c r="BE35" s="1080"/>
      <c r="BF35" s="1080"/>
      <c r="BG35" s="1080"/>
    </row>
    <row r="36" spans="18:59" x14ac:dyDescent="0.3">
      <c r="R36" s="1080"/>
      <c r="S36" s="1080"/>
      <c r="W36" s="1080"/>
      <c r="X36" s="1080"/>
      <c r="AE36" s="1080"/>
      <c r="AF36" s="1080"/>
      <c r="AV36" s="1080"/>
      <c r="AW36" s="1080"/>
      <c r="AX36" s="1080"/>
      <c r="AY36" s="1080"/>
      <c r="AZ36" s="1080"/>
      <c r="BA36" s="1080"/>
      <c r="BC36" s="1080"/>
      <c r="BE36" s="1080"/>
      <c r="BF36" s="1080"/>
      <c r="BG36" s="1080"/>
    </row>
    <row r="37" spans="18:59" x14ac:dyDescent="0.3">
      <c r="R37" s="1080"/>
      <c r="S37" s="1080"/>
      <c r="W37" s="1080"/>
      <c r="X37" s="1080"/>
      <c r="AE37" s="1080"/>
      <c r="AF37" s="1080"/>
      <c r="AV37" s="1080"/>
      <c r="AW37" s="1080"/>
      <c r="AX37" s="1080"/>
      <c r="AY37" s="1080"/>
      <c r="AZ37" s="1080"/>
      <c r="BA37" s="1080"/>
      <c r="BC37" s="1080"/>
      <c r="BE37" s="1080"/>
      <c r="BF37" s="1080"/>
      <c r="BG37" s="1080"/>
    </row>
    <row r="38" spans="18:59" x14ac:dyDescent="0.3">
      <c r="R38" s="1080"/>
      <c r="S38" s="1080"/>
      <c r="W38" s="1080"/>
      <c r="X38" s="1080"/>
      <c r="AE38" s="1080"/>
      <c r="AF38" s="1080"/>
      <c r="AV38" s="1080"/>
      <c r="AW38" s="1080"/>
      <c r="AX38" s="1080"/>
      <c r="AY38" s="1080"/>
      <c r="AZ38" s="1080"/>
      <c r="BA38" s="1080"/>
      <c r="BC38" s="1080"/>
      <c r="BE38" s="1080"/>
      <c r="BF38" s="1080"/>
      <c r="BG38" s="1080"/>
    </row>
    <row r="39" spans="18:59" x14ac:dyDescent="0.3">
      <c r="R39" s="1080"/>
      <c r="S39" s="1080"/>
      <c r="W39" s="1080"/>
      <c r="X39" s="1080"/>
      <c r="AE39" s="1080"/>
      <c r="AF39" s="1080"/>
      <c r="AV39" s="1080"/>
      <c r="AW39" s="1080"/>
      <c r="AX39" s="1080"/>
      <c r="AY39" s="1080"/>
      <c r="AZ39" s="1080"/>
      <c r="BA39" s="1080"/>
      <c r="BC39" s="1080"/>
      <c r="BE39" s="1080"/>
      <c r="BF39" s="1080"/>
      <c r="BG39" s="1080"/>
    </row>
    <row r="40" spans="18:59" x14ac:dyDescent="0.3">
      <c r="R40" s="1080"/>
      <c r="S40" s="1080"/>
      <c r="W40" s="1080"/>
      <c r="X40" s="1080"/>
      <c r="AE40" s="1080"/>
      <c r="AF40" s="1080"/>
      <c r="AV40" s="1080"/>
      <c r="AW40" s="1080"/>
      <c r="AX40" s="1080"/>
      <c r="AY40" s="1080"/>
      <c r="AZ40" s="1080"/>
      <c r="BA40" s="1080"/>
      <c r="BC40" s="1080"/>
      <c r="BE40" s="1080"/>
      <c r="BF40" s="1080"/>
      <c r="BG40" s="1080"/>
    </row>
    <row r="41" spans="18:59" x14ac:dyDescent="0.3">
      <c r="R41" s="1080"/>
      <c r="S41" s="1080"/>
      <c r="W41" s="1080"/>
      <c r="X41" s="1080"/>
      <c r="AE41" s="1080"/>
      <c r="AF41" s="1080"/>
      <c r="AV41" s="1080"/>
      <c r="AW41" s="1080"/>
      <c r="AX41" s="1080"/>
      <c r="AY41" s="1080"/>
      <c r="AZ41" s="1080"/>
      <c r="BA41" s="1080"/>
      <c r="BC41" s="1080"/>
      <c r="BE41" s="1080"/>
      <c r="BF41" s="1080"/>
      <c r="BG41" s="1080"/>
    </row>
    <row r="42" spans="18:59" x14ac:dyDescent="0.3">
      <c r="R42" s="1080"/>
      <c r="S42" s="1080"/>
      <c r="W42" s="1080"/>
      <c r="X42" s="1080"/>
      <c r="AE42" s="1080"/>
      <c r="AF42" s="1080"/>
      <c r="AV42" s="1080"/>
      <c r="AW42" s="1080"/>
      <c r="AX42" s="1080"/>
      <c r="AY42" s="1080"/>
      <c r="AZ42" s="1080"/>
      <c r="BA42" s="1080"/>
      <c r="BC42" s="1080"/>
      <c r="BE42" s="1080"/>
      <c r="BF42" s="1080"/>
      <c r="BG42" s="1080"/>
    </row>
    <row r="43" spans="18:59" x14ac:dyDescent="0.3">
      <c r="R43" s="1080"/>
      <c r="S43" s="1080"/>
      <c r="W43" s="1080"/>
      <c r="X43" s="1080"/>
      <c r="AE43" s="1080"/>
      <c r="AF43" s="1080"/>
      <c r="AV43" s="1080"/>
      <c r="AW43" s="1080"/>
      <c r="AX43" s="1080"/>
      <c r="AY43" s="1080"/>
      <c r="AZ43" s="1080"/>
      <c r="BA43" s="1080"/>
      <c r="BC43" s="1080"/>
      <c r="BE43" s="1080"/>
      <c r="BF43" s="1080"/>
      <c r="BG43" s="1080"/>
    </row>
    <row r="44" spans="18:59" x14ac:dyDescent="0.3">
      <c r="R44" s="1080"/>
      <c r="S44" s="1080"/>
      <c r="W44" s="1080"/>
      <c r="X44" s="1080"/>
      <c r="AE44" s="1080"/>
      <c r="AF44" s="1080"/>
      <c r="AV44" s="1080"/>
      <c r="AW44" s="1080"/>
      <c r="AX44" s="1080"/>
      <c r="AY44" s="1080"/>
      <c r="AZ44" s="1080"/>
      <c r="BA44" s="1080"/>
      <c r="BC44" s="1080"/>
      <c r="BE44" s="1080"/>
      <c r="BF44" s="1080"/>
      <c r="BG44" s="1080"/>
    </row>
    <row r="45" spans="18:59" x14ac:dyDescent="0.3">
      <c r="R45" s="1080"/>
      <c r="S45" s="1080"/>
      <c r="W45" s="1080"/>
      <c r="X45" s="1080"/>
      <c r="AE45" s="1080"/>
      <c r="AF45" s="1080"/>
      <c r="AV45" s="1080"/>
      <c r="AW45" s="1080"/>
      <c r="AX45" s="1080"/>
      <c r="AY45" s="1080"/>
      <c r="AZ45" s="1080"/>
      <c r="BA45" s="1080"/>
      <c r="BC45" s="1080"/>
      <c r="BE45" s="1080"/>
      <c r="BF45" s="1080"/>
      <c r="BG45" s="1080"/>
    </row>
    <row r="46" spans="18:59" x14ac:dyDescent="0.3">
      <c r="R46" s="1080"/>
      <c r="S46" s="1080"/>
      <c r="W46" s="1080"/>
      <c r="X46" s="1080"/>
      <c r="AE46" s="1080"/>
      <c r="AF46" s="1080"/>
      <c r="AV46" s="1080"/>
      <c r="AW46" s="1080"/>
      <c r="AX46" s="1080"/>
      <c r="AY46" s="1080"/>
      <c r="AZ46" s="1080"/>
      <c r="BA46" s="1080"/>
      <c r="BC46" s="1080"/>
      <c r="BE46" s="1080"/>
      <c r="BF46" s="1080"/>
      <c r="BG46" s="1080"/>
    </row>
    <row r="47" spans="18:59" x14ac:dyDescent="0.3">
      <c r="R47" s="1080"/>
      <c r="S47" s="1080"/>
      <c r="W47" s="1080"/>
      <c r="X47" s="1080"/>
      <c r="AE47" s="1080"/>
      <c r="AF47" s="1080"/>
      <c r="AV47" s="1080"/>
      <c r="AW47" s="1080"/>
      <c r="AX47" s="1080"/>
      <c r="AY47" s="1080"/>
      <c r="AZ47" s="1080"/>
      <c r="BA47" s="1080"/>
      <c r="BC47" s="1080"/>
      <c r="BE47" s="1080"/>
      <c r="BF47" s="1080"/>
      <c r="BG47" s="1080"/>
    </row>
    <row r="48" spans="18:59" x14ac:dyDescent="0.3">
      <c r="R48" s="1080"/>
      <c r="S48" s="1080"/>
      <c r="W48" s="1080"/>
      <c r="X48" s="1080"/>
      <c r="AE48" s="1080"/>
      <c r="AF48" s="1080"/>
      <c r="AV48" s="1080"/>
      <c r="AW48" s="1080"/>
      <c r="AX48" s="1080"/>
      <c r="AY48" s="1080"/>
      <c r="AZ48" s="1080"/>
      <c r="BA48" s="1080"/>
      <c r="BC48" s="1080"/>
      <c r="BE48" s="1080"/>
      <c r="BF48" s="1080"/>
      <c r="BG48" s="1080"/>
    </row>
    <row r="49" spans="18:59" x14ac:dyDescent="0.3">
      <c r="R49" s="1080"/>
      <c r="S49" s="1080"/>
      <c r="W49" s="1080"/>
      <c r="X49" s="1080"/>
      <c r="AE49" s="1080"/>
      <c r="AF49" s="1080"/>
      <c r="AV49" s="1080"/>
      <c r="AW49" s="1080"/>
      <c r="AX49" s="1080"/>
      <c r="AY49" s="1080"/>
      <c r="AZ49" s="1080"/>
      <c r="BA49" s="1080"/>
      <c r="BC49" s="1080"/>
      <c r="BE49" s="1080"/>
      <c r="BF49" s="1080"/>
      <c r="BG49" s="1080"/>
    </row>
    <row r="50" spans="18:59" x14ac:dyDescent="0.3">
      <c r="R50" s="1080"/>
      <c r="S50" s="1080"/>
      <c r="W50" s="1080"/>
      <c r="X50" s="1080"/>
      <c r="AE50" s="1080"/>
      <c r="AF50" s="1080"/>
      <c r="AV50" s="1080"/>
      <c r="AW50" s="1080"/>
      <c r="AX50" s="1080"/>
      <c r="AY50" s="1080"/>
      <c r="AZ50" s="1080"/>
      <c r="BA50" s="1080"/>
      <c r="BC50" s="1080"/>
      <c r="BE50" s="1080"/>
      <c r="BF50" s="1080"/>
      <c r="BG50" s="1080"/>
    </row>
    <row r="51" spans="18:59" x14ac:dyDescent="0.3">
      <c r="R51" s="1080"/>
      <c r="S51" s="1080"/>
      <c r="W51" s="1080"/>
      <c r="X51" s="1080"/>
      <c r="AE51" s="1080"/>
      <c r="AF51" s="1080"/>
      <c r="AV51" s="1080"/>
      <c r="AW51" s="1080"/>
      <c r="AX51" s="1080"/>
      <c r="AY51" s="1080"/>
      <c r="AZ51" s="1080"/>
      <c r="BA51" s="1080"/>
      <c r="BC51" s="1080"/>
      <c r="BE51" s="1080"/>
      <c r="BF51" s="1080"/>
      <c r="BG51" s="1080"/>
    </row>
    <row r="52" spans="18:59" x14ac:dyDescent="0.3">
      <c r="R52" s="1080"/>
      <c r="S52" s="1080"/>
      <c r="W52" s="1080"/>
      <c r="X52" s="1080"/>
      <c r="AE52" s="1080"/>
      <c r="AF52" s="1080"/>
      <c r="AV52" s="1080"/>
      <c r="AW52" s="1080"/>
      <c r="AX52" s="1080"/>
      <c r="AY52" s="1080"/>
      <c r="AZ52" s="1080"/>
      <c r="BA52" s="1080"/>
      <c r="BC52" s="1080"/>
      <c r="BE52" s="1080"/>
      <c r="BF52" s="1080"/>
      <c r="BG52" s="1080"/>
    </row>
    <row r="53" spans="18:59" x14ac:dyDescent="0.3">
      <c r="R53" s="1080"/>
      <c r="S53" s="1080"/>
      <c r="W53" s="1080"/>
      <c r="X53" s="1080"/>
      <c r="AE53" s="1080"/>
      <c r="AF53" s="1080"/>
      <c r="AV53" s="1080"/>
      <c r="AW53" s="1080"/>
      <c r="AX53" s="1080"/>
      <c r="AY53" s="1080"/>
      <c r="AZ53" s="1080"/>
      <c r="BA53" s="1080"/>
      <c r="BC53" s="1080"/>
      <c r="BE53" s="1080"/>
      <c r="BF53" s="1080"/>
      <c r="BG53" s="1080"/>
    </row>
    <row r="54" spans="18:59" x14ac:dyDescent="0.3">
      <c r="R54" s="1080"/>
      <c r="S54" s="1080"/>
      <c r="W54" s="1080"/>
      <c r="X54" s="1080"/>
      <c r="AE54" s="1080"/>
      <c r="AF54" s="1080"/>
      <c r="AV54" s="1080"/>
      <c r="AW54" s="1080"/>
      <c r="AX54" s="1080"/>
      <c r="AY54" s="1080"/>
      <c r="AZ54" s="1080"/>
      <c r="BA54" s="1080"/>
      <c r="BC54" s="1080"/>
      <c r="BE54" s="1080"/>
      <c r="BF54" s="1080"/>
      <c r="BG54" s="1080"/>
    </row>
    <row r="55" spans="18:59" x14ac:dyDescent="0.3">
      <c r="R55" s="1080"/>
      <c r="S55" s="1080"/>
      <c r="W55" s="1080"/>
      <c r="X55" s="1080"/>
      <c r="AE55" s="1080"/>
      <c r="AF55" s="1080"/>
      <c r="AV55" s="1080"/>
      <c r="AW55" s="1080"/>
      <c r="AX55" s="1080"/>
      <c r="AY55" s="1080"/>
      <c r="AZ55" s="1080"/>
      <c r="BA55" s="1080"/>
      <c r="BC55" s="1080"/>
      <c r="BE55" s="1080"/>
      <c r="BF55" s="1080"/>
      <c r="BG55" s="1080"/>
    </row>
    <row r="56" spans="18:59" x14ac:dyDescent="0.3">
      <c r="R56" s="1080"/>
      <c r="S56" s="1080"/>
      <c r="W56" s="1080"/>
      <c r="X56" s="1080"/>
      <c r="AE56" s="1080"/>
      <c r="AF56" s="1080"/>
      <c r="AV56" s="1080"/>
      <c r="AW56" s="1080"/>
      <c r="AX56" s="1080"/>
      <c r="AY56" s="1080"/>
      <c r="AZ56" s="1080"/>
      <c r="BA56" s="1080"/>
      <c r="BC56" s="1080"/>
      <c r="BE56" s="1080"/>
      <c r="BF56" s="1080"/>
      <c r="BG56" s="1080"/>
    </row>
    <row r="57" spans="18:59" x14ac:dyDescent="0.3">
      <c r="R57" s="1080"/>
      <c r="S57" s="1080"/>
      <c r="W57" s="1080"/>
      <c r="X57" s="1080"/>
      <c r="AE57" s="1080"/>
      <c r="AF57" s="1080"/>
      <c r="AV57" s="1080"/>
      <c r="AW57" s="1080"/>
      <c r="AX57" s="1080"/>
      <c r="AY57" s="1080"/>
      <c r="AZ57" s="1080"/>
      <c r="BA57" s="1080"/>
      <c r="BC57" s="1080"/>
      <c r="BE57" s="1080"/>
      <c r="BF57" s="1080"/>
      <c r="BG57" s="1080"/>
    </row>
    <row r="58" spans="18:59" x14ac:dyDescent="0.3">
      <c r="R58" s="1080"/>
      <c r="S58" s="1080"/>
      <c r="W58" s="1080"/>
      <c r="X58" s="1080"/>
      <c r="AE58" s="1080"/>
      <c r="AF58" s="1080"/>
      <c r="AV58" s="1080"/>
      <c r="AW58" s="1080"/>
      <c r="AX58" s="1080"/>
      <c r="AY58" s="1080"/>
      <c r="AZ58" s="1080"/>
      <c r="BA58" s="1080"/>
      <c r="BC58" s="1080"/>
      <c r="BE58" s="1080"/>
      <c r="BF58" s="1080"/>
      <c r="BG58" s="1080"/>
    </row>
    <row r="59" spans="18:59" x14ac:dyDescent="0.3">
      <c r="R59" s="1080"/>
      <c r="S59" s="1080"/>
      <c r="W59" s="1080"/>
      <c r="X59" s="1080"/>
      <c r="AE59" s="1080"/>
      <c r="AF59" s="1080"/>
      <c r="AV59" s="1080"/>
      <c r="AW59" s="1080"/>
      <c r="AX59" s="1080"/>
      <c r="AY59" s="1080"/>
      <c r="AZ59" s="1080"/>
      <c r="BA59" s="1080"/>
      <c r="BC59" s="1080"/>
      <c r="BE59" s="1080"/>
      <c r="BF59" s="1080"/>
      <c r="BG59" s="1080"/>
    </row>
    <row r="60" spans="18:59" x14ac:dyDescent="0.3">
      <c r="R60" s="1080"/>
      <c r="S60" s="1080"/>
      <c r="W60" s="1080"/>
      <c r="X60" s="1080"/>
      <c r="AE60" s="1080"/>
      <c r="AF60" s="1080"/>
      <c r="AV60" s="1080"/>
      <c r="AW60" s="1080"/>
      <c r="AX60" s="1080"/>
      <c r="AY60" s="1080"/>
      <c r="AZ60" s="1080"/>
      <c r="BA60" s="1080"/>
      <c r="BC60" s="1080"/>
      <c r="BE60" s="1080"/>
      <c r="BF60" s="1080"/>
      <c r="BG60" s="1080"/>
    </row>
    <row r="61" spans="18:59" x14ac:dyDescent="0.3">
      <c r="R61" s="1080"/>
      <c r="S61" s="1080"/>
      <c r="W61" s="1080"/>
      <c r="X61" s="1080"/>
      <c r="AE61" s="1080"/>
      <c r="AF61" s="1080"/>
      <c r="AV61" s="1080"/>
      <c r="AW61" s="1080"/>
      <c r="AX61" s="1080"/>
      <c r="AY61" s="1080"/>
      <c r="AZ61" s="1080"/>
      <c r="BA61" s="1080"/>
      <c r="BC61" s="1080"/>
      <c r="BE61" s="1080"/>
      <c r="BF61" s="1080"/>
      <c r="BG61" s="1080"/>
    </row>
    <row r="62" spans="18:59" x14ac:dyDescent="0.3">
      <c r="R62" s="1080"/>
      <c r="S62" s="1080"/>
      <c r="W62" s="1080"/>
      <c r="X62" s="1080"/>
      <c r="AE62" s="1080"/>
      <c r="AF62" s="1080"/>
      <c r="AV62" s="1080"/>
      <c r="AW62" s="1080"/>
      <c r="AX62" s="1080"/>
      <c r="AY62" s="1080"/>
      <c r="AZ62" s="1080"/>
      <c r="BA62" s="1080"/>
      <c r="BC62" s="1080"/>
      <c r="BE62" s="1080"/>
      <c r="BF62" s="1080"/>
      <c r="BG62" s="1080"/>
    </row>
    <row r="63" spans="18:59" x14ac:dyDescent="0.3">
      <c r="R63" s="1080"/>
      <c r="S63" s="1080"/>
      <c r="W63" s="1080"/>
      <c r="X63" s="1080"/>
      <c r="AE63" s="1080"/>
      <c r="AF63" s="1080"/>
      <c r="AV63" s="1080"/>
      <c r="AW63" s="1080"/>
      <c r="AX63" s="1080"/>
      <c r="AY63" s="1080"/>
      <c r="AZ63" s="1080"/>
      <c r="BA63" s="1080"/>
      <c r="BC63" s="1080"/>
      <c r="BE63" s="1080"/>
      <c r="BF63" s="1080"/>
      <c r="BG63" s="1080"/>
    </row>
    <row r="64" spans="18:59" x14ac:dyDescent="0.3">
      <c r="R64" s="1080"/>
      <c r="S64" s="1080"/>
      <c r="W64" s="1080"/>
      <c r="X64" s="1080"/>
      <c r="AE64" s="1080"/>
      <c r="AF64" s="1080"/>
      <c r="AV64" s="1080"/>
      <c r="AW64" s="1080"/>
      <c r="AX64" s="1080"/>
      <c r="AY64" s="1080"/>
      <c r="AZ64" s="1080"/>
      <c r="BA64" s="1080"/>
      <c r="BC64" s="1080"/>
      <c r="BE64" s="1080"/>
      <c r="BF64" s="1080"/>
      <c r="BG64" s="1080"/>
    </row>
    <row r="65" spans="18:59" x14ac:dyDescent="0.3">
      <c r="R65" s="1080"/>
      <c r="S65" s="1080"/>
      <c r="W65" s="1080"/>
      <c r="X65" s="1080"/>
      <c r="AE65" s="1080"/>
      <c r="AF65" s="1080"/>
      <c r="AV65" s="1080"/>
      <c r="AW65" s="1080"/>
      <c r="AX65" s="1080"/>
      <c r="AY65" s="1080"/>
      <c r="AZ65" s="1080"/>
      <c r="BA65" s="1080"/>
      <c r="BC65" s="1080"/>
      <c r="BE65" s="1080"/>
      <c r="BF65" s="1080"/>
      <c r="BG65" s="1080"/>
    </row>
    <row r="66" spans="18:59" x14ac:dyDescent="0.3">
      <c r="R66" s="1080"/>
      <c r="S66" s="1080"/>
      <c r="W66" s="1080"/>
      <c r="X66" s="1080"/>
      <c r="AE66" s="1080"/>
      <c r="AF66" s="1080"/>
      <c r="AV66" s="1080"/>
      <c r="AW66" s="1080"/>
      <c r="AX66" s="1080"/>
      <c r="AY66" s="1080"/>
      <c r="AZ66" s="1080"/>
      <c r="BA66" s="1080"/>
      <c r="BC66" s="1080"/>
      <c r="BE66" s="1080"/>
      <c r="BF66" s="1080"/>
      <c r="BG66" s="1080"/>
    </row>
    <row r="67" spans="18:59" x14ac:dyDescent="0.3">
      <c r="R67" s="1080"/>
      <c r="S67" s="1080"/>
      <c r="W67" s="1080"/>
      <c r="X67" s="1080"/>
      <c r="AE67" s="1080"/>
      <c r="AF67" s="1080"/>
      <c r="AV67" s="1080"/>
      <c r="AW67" s="1080"/>
      <c r="AX67" s="1080"/>
      <c r="AY67" s="1080"/>
      <c r="AZ67" s="1080"/>
      <c r="BA67" s="1080"/>
      <c r="BC67" s="1080"/>
      <c r="BE67" s="1080"/>
      <c r="BF67" s="1080"/>
      <c r="BG67" s="1080"/>
    </row>
    <row r="68" spans="18:59" x14ac:dyDescent="0.3">
      <c r="R68" s="1080"/>
      <c r="S68" s="1080"/>
      <c r="W68" s="1080"/>
      <c r="X68" s="1080"/>
      <c r="AE68" s="1080"/>
      <c r="AF68" s="1080"/>
      <c r="AV68" s="1080"/>
      <c r="AW68" s="1080"/>
      <c r="AX68" s="1080"/>
      <c r="AY68" s="1080"/>
      <c r="AZ68" s="1080"/>
      <c r="BA68" s="1080"/>
      <c r="BC68" s="1080"/>
      <c r="BE68" s="1080"/>
      <c r="BF68" s="1080"/>
      <c r="BG68" s="1080"/>
    </row>
    <row r="69" spans="18:59" x14ac:dyDescent="0.3">
      <c r="R69" s="1080"/>
      <c r="S69" s="1080"/>
      <c r="W69" s="1080"/>
      <c r="X69" s="1080"/>
      <c r="AE69" s="1080"/>
      <c r="AF69" s="1080"/>
      <c r="AV69" s="1080"/>
      <c r="AW69" s="1080"/>
      <c r="AX69" s="1080"/>
      <c r="AY69" s="1080"/>
      <c r="AZ69" s="1080"/>
      <c r="BA69" s="1080"/>
      <c r="BC69" s="1080"/>
      <c r="BE69" s="1080"/>
      <c r="BF69" s="1080"/>
      <c r="BG69" s="1080"/>
    </row>
    <row r="70" spans="18:59" x14ac:dyDescent="0.3">
      <c r="R70" s="1080"/>
      <c r="S70" s="1080"/>
      <c r="W70" s="1080"/>
      <c r="X70" s="1080"/>
      <c r="AE70" s="1080"/>
      <c r="AF70" s="1080"/>
      <c r="AV70" s="1080"/>
      <c r="AW70" s="1080"/>
      <c r="AX70" s="1080"/>
      <c r="AY70" s="1080"/>
      <c r="AZ70" s="1080"/>
      <c r="BA70" s="1080"/>
      <c r="BC70" s="1080"/>
      <c r="BE70" s="1080"/>
      <c r="BF70" s="1080"/>
      <c r="BG70" s="1080"/>
    </row>
    <row r="71" spans="18:59" x14ac:dyDescent="0.3">
      <c r="R71" s="1080"/>
      <c r="S71" s="1080"/>
      <c r="W71" s="1080"/>
      <c r="X71" s="1080"/>
      <c r="AE71" s="1080"/>
      <c r="AF71" s="1080"/>
      <c r="AV71" s="1080"/>
      <c r="AW71" s="1080"/>
      <c r="AX71" s="1080"/>
      <c r="AY71" s="1080"/>
      <c r="AZ71" s="1080"/>
      <c r="BA71" s="1080"/>
      <c r="BC71" s="1080"/>
      <c r="BE71" s="1080"/>
      <c r="BF71" s="1080"/>
      <c r="BG71" s="1080"/>
    </row>
    <row r="72" spans="18:59" x14ac:dyDescent="0.3">
      <c r="R72" s="1080"/>
      <c r="S72" s="1080"/>
      <c r="W72" s="1080"/>
      <c r="X72" s="1080"/>
      <c r="AE72" s="1080"/>
      <c r="AF72" s="1080"/>
      <c r="AV72" s="1080"/>
      <c r="AW72" s="1080"/>
      <c r="AX72" s="1080"/>
      <c r="AY72" s="1080"/>
      <c r="AZ72" s="1080"/>
      <c r="BA72" s="1080"/>
      <c r="BC72" s="1080"/>
      <c r="BE72" s="1080"/>
      <c r="BF72" s="1080"/>
      <c r="BG72" s="1080"/>
    </row>
    <row r="73" spans="18:59" x14ac:dyDescent="0.3">
      <c r="R73" s="1080"/>
      <c r="S73" s="1080"/>
      <c r="W73" s="1080"/>
      <c r="X73" s="1080"/>
      <c r="AE73" s="1080"/>
      <c r="AF73" s="1080"/>
      <c r="AV73" s="1080"/>
      <c r="AW73" s="1080"/>
      <c r="AX73" s="1080"/>
      <c r="AY73" s="1080"/>
      <c r="AZ73" s="1080"/>
      <c r="BA73" s="1080"/>
      <c r="BC73" s="1080"/>
      <c r="BE73" s="1080"/>
      <c r="BF73" s="1080"/>
      <c r="BG73" s="1080"/>
    </row>
    <row r="74" spans="18:59" x14ac:dyDescent="0.3">
      <c r="R74" s="1080"/>
      <c r="S74" s="1080"/>
      <c r="W74" s="1080"/>
      <c r="X74" s="1080"/>
      <c r="AE74" s="1080"/>
      <c r="AF74" s="1080"/>
      <c r="AV74" s="1080"/>
      <c r="AW74" s="1080"/>
      <c r="AX74" s="1080"/>
      <c r="AY74" s="1080"/>
      <c r="AZ74" s="1080"/>
      <c r="BA74" s="1080"/>
      <c r="BC74" s="1080"/>
      <c r="BE74" s="1080"/>
      <c r="BF74" s="1080"/>
      <c r="BG74" s="1080"/>
    </row>
    <row r="75" spans="18:59" x14ac:dyDescent="0.3">
      <c r="R75" s="1080"/>
      <c r="S75" s="1080"/>
      <c r="W75" s="1080"/>
      <c r="X75" s="1080"/>
      <c r="AE75" s="1080"/>
      <c r="AF75" s="1080"/>
      <c r="AV75" s="1080"/>
      <c r="AW75" s="1080"/>
      <c r="AX75" s="1080"/>
      <c r="AY75" s="1080"/>
      <c r="AZ75" s="1080"/>
      <c r="BA75" s="1080"/>
      <c r="BC75" s="1080"/>
      <c r="BE75" s="1080"/>
      <c r="BF75" s="1080"/>
      <c r="BG75" s="1080"/>
    </row>
    <row r="76" spans="18:59" x14ac:dyDescent="0.3">
      <c r="R76" s="1080"/>
      <c r="S76" s="1080"/>
      <c r="W76" s="1080"/>
      <c r="X76" s="1080"/>
      <c r="AE76" s="1080"/>
      <c r="AF76" s="1080"/>
      <c r="AV76" s="1080"/>
      <c r="AW76" s="1080"/>
      <c r="AX76" s="1080"/>
      <c r="AY76" s="1080"/>
      <c r="AZ76" s="1080"/>
      <c r="BA76" s="1080"/>
      <c r="BC76" s="1080"/>
      <c r="BE76" s="1080"/>
      <c r="BF76" s="1080"/>
      <c r="BG76" s="1080"/>
    </row>
    <row r="77" spans="18:59" x14ac:dyDescent="0.3">
      <c r="R77" s="1080"/>
      <c r="S77" s="1080"/>
      <c r="W77" s="1080"/>
      <c r="X77" s="1080"/>
      <c r="AE77" s="1080"/>
      <c r="AF77" s="1080"/>
      <c r="AV77" s="1080"/>
      <c r="AW77" s="1080"/>
      <c r="AX77" s="1080"/>
      <c r="AY77" s="1080"/>
      <c r="AZ77" s="1080"/>
      <c r="BA77" s="1080"/>
      <c r="BC77" s="1080"/>
      <c r="BE77" s="1080"/>
      <c r="BF77" s="1080"/>
      <c r="BG77" s="1080"/>
    </row>
    <row r="78" spans="18:59" x14ac:dyDescent="0.3">
      <c r="R78" s="1080"/>
      <c r="S78" s="1080"/>
      <c r="W78" s="1080"/>
      <c r="X78" s="1080"/>
      <c r="AE78" s="1080"/>
      <c r="AF78" s="1080"/>
      <c r="AV78" s="1080"/>
      <c r="AW78" s="1080"/>
      <c r="AX78" s="1080"/>
      <c r="AY78" s="1080"/>
      <c r="AZ78" s="1080"/>
      <c r="BA78" s="1080"/>
      <c r="BC78" s="1080"/>
      <c r="BE78" s="1080"/>
      <c r="BF78" s="1080"/>
      <c r="BG78" s="1080"/>
    </row>
    <row r="79" spans="18:59" x14ac:dyDescent="0.3">
      <c r="R79" s="1080"/>
      <c r="S79" s="1080"/>
      <c r="W79" s="1080"/>
      <c r="X79" s="1080"/>
      <c r="AE79" s="1080"/>
      <c r="AF79" s="1080"/>
      <c r="AV79" s="1080"/>
      <c r="AW79" s="1080"/>
      <c r="AX79" s="1080"/>
      <c r="AY79" s="1080"/>
      <c r="AZ79" s="1080"/>
      <c r="BA79" s="1080"/>
      <c r="BC79" s="1080"/>
      <c r="BE79" s="1080"/>
      <c r="BF79" s="1080"/>
      <c r="BG79" s="1080"/>
    </row>
    <row r="80" spans="18:59" x14ac:dyDescent="0.3">
      <c r="R80" s="1080"/>
      <c r="S80" s="1080"/>
      <c r="W80" s="1080"/>
      <c r="X80" s="1080"/>
      <c r="AE80" s="1080"/>
      <c r="AF80" s="1080"/>
      <c r="AV80" s="1080"/>
      <c r="AW80" s="1080"/>
      <c r="AX80" s="1080"/>
      <c r="AY80" s="1080"/>
      <c r="AZ80" s="1080"/>
      <c r="BA80" s="1080"/>
      <c r="BC80" s="1080"/>
      <c r="BE80" s="1080"/>
      <c r="BF80" s="1080"/>
      <c r="BG80" s="1080"/>
    </row>
    <row r="81" spans="18:59" x14ac:dyDescent="0.3">
      <c r="R81" s="1080"/>
      <c r="S81" s="1080"/>
      <c r="W81" s="1080"/>
      <c r="X81" s="1080"/>
      <c r="AE81" s="1080"/>
      <c r="AF81" s="1080"/>
      <c r="AV81" s="1080"/>
      <c r="AW81" s="1080"/>
      <c r="AX81" s="1080"/>
      <c r="AY81" s="1080"/>
      <c r="AZ81" s="1080"/>
      <c r="BA81" s="1080"/>
      <c r="BC81" s="1080"/>
      <c r="BE81" s="1080"/>
      <c r="BF81" s="1080"/>
      <c r="BG81" s="1080"/>
    </row>
    <row r="82" spans="18:59" x14ac:dyDescent="0.3">
      <c r="R82" s="1080"/>
      <c r="S82" s="1080"/>
      <c r="W82" s="1080"/>
      <c r="X82" s="1080"/>
      <c r="AE82" s="1080"/>
      <c r="AF82" s="1080"/>
      <c r="AV82" s="1080"/>
      <c r="AW82" s="1080"/>
      <c r="AX82" s="1080"/>
      <c r="AY82" s="1080"/>
      <c r="AZ82" s="1080"/>
      <c r="BA82" s="1080"/>
      <c r="BC82" s="1080"/>
      <c r="BE82" s="1080"/>
      <c r="BF82" s="1080"/>
      <c r="BG82" s="1080"/>
    </row>
    <row r="83" spans="18:59" x14ac:dyDescent="0.3">
      <c r="R83" s="1080"/>
      <c r="S83" s="1080"/>
      <c r="W83" s="1080"/>
      <c r="X83" s="1080"/>
      <c r="AE83" s="1080"/>
      <c r="AF83" s="1080"/>
      <c r="AV83" s="1080"/>
      <c r="AW83" s="1080"/>
      <c r="AX83" s="1080"/>
      <c r="AY83" s="1080"/>
      <c r="AZ83" s="1080"/>
      <c r="BA83" s="1080"/>
      <c r="BC83" s="1080"/>
      <c r="BE83" s="1080"/>
      <c r="BF83" s="1080"/>
      <c r="BG83" s="1080"/>
    </row>
    <row r="84" spans="18:59" x14ac:dyDescent="0.3">
      <c r="R84" s="1080"/>
      <c r="S84" s="1080"/>
      <c r="W84" s="1080"/>
      <c r="X84" s="1080"/>
      <c r="AE84" s="1080"/>
      <c r="AF84" s="1080"/>
      <c r="AV84" s="1080"/>
      <c r="AW84" s="1080"/>
      <c r="AX84" s="1080"/>
      <c r="AY84" s="1080"/>
      <c r="AZ84" s="1080"/>
      <c r="BA84" s="1080"/>
      <c r="BC84" s="1080"/>
      <c r="BE84" s="1080"/>
      <c r="BF84" s="1080"/>
      <c r="BG84" s="1080"/>
    </row>
    <row r="85" spans="18:59" x14ac:dyDescent="0.3">
      <c r="R85" s="1080"/>
      <c r="S85" s="1080"/>
      <c r="W85" s="1080"/>
      <c r="X85" s="1080"/>
      <c r="AE85" s="1080"/>
      <c r="AF85" s="1080"/>
      <c r="AV85" s="1080"/>
      <c r="AW85" s="1080"/>
      <c r="AX85" s="1080"/>
      <c r="AY85" s="1080"/>
      <c r="AZ85" s="1080"/>
      <c r="BA85" s="1080"/>
      <c r="BC85" s="1080"/>
      <c r="BE85" s="1080"/>
      <c r="BF85" s="1080"/>
      <c r="BG85" s="1080"/>
    </row>
    <row r="86" spans="18:59" x14ac:dyDescent="0.3">
      <c r="R86" s="1080"/>
      <c r="S86" s="1080"/>
      <c r="W86" s="1080"/>
      <c r="X86" s="1080"/>
      <c r="AE86" s="1080"/>
      <c r="AF86" s="1080"/>
      <c r="AV86" s="1080"/>
      <c r="AW86" s="1080"/>
      <c r="AX86" s="1080"/>
      <c r="AY86" s="1080"/>
      <c r="AZ86" s="1080"/>
      <c r="BA86" s="1080"/>
      <c r="BC86" s="1080"/>
      <c r="BE86" s="1080"/>
      <c r="BF86" s="1080"/>
      <c r="BG86" s="1080"/>
    </row>
    <row r="87" spans="18:59" x14ac:dyDescent="0.3">
      <c r="R87" s="1080"/>
      <c r="S87" s="1080"/>
      <c r="W87" s="1080"/>
      <c r="X87" s="1080"/>
      <c r="AE87" s="1080"/>
      <c r="AF87" s="1080"/>
      <c r="AV87" s="1080"/>
      <c r="AW87" s="1080"/>
      <c r="AX87" s="1080"/>
      <c r="AY87" s="1080"/>
      <c r="AZ87" s="1080"/>
      <c r="BA87" s="1080"/>
      <c r="BC87" s="1080"/>
      <c r="BE87" s="1080"/>
      <c r="BF87" s="1080"/>
      <c r="BG87" s="1080"/>
    </row>
    <row r="88" spans="18:59" x14ac:dyDescent="0.3">
      <c r="R88" s="1080"/>
      <c r="S88" s="1080"/>
      <c r="W88" s="1080"/>
      <c r="X88" s="1080"/>
      <c r="AE88" s="1080"/>
      <c r="AF88" s="1080"/>
      <c r="AV88" s="1080"/>
      <c r="AW88" s="1080"/>
      <c r="AX88" s="1080"/>
      <c r="AY88" s="1080"/>
      <c r="AZ88" s="1080"/>
      <c r="BA88" s="1080"/>
      <c r="BC88" s="1080"/>
      <c r="BE88" s="1080"/>
      <c r="BF88" s="1080"/>
      <c r="BG88" s="1080"/>
    </row>
    <row r="89" spans="18:59" x14ac:dyDescent="0.3">
      <c r="R89" s="1080"/>
      <c r="S89" s="1080"/>
      <c r="W89" s="1080"/>
      <c r="X89" s="1080"/>
      <c r="AE89" s="1080"/>
      <c r="AF89" s="1080"/>
      <c r="AV89" s="1080"/>
      <c r="AW89" s="1080"/>
      <c r="AX89" s="1080"/>
      <c r="AY89" s="1080"/>
      <c r="AZ89" s="1080"/>
      <c r="BA89" s="1080"/>
      <c r="BC89" s="1080"/>
      <c r="BE89" s="1080"/>
      <c r="BF89" s="1080"/>
      <c r="BG89" s="1080"/>
    </row>
    <row r="90" spans="18:59" x14ac:dyDescent="0.3">
      <c r="R90" s="1080"/>
      <c r="S90" s="1080"/>
      <c r="W90" s="1080"/>
      <c r="X90" s="1080"/>
      <c r="AE90" s="1080"/>
      <c r="AF90" s="1080"/>
      <c r="AV90" s="1080"/>
      <c r="AW90" s="1080"/>
      <c r="AX90" s="1080"/>
      <c r="AY90" s="1080"/>
      <c r="AZ90" s="1080"/>
      <c r="BA90" s="1080"/>
      <c r="BC90" s="1080"/>
      <c r="BE90" s="1080"/>
      <c r="BF90" s="1080"/>
      <c r="BG90" s="1080"/>
    </row>
    <row r="91" spans="18:59" x14ac:dyDescent="0.3">
      <c r="R91" s="1080"/>
      <c r="S91" s="1080"/>
      <c r="W91" s="1080"/>
      <c r="X91" s="1080"/>
      <c r="AE91" s="1080"/>
      <c r="AF91" s="1080"/>
      <c r="AV91" s="1080"/>
      <c r="AW91" s="1080"/>
      <c r="AX91" s="1080"/>
      <c r="AY91" s="1080"/>
      <c r="AZ91" s="1080"/>
      <c r="BA91" s="1080"/>
      <c r="BC91" s="1080"/>
      <c r="BE91" s="1080"/>
      <c r="BF91" s="1080"/>
      <c r="BG91" s="1080"/>
    </row>
    <row r="92" spans="18:59" x14ac:dyDescent="0.3">
      <c r="R92" s="1080"/>
      <c r="S92" s="1080"/>
      <c r="W92" s="1080"/>
      <c r="X92" s="1080"/>
      <c r="AE92" s="1080"/>
      <c r="AF92" s="1080"/>
      <c r="AV92" s="1080"/>
      <c r="AW92" s="1080"/>
      <c r="AX92" s="1080"/>
      <c r="AY92" s="1080"/>
      <c r="AZ92" s="1080"/>
      <c r="BA92" s="1080"/>
      <c r="BC92" s="1080"/>
      <c r="BE92" s="1080"/>
      <c r="BF92" s="1080"/>
      <c r="BG92" s="1080"/>
    </row>
    <row r="93" spans="18:59" x14ac:dyDescent="0.3">
      <c r="R93" s="1080"/>
      <c r="S93" s="1080"/>
      <c r="W93" s="1080"/>
      <c r="X93" s="1080"/>
      <c r="AE93" s="1080"/>
      <c r="AF93" s="1080"/>
      <c r="AV93" s="1080"/>
      <c r="AW93" s="1080"/>
      <c r="AX93" s="1080"/>
      <c r="AY93" s="1080"/>
      <c r="AZ93" s="1080"/>
      <c r="BA93" s="1080"/>
      <c r="BC93" s="1080"/>
      <c r="BE93" s="1080"/>
      <c r="BF93" s="1080"/>
      <c r="BG93" s="1080"/>
    </row>
    <row r="94" spans="18:59" x14ac:dyDescent="0.3">
      <c r="R94" s="1080"/>
      <c r="S94" s="1080"/>
      <c r="W94" s="1080"/>
      <c r="X94" s="1080"/>
      <c r="AE94" s="1080"/>
      <c r="AF94" s="1080"/>
      <c r="AV94" s="1080"/>
      <c r="AW94" s="1080"/>
      <c r="AX94" s="1080"/>
      <c r="AY94" s="1080"/>
      <c r="AZ94" s="1080"/>
      <c r="BA94" s="1080"/>
      <c r="BC94" s="1080"/>
      <c r="BE94" s="1080"/>
      <c r="BF94" s="1080"/>
      <c r="BG94" s="1080"/>
    </row>
    <row r="95" spans="18:59" x14ac:dyDescent="0.3">
      <c r="R95" s="1080"/>
      <c r="S95" s="1080"/>
      <c r="W95" s="1080"/>
      <c r="X95" s="1080"/>
      <c r="AE95" s="1080"/>
      <c r="AF95" s="1080"/>
      <c r="AV95" s="1080"/>
      <c r="AW95" s="1080"/>
      <c r="AX95" s="1080"/>
      <c r="AY95" s="1080"/>
      <c r="AZ95" s="1080"/>
      <c r="BA95" s="1080"/>
      <c r="BC95" s="1080"/>
      <c r="BE95" s="1080"/>
      <c r="BF95" s="1080"/>
      <c r="BG95" s="1080"/>
    </row>
    <row r="96" spans="18:59" x14ac:dyDescent="0.3">
      <c r="R96" s="1080"/>
      <c r="S96" s="1080"/>
      <c r="W96" s="1080"/>
      <c r="X96" s="1080"/>
      <c r="AE96" s="1080"/>
      <c r="AF96" s="1080"/>
      <c r="AV96" s="1080"/>
      <c r="AW96" s="1080"/>
      <c r="AX96" s="1080"/>
      <c r="AY96" s="1080"/>
      <c r="AZ96" s="1080"/>
      <c r="BA96" s="1080"/>
      <c r="BC96" s="1080"/>
      <c r="BE96" s="1080"/>
      <c r="BF96" s="1080"/>
      <c r="BG96" s="1080"/>
    </row>
    <row r="97" spans="18:59" x14ac:dyDescent="0.3">
      <c r="R97" s="1080"/>
      <c r="S97" s="1080"/>
      <c r="W97" s="1080"/>
      <c r="X97" s="1080"/>
      <c r="AE97" s="1080"/>
      <c r="AF97" s="1080"/>
      <c r="AV97" s="1080"/>
      <c r="AW97" s="1080"/>
      <c r="AX97" s="1080"/>
      <c r="AY97" s="1080"/>
      <c r="AZ97" s="1080"/>
      <c r="BA97" s="1080"/>
      <c r="BC97" s="1080"/>
      <c r="BE97" s="1080"/>
      <c r="BF97" s="1080"/>
      <c r="BG97" s="1080"/>
    </row>
    <row r="98" spans="18:59" x14ac:dyDescent="0.3">
      <c r="R98" s="1080"/>
      <c r="S98" s="1080"/>
      <c r="W98" s="1080"/>
      <c r="X98" s="1080"/>
      <c r="AE98" s="1080"/>
      <c r="AF98" s="1080"/>
      <c r="AV98" s="1080"/>
      <c r="AW98" s="1080"/>
      <c r="AX98" s="1080"/>
      <c r="AY98" s="1080"/>
      <c r="AZ98" s="1080"/>
      <c r="BA98" s="1080"/>
      <c r="BC98" s="1080"/>
      <c r="BE98" s="1080"/>
      <c r="BF98" s="1080"/>
      <c r="BG98" s="1080"/>
    </row>
    <row r="99" spans="18:59" x14ac:dyDescent="0.3">
      <c r="R99" s="1080"/>
      <c r="S99" s="1080"/>
      <c r="W99" s="1080"/>
      <c r="X99" s="1080"/>
      <c r="AE99" s="1080"/>
      <c r="AF99" s="1080"/>
      <c r="AV99" s="1080"/>
      <c r="AW99" s="1080"/>
      <c r="AX99" s="1080"/>
      <c r="AY99" s="1080"/>
      <c r="AZ99" s="1080"/>
      <c r="BA99" s="1080"/>
      <c r="BC99" s="1080"/>
      <c r="BE99" s="1080"/>
      <c r="BF99" s="1080"/>
      <c r="BG99" s="1080"/>
    </row>
    <row r="100" spans="18:59" x14ac:dyDescent="0.3">
      <c r="R100" s="1080"/>
      <c r="S100" s="1080"/>
      <c r="W100" s="1080"/>
      <c r="X100" s="1080"/>
      <c r="AE100" s="1080"/>
      <c r="AF100" s="1080"/>
      <c r="AV100" s="1080"/>
      <c r="AW100" s="1080"/>
      <c r="AX100" s="1080"/>
      <c r="AY100" s="1080"/>
      <c r="AZ100" s="1080"/>
      <c r="BA100" s="1080"/>
      <c r="BC100" s="1080"/>
      <c r="BE100" s="1080"/>
      <c r="BF100" s="1080"/>
      <c r="BG100" s="1080"/>
    </row>
    <row r="101" spans="18:59" x14ac:dyDescent="0.3">
      <c r="R101" s="1080"/>
      <c r="S101" s="1080"/>
      <c r="W101" s="1080"/>
      <c r="X101" s="1080"/>
      <c r="AE101" s="1080"/>
      <c r="AF101" s="1080"/>
      <c r="AV101" s="1080"/>
      <c r="AW101" s="1080"/>
      <c r="AX101" s="1080"/>
      <c r="AY101" s="1080"/>
      <c r="AZ101" s="1080"/>
      <c r="BA101" s="1080"/>
      <c r="BC101" s="1080"/>
      <c r="BE101" s="1080"/>
      <c r="BF101" s="1080"/>
      <c r="BG101" s="1080"/>
    </row>
    <row r="102" spans="18:59" x14ac:dyDescent="0.3">
      <c r="R102" s="1080"/>
      <c r="S102" s="1080"/>
      <c r="W102" s="1080"/>
      <c r="X102" s="1080"/>
      <c r="AE102" s="1080"/>
      <c r="AF102" s="1080"/>
      <c r="AV102" s="1080"/>
      <c r="AW102" s="1080"/>
      <c r="AX102" s="1080"/>
      <c r="AY102" s="1080"/>
      <c r="AZ102" s="1080"/>
      <c r="BA102" s="1080"/>
      <c r="BC102" s="1080"/>
      <c r="BE102" s="1080"/>
      <c r="BF102" s="1080"/>
      <c r="BG102" s="1080"/>
    </row>
    <row r="103" spans="18:59" x14ac:dyDescent="0.3">
      <c r="R103" s="1080"/>
      <c r="S103" s="1080"/>
      <c r="W103" s="1080"/>
      <c r="X103" s="1080"/>
      <c r="AE103" s="1080"/>
      <c r="AF103" s="1080"/>
      <c r="AV103" s="1080"/>
      <c r="AW103" s="1080"/>
      <c r="AX103" s="1080"/>
      <c r="AY103" s="1080"/>
      <c r="AZ103" s="1080"/>
      <c r="BA103" s="1080"/>
      <c r="BC103" s="1080"/>
      <c r="BE103" s="1080"/>
      <c r="BF103" s="1080"/>
      <c r="BG103" s="1080"/>
    </row>
    <row r="104" spans="18:59" x14ac:dyDescent="0.3">
      <c r="R104" s="1080"/>
      <c r="S104" s="1080"/>
      <c r="W104" s="1080"/>
      <c r="X104" s="1080"/>
      <c r="AE104" s="1080"/>
      <c r="AF104" s="1080"/>
      <c r="AV104" s="1080"/>
      <c r="AW104" s="1080"/>
      <c r="AX104" s="1080"/>
      <c r="AY104" s="1080"/>
      <c r="AZ104" s="1080"/>
      <c r="BA104" s="1080"/>
      <c r="BC104" s="1080"/>
      <c r="BE104" s="1080"/>
      <c r="BF104" s="1080"/>
      <c r="BG104" s="1080"/>
    </row>
    <row r="105" spans="18:59" x14ac:dyDescent="0.3">
      <c r="R105" s="1080"/>
      <c r="S105" s="1080"/>
      <c r="W105" s="1080"/>
      <c r="X105" s="1080"/>
      <c r="AE105" s="1080"/>
      <c r="AF105" s="1080"/>
      <c r="AV105" s="1080"/>
      <c r="AW105" s="1080"/>
      <c r="AX105" s="1080"/>
      <c r="AY105" s="1080"/>
      <c r="AZ105" s="1080"/>
      <c r="BA105" s="1080"/>
      <c r="BC105" s="1080"/>
      <c r="BE105" s="1080"/>
      <c r="BF105" s="1080"/>
      <c r="BG105" s="1080"/>
    </row>
    <row r="106" spans="18:59" x14ac:dyDescent="0.3">
      <c r="R106" s="1080"/>
      <c r="S106" s="1080"/>
      <c r="W106" s="1080"/>
      <c r="X106" s="1080"/>
      <c r="AE106" s="1080"/>
      <c r="AF106" s="1080"/>
      <c r="AV106" s="1080"/>
      <c r="AW106" s="1080"/>
      <c r="AX106" s="1080"/>
      <c r="AY106" s="1080"/>
      <c r="AZ106" s="1080"/>
      <c r="BA106" s="1080"/>
      <c r="BC106" s="1080"/>
      <c r="BE106" s="1080"/>
      <c r="BF106" s="1080"/>
      <c r="BG106" s="1080"/>
    </row>
    <row r="107" spans="18:59" x14ac:dyDescent="0.3">
      <c r="R107" s="1080"/>
      <c r="S107" s="1080"/>
      <c r="W107" s="1080"/>
      <c r="X107" s="1080"/>
      <c r="AE107" s="1080"/>
      <c r="AF107" s="1080"/>
      <c r="AV107" s="1080"/>
      <c r="AW107" s="1080"/>
      <c r="AX107" s="1080"/>
      <c r="AY107" s="1080"/>
      <c r="AZ107" s="1080"/>
      <c r="BA107" s="1080"/>
      <c r="BC107" s="1080"/>
      <c r="BE107" s="1080"/>
      <c r="BF107" s="1080"/>
      <c r="BG107" s="1080"/>
    </row>
    <row r="108" spans="18:59" x14ac:dyDescent="0.3">
      <c r="R108" s="1080"/>
      <c r="S108" s="1080"/>
      <c r="W108" s="1080"/>
      <c r="X108" s="1080"/>
      <c r="AE108" s="1080"/>
      <c r="AF108" s="1080"/>
      <c r="AV108" s="1080"/>
      <c r="AW108" s="1080"/>
      <c r="AX108" s="1080"/>
      <c r="AY108" s="1080"/>
      <c r="AZ108" s="1080"/>
      <c r="BA108" s="1080"/>
      <c r="BC108" s="1080"/>
      <c r="BE108" s="1080"/>
      <c r="BF108" s="1080"/>
      <c r="BG108" s="1080"/>
    </row>
    <row r="109" spans="18:59" x14ac:dyDescent="0.3">
      <c r="R109" s="1080"/>
      <c r="S109" s="1080"/>
      <c r="W109" s="1080"/>
      <c r="X109" s="1080"/>
      <c r="AE109" s="1080"/>
      <c r="AF109" s="1080"/>
      <c r="AV109" s="1080"/>
      <c r="AW109" s="1080"/>
      <c r="AX109" s="1080"/>
      <c r="AY109" s="1080"/>
      <c r="AZ109" s="1080"/>
      <c r="BA109" s="1080"/>
      <c r="BC109" s="1080"/>
      <c r="BE109" s="1080"/>
      <c r="BF109" s="1080"/>
      <c r="BG109" s="1080"/>
    </row>
    <row r="110" spans="18:59" x14ac:dyDescent="0.3">
      <c r="R110" s="1080"/>
      <c r="S110" s="1080"/>
      <c r="W110" s="1080"/>
      <c r="X110" s="1080"/>
      <c r="AE110" s="1080"/>
      <c r="AF110" s="1080"/>
      <c r="AV110" s="1080"/>
      <c r="AW110" s="1080"/>
      <c r="AX110" s="1080"/>
      <c r="AY110" s="1080"/>
      <c r="AZ110" s="1080"/>
      <c r="BA110" s="1080"/>
      <c r="BC110" s="1080"/>
      <c r="BE110" s="1080"/>
      <c r="BF110" s="1080"/>
      <c r="BG110" s="1080"/>
    </row>
    <row r="111" spans="18:59" x14ac:dyDescent="0.3">
      <c r="R111" s="1080"/>
      <c r="S111" s="1080"/>
      <c r="W111" s="1080"/>
      <c r="X111" s="1080"/>
      <c r="AE111" s="1080"/>
      <c r="AF111" s="1080"/>
      <c r="AV111" s="1080"/>
      <c r="AW111" s="1080"/>
      <c r="AX111" s="1080"/>
      <c r="AY111" s="1080"/>
      <c r="AZ111" s="1080"/>
      <c r="BA111" s="1080"/>
      <c r="BC111" s="1080"/>
      <c r="BE111" s="1080"/>
      <c r="BF111" s="1080"/>
      <c r="BG111" s="1080"/>
    </row>
    <row r="112" spans="18:59" x14ac:dyDescent="0.3">
      <c r="R112" s="1080"/>
      <c r="S112" s="1080"/>
      <c r="W112" s="1080"/>
      <c r="X112" s="1080"/>
      <c r="AE112" s="1080"/>
      <c r="AF112" s="1080"/>
      <c r="AV112" s="1080"/>
      <c r="AW112" s="1080"/>
      <c r="AX112" s="1080"/>
      <c r="AY112" s="1080"/>
      <c r="AZ112" s="1080"/>
      <c r="BA112" s="1080"/>
      <c r="BC112" s="1080"/>
      <c r="BE112" s="1080"/>
      <c r="BF112" s="1080"/>
      <c r="BG112" s="1080"/>
    </row>
    <row r="113" spans="18:59" x14ac:dyDescent="0.3">
      <c r="R113" s="1080"/>
      <c r="S113" s="1080"/>
      <c r="W113" s="1080"/>
      <c r="X113" s="1080"/>
      <c r="AE113" s="1080"/>
      <c r="AF113" s="1080"/>
      <c r="AV113" s="1080"/>
      <c r="AW113" s="1080"/>
      <c r="AX113" s="1080"/>
      <c r="AY113" s="1080"/>
      <c r="AZ113" s="1080"/>
      <c r="BA113" s="1080"/>
      <c r="BC113" s="1080"/>
      <c r="BE113" s="1080"/>
      <c r="BF113" s="1080"/>
      <c r="BG113" s="1080"/>
    </row>
    <row r="114" spans="18:59" x14ac:dyDescent="0.3">
      <c r="R114" s="1080"/>
      <c r="S114" s="1080"/>
      <c r="W114" s="1080"/>
      <c r="X114" s="1080"/>
      <c r="AE114" s="1080"/>
      <c r="AF114" s="1080"/>
      <c r="AV114" s="1080"/>
      <c r="AW114" s="1080"/>
      <c r="AX114" s="1080"/>
      <c r="AY114" s="1080"/>
      <c r="AZ114" s="1080"/>
      <c r="BA114" s="1080"/>
      <c r="BC114" s="1080"/>
      <c r="BE114" s="1080"/>
      <c r="BF114" s="1080"/>
      <c r="BG114" s="1080"/>
    </row>
    <row r="115" spans="18:59" x14ac:dyDescent="0.3">
      <c r="R115" s="1080"/>
      <c r="S115" s="1080"/>
      <c r="W115" s="1080"/>
      <c r="X115" s="1080"/>
      <c r="AE115" s="1080"/>
      <c r="AF115" s="1080"/>
      <c r="AV115" s="1080"/>
      <c r="AW115" s="1080"/>
      <c r="AX115" s="1080"/>
      <c r="AY115" s="1080"/>
      <c r="AZ115" s="1080"/>
      <c r="BA115" s="1080"/>
      <c r="BC115" s="1080"/>
      <c r="BE115" s="1080"/>
      <c r="BF115" s="1080"/>
      <c r="BG115" s="1080"/>
    </row>
    <row r="116" spans="18:59" x14ac:dyDescent="0.3">
      <c r="R116" s="1080"/>
      <c r="S116" s="1080"/>
      <c r="W116" s="1080"/>
      <c r="X116" s="1080"/>
      <c r="AE116" s="1080"/>
      <c r="AF116" s="1080"/>
      <c r="AV116" s="1080"/>
      <c r="AW116" s="1080"/>
      <c r="AX116" s="1080"/>
      <c r="AY116" s="1080"/>
      <c r="AZ116" s="1080"/>
      <c r="BA116" s="1080"/>
      <c r="BC116" s="1080"/>
      <c r="BE116" s="1080"/>
      <c r="BF116" s="1080"/>
      <c r="BG116" s="1080"/>
    </row>
    <row r="117" spans="18:59" x14ac:dyDescent="0.3">
      <c r="R117" s="1080"/>
      <c r="S117" s="1080"/>
      <c r="W117" s="1080"/>
      <c r="X117" s="1080"/>
      <c r="AE117" s="1080"/>
      <c r="AF117" s="1080"/>
      <c r="AV117" s="1080"/>
      <c r="AW117" s="1080"/>
      <c r="AX117" s="1080"/>
      <c r="AY117" s="1080"/>
      <c r="AZ117" s="1080"/>
      <c r="BA117" s="1080"/>
      <c r="BC117" s="1080"/>
      <c r="BE117" s="1080"/>
      <c r="BF117" s="1080"/>
      <c r="BG117" s="1080"/>
    </row>
    <row r="118" spans="18:59" x14ac:dyDescent="0.3">
      <c r="R118" s="1080"/>
      <c r="S118" s="1080"/>
      <c r="W118" s="1080"/>
      <c r="X118" s="1080"/>
      <c r="AE118" s="1080"/>
      <c r="AF118" s="1080"/>
      <c r="AV118" s="1080"/>
      <c r="AW118" s="1080"/>
      <c r="AX118" s="1080"/>
      <c r="AY118" s="1080"/>
      <c r="AZ118" s="1080"/>
      <c r="BA118" s="1080"/>
      <c r="BC118" s="1080"/>
      <c r="BE118" s="1080"/>
      <c r="BF118" s="1080"/>
      <c r="BG118" s="1080"/>
    </row>
    <row r="119" spans="18:59" x14ac:dyDescent="0.3">
      <c r="R119" s="1080"/>
      <c r="S119" s="1080"/>
      <c r="W119" s="1080"/>
      <c r="X119" s="1080"/>
      <c r="AE119" s="1080"/>
      <c r="AF119" s="1080"/>
      <c r="AV119" s="1080"/>
      <c r="AW119" s="1080"/>
      <c r="AX119" s="1080"/>
      <c r="AY119" s="1080"/>
      <c r="AZ119" s="1080"/>
      <c r="BA119" s="1080"/>
      <c r="BC119" s="1080"/>
      <c r="BE119" s="1080"/>
      <c r="BF119" s="1080"/>
      <c r="BG119" s="1080"/>
    </row>
    <row r="120" spans="18:59" x14ac:dyDescent="0.3">
      <c r="R120" s="1080"/>
      <c r="S120" s="1080"/>
      <c r="W120" s="1080"/>
      <c r="X120" s="1080"/>
      <c r="AE120" s="1080"/>
      <c r="AF120" s="1080"/>
      <c r="AV120" s="1080"/>
      <c r="AW120" s="1080"/>
      <c r="AX120" s="1080"/>
      <c r="AY120" s="1080"/>
      <c r="AZ120" s="1080"/>
      <c r="BA120" s="1080"/>
      <c r="BC120" s="1080"/>
      <c r="BE120" s="1080"/>
      <c r="BF120" s="1080"/>
      <c r="BG120" s="1080"/>
    </row>
    <row r="121" spans="18:59" x14ac:dyDescent="0.3">
      <c r="R121" s="1080"/>
      <c r="S121" s="1080"/>
      <c r="W121" s="1080"/>
      <c r="X121" s="1080"/>
      <c r="AE121" s="1080"/>
      <c r="AF121" s="1080"/>
      <c r="AV121" s="1080"/>
      <c r="AW121" s="1080"/>
      <c r="AX121" s="1080"/>
      <c r="AY121" s="1080"/>
      <c r="AZ121" s="1080"/>
      <c r="BA121" s="1080"/>
      <c r="BC121" s="1080"/>
      <c r="BE121" s="1080"/>
      <c r="BF121" s="1080"/>
      <c r="BG121" s="1080"/>
    </row>
    <row r="122" spans="18:59" x14ac:dyDescent="0.3">
      <c r="R122" s="1080"/>
      <c r="S122" s="1080"/>
      <c r="W122" s="1080"/>
      <c r="X122" s="1080"/>
      <c r="AE122" s="1080"/>
      <c r="AF122" s="1080"/>
      <c r="AV122" s="1080"/>
      <c r="AW122" s="1080"/>
      <c r="AX122" s="1080"/>
      <c r="AY122" s="1080"/>
      <c r="AZ122" s="1080"/>
      <c r="BA122" s="1080"/>
      <c r="BC122" s="1080"/>
      <c r="BE122" s="1080"/>
      <c r="BF122" s="1080"/>
      <c r="BG122" s="1080"/>
    </row>
    <row r="123" spans="18:59" x14ac:dyDescent="0.3">
      <c r="R123" s="1080"/>
      <c r="S123" s="1080"/>
      <c r="W123" s="1080"/>
      <c r="X123" s="1080"/>
      <c r="AE123" s="1080"/>
      <c r="AF123" s="1080"/>
      <c r="AV123" s="1080"/>
      <c r="AW123" s="1080"/>
      <c r="AX123" s="1080"/>
      <c r="AY123" s="1080"/>
      <c r="AZ123" s="1080"/>
      <c r="BA123" s="1080"/>
      <c r="BC123" s="1080"/>
      <c r="BE123" s="1080"/>
      <c r="BF123" s="1080"/>
      <c r="BG123" s="1080"/>
    </row>
    <row r="124" spans="18:59" x14ac:dyDescent="0.3">
      <c r="R124" s="1080"/>
      <c r="S124" s="1080"/>
      <c r="W124" s="1080"/>
      <c r="X124" s="1080"/>
      <c r="AE124" s="1080"/>
      <c r="AF124" s="1080"/>
      <c r="AV124" s="1080"/>
      <c r="AW124" s="1080"/>
      <c r="AX124" s="1080"/>
      <c r="AY124" s="1080"/>
      <c r="AZ124" s="1080"/>
      <c r="BA124" s="1080"/>
      <c r="BC124" s="1080"/>
      <c r="BE124" s="1080"/>
      <c r="BF124" s="1080"/>
      <c r="BG124" s="1080"/>
    </row>
    <row r="125" spans="18:59" x14ac:dyDescent="0.3">
      <c r="R125" s="1080"/>
      <c r="S125" s="1080"/>
      <c r="W125" s="1080"/>
      <c r="X125" s="1080"/>
      <c r="AE125" s="1080"/>
      <c r="AF125" s="1080"/>
      <c r="AV125" s="1080"/>
      <c r="AW125" s="1080"/>
      <c r="AX125" s="1080"/>
      <c r="AY125" s="1080"/>
      <c r="AZ125" s="1080"/>
      <c r="BA125" s="1080"/>
      <c r="BC125" s="1080"/>
      <c r="BE125" s="1080"/>
      <c r="BF125" s="1080"/>
      <c r="BG125" s="1080"/>
    </row>
    <row r="126" spans="18:59" x14ac:dyDescent="0.3">
      <c r="R126" s="1080"/>
      <c r="S126" s="1080"/>
      <c r="W126" s="1080"/>
      <c r="X126" s="1080"/>
      <c r="AE126" s="1080"/>
      <c r="AF126" s="1080"/>
      <c r="AV126" s="1080"/>
      <c r="AW126" s="1080"/>
      <c r="AX126" s="1080"/>
      <c r="AY126" s="1080"/>
      <c r="AZ126" s="1080"/>
      <c r="BA126" s="1080"/>
      <c r="BC126" s="1080"/>
      <c r="BE126" s="1080"/>
      <c r="BF126" s="1080"/>
      <c r="BG126" s="1080"/>
    </row>
    <row r="127" spans="18:59" x14ac:dyDescent="0.3">
      <c r="R127" s="1080"/>
      <c r="S127" s="1080"/>
      <c r="W127" s="1080"/>
      <c r="X127" s="1080"/>
      <c r="AE127" s="1080"/>
      <c r="AF127" s="1080"/>
      <c r="AV127" s="1080"/>
      <c r="AW127" s="1080"/>
      <c r="AX127" s="1080"/>
      <c r="AY127" s="1080"/>
      <c r="AZ127" s="1080"/>
      <c r="BA127" s="1080"/>
      <c r="BC127" s="1080"/>
      <c r="BE127" s="1080"/>
      <c r="BF127" s="1080"/>
      <c r="BG127" s="1080"/>
    </row>
    <row r="128" spans="18:59" x14ac:dyDescent="0.3">
      <c r="R128" s="1080"/>
      <c r="S128" s="1080"/>
      <c r="W128" s="1080"/>
      <c r="X128" s="1080"/>
      <c r="AE128" s="1080"/>
      <c r="AF128" s="1080"/>
      <c r="AV128" s="1080"/>
      <c r="AW128" s="1080"/>
      <c r="AX128" s="1080"/>
      <c r="AY128" s="1080"/>
      <c r="AZ128" s="1080"/>
      <c r="BA128" s="1080"/>
      <c r="BC128" s="1080"/>
      <c r="BE128" s="1080"/>
      <c r="BF128" s="1080"/>
      <c r="BG128" s="1080"/>
    </row>
    <row r="129" spans="18:59" x14ac:dyDescent="0.3">
      <c r="R129" s="1080"/>
      <c r="S129" s="1080"/>
      <c r="W129" s="1080"/>
      <c r="X129" s="1080"/>
      <c r="AE129" s="1080"/>
      <c r="AF129" s="1080"/>
      <c r="AV129" s="1080"/>
      <c r="AW129" s="1080"/>
      <c r="AX129" s="1080"/>
      <c r="AY129" s="1080"/>
      <c r="AZ129" s="1080"/>
      <c r="BA129" s="1080"/>
      <c r="BC129" s="1080"/>
      <c r="BE129" s="1080"/>
      <c r="BF129" s="1080"/>
      <c r="BG129" s="1080"/>
    </row>
    <row r="130" spans="18:59" x14ac:dyDescent="0.3">
      <c r="R130" s="1080"/>
      <c r="S130" s="1080"/>
      <c r="W130" s="1080"/>
      <c r="X130" s="1080"/>
      <c r="AE130" s="1080"/>
      <c r="AF130" s="1080"/>
      <c r="AV130" s="1080"/>
      <c r="AW130" s="1080"/>
      <c r="AX130" s="1080"/>
      <c r="AY130" s="1080"/>
      <c r="AZ130" s="1080"/>
      <c r="BA130" s="1080"/>
      <c r="BC130" s="1080"/>
      <c r="BE130" s="1080"/>
      <c r="BF130" s="1080"/>
      <c r="BG130" s="1080"/>
    </row>
    <row r="131" spans="18:59" x14ac:dyDescent="0.3">
      <c r="R131" s="1080"/>
      <c r="S131" s="1080"/>
      <c r="W131" s="1080"/>
      <c r="X131" s="1080"/>
      <c r="AE131" s="1080"/>
      <c r="AF131" s="1080"/>
      <c r="AV131" s="1080"/>
      <c r="AW131" s="1080"/>
      <c r="AX131" s="1080"/>
      <c r="AY131" s="1080"/>
      <c r="AZ131" s="1080"/>
      <c r="BA131" s="1080"/>
      <c r="BC131" s="1080"/>
      <c r="BE131" s="1080"/>
      <c r="BF131" s="1080"/>
      <c r="BG131" s="1080"/>
    </row>
    <row r="132" spans="18:59" x14ac:dyDescent="0.3">
      <c r="R132" s="1080"/>
      <c r="S132" s="1080"/>
      <c r="W132" s="1080"/>
      <c r="X132" s="1080"/>
      <c r="AE132" s="1080"/>
      <c r="AF132" s="1080"/>
      <c r="AV132" s="1080"/>
      <c r="AW132" s="1080"/>
      <c r="AX132" s="1080"/>
      <c r="AY132" s="1080"/>
      <c r="AZ132" s="1080"/>
      <c r="BA132" s="1080"/>
      <c r="BC132" s="1080"/>
      <c r="BE132" s="1080"/>
      <c r="BF132" s="1080"/>
      <c r="BG132" s="1080"/>
    </row>
    <row r="133" spans="18:59" x14ac:dyDescent="0.3">
      <c r="R133" s="1080"/>
      <c r="S133" s="1080"/>
      <c r="W133" s="1080"/>
      <c r="X133" s="1080"/>
      <c r="AE133" s="1080"/>
      <c r="AF133" s="1080"/>
      <c r="AV133" s="1080"/>
      <c r="AW133" s="1080"/>
      <c r="AX133" s="1080"/>
      <c r="AY133" s="1080"/>
      <c r="AZ133" s="1080"/>
      <c r="BA133" s="1080"/>
      <c r="BC133" s="1080"/>
      <c r="BE133" s="1080"/>
      <c r="BF133" s="1080"/>
      <c r="BG133" s="1080"/>
    </row>
    <row r="134" spans="18:59" x14ac:dyDescent="0.3">
      <c r="R134" s="1080"/>
      <c r="S134" s="1080"/>
      <c r="W134" s="1080"/>
      <c r="X134" s="1080"/>
      <c r="AE134" s="1080"/>
      <c r="AF134" s="1080"/>
      <c r="AV134" s="1080"/>
      <c r="AW134" s="1080"/>
      <c r="AX134" s="1080"/>
      <c r="AY134" s="1080"/>
      <c r="AZ134" s="1080"/>
      <c r="BA134" s="1080"/>
      <c r="BC134" s="1080"/>
      <c r="BE134" s="1080"/>
      <c r="BF134" s="1080"/>
      <c r="BG134" s="1080"/>
    </row>
    <row r="135" spans="18:59" x14ac:dyDescent="0.3">
      <c r="R135" s="1080"/>
      <c r="S135" s="1080"/>
      <c r="W135" s="1080"/>
      <c r="X135" s="1080"/>
      <c r="AE135" s="1080"/>
      <c r="AF135" s="1080"/>
      <c r="AV135" s="1080"/>
      <c r="AW135" s="1080"/>
      <c r="AX135" s="1080"/>
      <c r="AY135" s="1080"/>
      <c r="AZ135" s="1080"/>
      <c r="BA135" s="1080"/>
      <c r="BC135" s="1080"/>
      <c r="BE135" s="1080"/>
      <c r="BF135" s="1080"/>
      <c r="BG135" s="1080"/>
    </row>
    <row r="136" spans="18:59" x14ac:dyDescent="0.3">
      <c r="R136" s="1080"/>
      <c r="S136" s="1080"/>
      <c r="W136" s="1080"/>
      <c r="X136" s="1080"/>
      <c r="AE136" s="1080"/>
      <c r="AF136" s="1080"/>
      <c r="AV136" s="1080"/>
      <c r="AW136" s="1080"/>
      <c r="AX136" s="1080"/>
      <c r="AY136" s="1080"/>
      <c r="AZ136" s="1080"/>
      <c r="BA136" s="1080"/>
      <c r="BC136" s="1080"/>
      <c r="BE136" s="1080"/>
      <c r="BF136" s="1080"/>
      <c r="BG136" s="1080"/>
    </row>
    <row r="137" spans="18:59" x14ac:dyDescent="0.3">
      <c r="R137" s="1080"/>
      <c r="S137" s="1080"/>
      <c r="W137" s="1080"/>
      <c r="X137" s="1080"/>
      <c r="AE137" s="1080"/>
      <c r="AF137" s="1080"/>
      <c r="AV137" s="1080"/>
      <c r="AW137" s="1080"/>
      <c r="AX137" s="1080"/>
      <c r="AY137" s="1080"/>
      <c r="AZ137" s="1080"/>
      <c r="BA137" s="1080"/>
      <c r="BC137" s="1080"/>
      <c r="BE137" s="1080"/>
      <c r="BF137" s="1080"/>
      <c r="BG137" s="1080"/>
    </row>
    <row r="138" spans="18:59" x14ac:dyDescent="0.3">
      <c r="R138" s="1080"/>
      <c r="S138" s="1080"/>
      <c r="W138" s="1080"/>
      <c r="X138" s="1080"/>
      <c r="AE138" s="1080"/>
      <c r="AF138" s="1080"/>
      <c r="AV138" s="1080"/>
      <c r="AW138" s="1080"/>
      <c r="AX138" s="1080"/>
      <c r="AY138" s="1080"/>
      <c r="AZ138" s="1080"/>
      <c r="BA138" s="1080"/>
      <c r="BC138" s="1080"/>
      <c r="BE138" s="1080"/>
      <c r="BF138" s="1080"/>
      <c r="BG138" s="1080"/>
    </row>
    <row r="139" spans="18:59" x14ac:dyDescent="0.3">
      <c r="R139" s="1080"/>
      <c r="S139" s="1080"/>
      <c r="W139" s="1080"/>
      <c r="X139" s="1080"/>
      <c r="AE139" s="1080"/>
      <c r="AF139" s="1080"/>
      <c r="AV139" s="1080"/>
      <c r="AW139" s="1080"/>
      <c r="AX139" s="1080"/>
      <c r="AY139" s="1080"/>
      <c r="AZ139" s="1080"/>
      <c r="BA139" s="1080"/>
      <c r="BC139" s="1080"/>
      <c r="BE139" s="1080"/>
      <c r="BF139" s="1080"/>
      <c r="BG139" s="1080"/>
    </row>
    <row r="140" spans="18:59" x14ac:dyDescent="0.3">
      <c r="R140" s="1080"/>
      <c r="S140" s="1080"/>
      <c r="W140" s="1080"/>
      <c r="X140" s="1080"/>
      <c r="AE140" s="1080"/>
      <c r="AF140" s="1080"/>
      <c r="AV140" s="1080"/>
      <c r="AW140" s="1080"/>
      <c r="AX140" s="1080"/>
      <c r="AY140" s="1080"/>
      <c r="AZ140" s="1080"/>
      <c r="BA140" s="1080"/>
      <c r="BC140" s="1080"/>
      <c r="BE140" s="1080"/>
      <c r="BF140" s="1080"/>
      <c r="BG140" s="1080"/>
    </row>
    <row r="141" spans="18:59" x14ac:dyDescent="0.3">
      <c r="R141" s="1080"/>
      <c r="S141" s="1080"/>
      <c r="W141" s="1080"/>
      <c r="X141" s="1080"/>
      <c r="AE141" s="1080"/>
      <c r="AF141" s="1080"/>
      <c r="AV141" s="1080"/>
      <c r="AW141" s="1080"/>
      <c r="AX141" s="1080"/>
      <c r="AY141" s="1080"/>
      <c r="AZ141" s="1080"/>
      <c r="BA141" s="1080"/>
      <c r="BC141" s="1080"/>
      <c r="BE141" s="1080"/>
      <c r="BF141" s="1080"/>
      <c r="BG141" s="1080"/>
    </row>
    <row r="142" spans="18:59" x14ac:dyDescent="0.3">
      <c r="R142" s="1080"/>
      <c r="S142" s="1080"/>
      <c r="W142" s="1080"/>
      <c r="X142" s="1080"/>
      <c r="AE142" s="1080"/>
      <c r="AF142" s="1080"/>
      <c r="AV142" s="1080"/>
      <c r="AW142" s="1080"/>
      <c r="AX142" s="1080"/>
      <c r="AY142" s="1080"/>
      <c r="AZ142" s="1080"/>
      <c r="BA142" s="1080"/>
      <c r="BC142" s="1080"/>
      <c r="BE142" s="1080"/>
      <c r="BF142" s="1080"/>
      <c r="BG142" s="1080"/>
    </row>
    <row r="143" spans="18:59" x14ac:dyDescent="0.3">
      <c r="R143" s="1080"/>
      <c r="S143" s="1080"/>
      <c r="W143" s="1080"/>
      <c r="X143" s="1080"/>
      <c r="AE143" s="1080"/>
      <c r="AF143" s="1080"/>
      <c r="AV143" s="1080"/>
      <c r="AW143" s="1080"/>
      <c r="AX143" s="1080"/>
      <c r="AY143" s="1080"/>
      <c r="AZ143" s="1080"/>
      <c r="BA143" s="1080"/>
      <c r="BC143" s="1080"/>
      <c r="BE143" s="1080"/>
      <c r="BF143" s="1080"/>
      <c r="BG143" s="1080"/>
    </row>
    <row r="144" spans="18:59" x14ac:dyDescent="0.3">
      <c r="R144" s="1080"/>
      <c r="S144" s="1080"/>
      <c r="W144" s="1080"/>
      <c r="X144" s="1080"/>
      <c r="AE144" s="1080"/>
      <c r="AF144" s="1080"/>
      <c r="AV144" s="1080"/>
      <c r="AW144" s="1080"/>
      <c r="AX144" s="1080"/>
      <c r="AY144" s="1080"/>
      <c r="AZ144" s="1080"/>
      <c r="BA144" s="1080"/>
      <c r="BC144" s="1080"/>
      <c r="BE144" s="1080"/>
      <c r="BF144" s="1080"/>
      <c r="BG144" s="1080"/>
    </row>
    <row r="145" spans="18:59" x14ac:dyDescent="0.3">
      <c r="R145" s="1080"/>
      <c r="S145" s="1080"/>
      <c r="W145" s="1080"/>
      <c r="X145" s="1080"/>
      <c r="AE145" s="1080"/>
      <c r="AF145" s="1080"/>
      <c r="AV145" s="1080"/>
      <c r="AW145" s="1080"/>
      <c r="AX145" s="1080"/>
      <c r="AY145" s="1080"/>
      <c r="AZ145" s="1080"/>
      <c r="BA145" s="1080"/>
      <c r="BC145" s="1080"/>
      <c r="BE145" s="1080"/>
      <c r="BF145" s="1080"/>
      <c r="BG145" s="1080"/>
    </row>
    <row r="146" spans="18:59" x14ac:dyDescent="0.3">
      <c r="R146" s="1080"/>
      <c r="S146" s="1080"/>
      <c r="W146" s="1080"/>
      <c r="X146" s="1080"/>
      <c r="AE146" s="1080"/>
      <c r="AF146" s="1080"/>
      <c r="AV146" s="1080"/>
      <c r="AW146" s="1080"/>
      <c r="AX146" s="1080"/>
      <c r="AY146" s="1080"/>
      <c r="AZ146" s="1080"/>
      <c r="BA146" s="1080"/>
      <c r="BC146" s="1080"/>
      <c r="BE146" s="1080"/>
      <c r="BF146" s="1080"/>
      <c r="BG146" s="1080"/>
    </row>
    <row r="147" spans="18:59" x14ac:dyDescent="0.3">
      <c r="R147" s="1080"/>
      <c r="S147" s="1080"/>
      <c r="W147" s="1080"/>
      <c r="X147" s="1080"/>
      <c r="AE147" s="1080"/>
      <c r="AF147" s="1080"/>
      <c r="AV147" s="1080"/>
      <c r="AW147" s="1080"/>
      <c r="AX147" s="1080"/>
      <c r="AY147" s="1080"/>
      <c r="AZ147" s="1080"/>
      <c r="BA147" s="1080"/>
      <c r="BC147" s="1080"/>
      <c r="BE147" s="1080"/>
      <c r="BF147" s="1080"/>
      <c r="BG147" s="1080"/>
    </row>
    <row r="148" spans="18:59" x14ac:dyDescent="0.3">
      <c r="R148" s="1080"/>
      <c r="S148" s="1080"/>
      <c r="W148" s="1080"/>
      <c r="X148" s="1080"/>
      <c r="AE148" s="1080"/>
      <c r="AF148" s="1080"/>
      <c r="AV148" s="1080"/>
      <c r="AW148" s="1080"/>
      <c r="AX148" s="1080"/>
      <c r="AY148" s="1080"/>
      <c r="AZ148" s="1080"/>
      <c r="BA148" s="1080"/>
      <c r="BC148" s="1080"/>
      <c r="BE148" s="1080"/>
      <c r="BF148" s="1080"/>
      <c r="BG148" s="1080"/>
    </row>
    <row r="149" spans="18:59" x14ac:dyDescent="0.3">
      <c r="R149" s="1080"/>
      <c r="S149" s="1080"/>
      <c r="W149" s="1080"/>
      <c r="X149" s="1080"/>
      <c r="AE149" s="1080"/>
      <c r="AF149" s="1080"/>
      <c r="AV149" s="1080"/>
      <c r="AW149" s="1080"/>
      <c r="AX149" s="1080"/>
      <c r="AY149" s="1080"/>
      <c r="AZ149" s="1080"/>
      <c r="BA149" s="1080"/>
      <c r="BC149" s="1080"/>
      <c r="BE149" s="1080"/>
      <c r="BF149" s="1080"/>
      <c r="BG149" s="1080"/>
    </row>
    <row r="150" spans="18:59" x14ac:dyDescent="0.3">
      <c r="R150" s="1080"/>
      <c r="S150" s="1080"/>
      <c r="W150" s="1080"/>
      <c r="X150" s="1080"/>
      <c r="AE150" s="1080"/>
      <c r="AF150" s="1080"/>
      <c r="AV150" s="1080"/>
      <c r="AW150" s="1080"/>
      <c r="AX150" s="1080"/>
      <c r="AY150" s="1080"/>
      <c r="AZ150" s="1080"/>
      <c r="BA150" s="1080"/>
      <c r="BC150" s="1080"/>
      <c r="BE150" s="1080"/>
      <c r="BF150" s="1080"/>
      <c r="BG150" s="1080"/>
    </row>
    <row r="151" spans="18:59" x14ac:dyDescent="0.3">
      <c r="R151" s="1080"/>
      <c r="S151" s="1080"/>
      <c r="W151" s="1080"/>
      <c r="X151" s="1080"/>
      <c r="AE151" s="1080"/>
      <c r="AF151" s="1080"/>
      <c r="AV151" s="1080"/>
      <c r="AW151" s="1080"/>
      <c r="AX151" s="1080"/>
      <c r="AY151" s="1080"/>
      <c r="AZ151" s="1080"/>
      <c r="BA151" s="1080"/>
      <c r="BC151" s="1080"/>
      <c r="BE151" s="1080"/>
      <c r="BF151" s="1080"/>
      <c r="BG151" s="1080"/>
    </row>
    <row r="152" spans="18:59" x14ac:dyDescent="0.3">
      <c r="R152" s="1080"/>
      <c r="S152" s="1080"/>
      <c r="W152" s="1080"/>
      <c r="X152" s="1080"/>
      <c r="AE152" s="1080"/>
      <c r="AF152" s="1080"/>
      <c r="AV152" s="1080"/>
      <c r="AW152" s="1080"/>
      <c r="AX152" s="1080"/>
      <c r="AY152" s="1080"/>
      <c r="AZ152" s="1080"/>
      <c r="BA152" s="1080"/>
      <c r="BC152" s="1080"/>
      <c r="BE152" s="1080"/>
      <c r="BF152" s="1080"/>
      <c r="BG152" s="1080"/>
    </row>
    <row r="153" spans="18:59" x14ac:dyDescent="0.3">
      <c r="R153" s="1080"/>
      <c r="S153" s="1080"/>
      <c r="W153" s="1080"/>
      <c r="X153" s="1080"/>
      <c r="AE153" s="1080"/>
      <c r="AF153" s="1080"/>
      <c r="AV153" s="1080"/>
      <c r="AW153" s="1080"/>
      <c r="AX153" s="1080"/>
      <c r="AY153" s="1080"/>
      <c r="AZ153" s="1080"/>
      <c r="BA153" s="1080"/>
      <c r="BC153" s="1080"/>
      <c r="BE153" s="1080"/>
      <c r="BF153" s="1080"/>
      <c r="BG153" s="1080"/>
    </row>
    <row r="154" spans="18:59" x14ac:dyDescent="0.3">
      <c r="R154" s="1080"/>
      <c r="S154" s="1080"/>
      <c r="W154" s="1080"/>
      <c r="X154" s="1080"/>
      <c r="AE154" s="1080"/>
      <c r="AF154" s="1080"/>
      <c r="AV154" s="1080"/>
      <c r="AW154" s="1080"/>
      <c r="AX154" s="1080"/>
      <c r="AY154" s="1080"/>
      <c r="AZ154" s="1080"/>
      <c r="BA154" s="1080"/>
      <c r="BC154" s="1080"/>
      <c r="BE154" s="1080"/>
      <c r="BF154" s="1080"/>
      <c r="BG154" s="1080"/>
    </row>
    <row r="155" spans="18:59" x14ac:dyDescent="0.3">
      <c r="R155" s="1080"/>
      <c r="S155" s="1080"/>
      <c r="W155" s="1080"/>
      <c r="X155" s="1080"/>
      <c r="AE155" s="1080"/>
      <c r="AF155" s="1080"/>
      <c r="AV155" s="1080"/>
      <c r="AW155" s="1080"/>
      <c r="AX155" s="1080"/>
      <c r="AY155" s="1080"/>
      <c r="AZ155" s="1080"/>
      <c r="BA155" s="1080"/>
      <c r="BC155" s="1080"/>
      <c r="BE155" s="1080"/>
      <c r="BF155" s="1080"/>
      <c r="BG155" s="1080"/>
    </row>
    <row r="156" spans="18:59" x14ac:dyDescent="0.3">
      <c r="R156" s="1080"/>
      <c r="S156" s="1080"/>
      <c r="W156" s="1080"/>
      <c r="X156" s="1080"/>
      <c r="AE156" s="1080"/>
      <c r="AF156" s="1080"/>
      <c r="AV156" s="1080"/>
      <c r="AW156" s="1080"/>
      <c r="AX156" s="1080"/>
      <c r="AY156" s="1080"/>
      <c r="AZ156" s="1080"/>
      <c r="BA156" s="1080"/>
      <c r="BC156" s="1080"/>
      <c r="BE156" s="1080"/>
      <c r="BF156" s="1080"/>
      <c r="BG156" s="1080"/>
    </row>
    <row r="157" spans="18:59" x14ac:dyDescent="0.3">
      <c r="R157" s="1080"/>
      <c r="S157" s="1080"/>
      <c r="W157" s="1080"/>
      <c r="X157" s="1080"/>
      <c r="AE157" s="1080"/>
      <c r="AF157" s="1080"/>
      <c r="AV157" s="1080"/>
      <c r="AW157" s="1080"/>
      <c r="AX157" s="1080"/>
      <c r="AY157" s="1080"/>
      <c r="AZ157" s="1080"/>
      <c r="BA157" s="1080"/>
      <c r="BC157" s="1080"/>
      <c r="BE157" s="1080"/>
      <c r="BF157" s="1080"/>
      <c r="BG157" s="1080"/>
    </row>
    <row r="158" spans="18:59" x14ac:dyDescent="0.3">
      <c r="R158" s="1080"/>
      <c r="S158" s="1080"/>
      <c r="W158" s="1080"/>
      <c r="X158" s="1080"/>
      <c r="AE158" s="1080"/>
      <c r="AF158" s="1080"/>
      <c r="AV158" s="1080"/>
      <c r="AW158" s="1080"/>
      <c r="AX158" s="1080"/>
      <c r="AY158" s="1080"/>
      <c r="AZ158" s="1080"/>
      <c r="BA158" s="1080"/>
      <c r="BC158" s="1080"/>
      <c r="BE158" s="1080"/>
      <c r="BF158" s="1080"/>
      <c r="BG158" s="1080"/>
    </row>
    <row r="159" spans="18:59" x14ac:dyDescent="0.3">
      <c r="R159" s="1080"/>
      <c r="S159" s="1080"/>
      <c r="W159" s="1080"/>
      <c r="X159" s="1080"/>
      <c r="AE159" s="1080"/>
      <c r="AF159" s="1080"/>
      <c r="AV159" s="1080"/>
      <c r="AW159" s="1080"/>
      <c r="AX159" s="1080"/>
      <c r="AY159" s="1080"/>
      <c r="AZ159" s="1080"/>
      <c r="BA159" s="1080"/>
      <c r="BC159" s="1080"/>
      <c r="BE159" s="1080"/>
      <c r="BF159" s="1080"/>
      <c r="BG159" s="1080"/>
    </row>
    <row r="160" spans="18:59" x14ac:dyDescent="0.3">
      <c r="R160" s="1080"/>
      <c r="S160" s="1080"/>
      <c r="W160" s="1080"/>
      <c r="X160" s="1080"/>
      <c r="AE160" s="1080"/>
      <c r="AF160" s="1080"/>
      <c r="AV160" s="1080"/>
      <c r="AW160" s="1080"/>
      <c r="AX160" s="1080"/>
      <c r="AY160" s="1080"/>
      <c r="AZ160" s="1080"/>
      <c r="BA160" s="1080"/>
      <c r="BC160" s="1080"/>
      <c r="BE160" s="1080"/>
      <c r="BF160" s="1080"/>
      <c r="BG160" s="1080"/>
    </row>
    <row r="161" spans="18:59" x14ac:dyDescent="0.3">
      <c r="R161" s="1080"/>
      <c r="S161" s="1080"/>
      <c r="W161" s="1080"/>
      <c r="X161" s="1080"/>
      <c r="AE161" s="1080"/>
      <c r="AF161" s="1080"/>
      <c r="AV161" s="1080"/>
      <c r="AW161" s="1080"/>
      <c r="AX161" s="1080"/>
      <c r="AY161" s="1080"/>
      <c r="AZ161" s="1080"/>
      <c r="BA161" s="1080"/>
      <c r="BC161" s="1080"/>
      <c r="BE161" s="1080"/>
      <c r="BF161" s="1080"/>
      <c r="BG161" s="1080"/>
    </row>
    <row r="162" spans="18:59" x14ac:dyDescent="0.3">
      <c r="R162" s="1080"/>
      <c r="S162" s="1080"/>
      <c r="W162" s="1080"/>
      <c r="X162" s="1080"/>
      <c r="AE162" s="1080"/>
      <c r="AF162" s="1080"/>
      <c r="AV162" s="1080"/>
      <c r="AW162" s="1080"/>
      <c r="AX162" s="1080"/>
      <c r="AY162" s="1080"/>
      <c r="AZ162" s="1080"/>
      <c r="BA162" s="1080"/>
      <c r="BC162" s="1080"/>
      <c r="BE162" s="1080"/>
      <c r="BF162" s="1080"/>
      <c r="BG162" s="1080"/>
    </row>
    <row r="163" spans="18:59" x14ac:dyDescent="0.3">
      <c r="R163" s="1080"/>
      <c r="S163" s="1080"/>
      <c r="W163" s="1080"/>
      <c r="X163" s="1080"/>
      <c r="AE163" s="1080"/>
      <c r="AF163" s="1080"/>
      <c r="AV163" s="1080"/>
      <c r="AW163" s="1080"/>
      <c r="AX163" s="1080"/>
      <c r="AY163" s="1080"/>
      <c r="AZ163" s="1080"/>
      <c r="BA163" s="1080"/>
      <c r="BC163" s="1080"/>
      <c r="BE163" s="1080"/>
      <c r="BF163" s="1080"/>
      <c r="BG163" s="1080"/>
    </row>
    <row r="164" spans="18:59" x14ac:dyDescent="0.3">
      <c r="R164" s="1080"/>
      <c r="S164" s="1080"/>
      <c r="W164" s="1080"/>
      <c r="X164" s="1080"/>
      <c r="AE164" s="1080"/>
      <c r="AF164" s="1080"/>
      <c r="AV164" s="1080"/>
      <c r="AW164" s="1080"/>
      <c r="AX164" s="1080"/>
      <c r="AY164" s="1080"/>
      <c r="AZ164" s="1080"/>
      <c r="BA164" s="1080"/>
      <c r="BC164" s="1080"/>
      <c r="BE164" s="1080"/>
      <c r="BF164" s="1080"/>
      <c r="BG164" s="1080"/>
    </row>
    <row r="165" spans="18:59" x14ac:dyDescent="0.3">
      <c r="R165" s="1080"/>
      <c r="S165" s="1080"/>
      <c r="W165" s="1080"/>
      <c r="X165" s="1080"/>
      <c r="AE165" s="1080"/>
      <c r="AF165" s="1080"/>
      <c r="AV165" s="1080"/>
      <c r="AW165" s="1080"/>
      <c r="AX165" s="1080"/>
      <c r="AY165" s="1080"/>
      <c r="AZ165" s="1080"/>
      <c r="BA165" s="1080"/>
      <c r="BC165" s="1080"/>
      <c r="BE165" s="1080"/>
      <c r="BF165" s="1080"/>
      <c r="BG165" s="1080"/>
    </row>
    <row r="166" spans="18:59" x14ac:dyDescent="0.3">
      <c r="R166" s="1080"/>
      <c r="S166" s="1080"/>
      <c r="W166" s="1080"/>
      <c r="X166" s="1080"/>
      <c r="AE166" s="1080"/>
      <c r="AF166" s="1080"/>
      <c r="AV166" s="1080"/>
      <c r="AW166" s="1080"/>
      <c r="AX166" s="1080"/>
      <c r="AY166" s="1080"/>
      <c r="AZ166" s="1080"/>
      <c r="BA166" s="1080"/>
      <c r="BC166" s="1080"/>
      <c r="BE166" s="1080"/>
      <c r="BF166" s="1080"/>
      <c r="BG166" s="1080"/>
    </row>
    <row r="167" spans="18:59" x14ac:dyDescent="0.3">
      <c r="R167" s="1080"/>
      <c r="S167" s="1080"/>
      <c r="W167" s="1080"/>
      <c r="X167" s="1080"/>
      <c r="AE167" s="1080"/>
      <c r="AF167" s="1080"/>
      <c r="AV167" s="1080"/>
      <c r="AW167" s="1080"/>
      <c r="AX167" s="1080"/>
      <c r="AY167" s="1080"/>
      <c r="AZ167" s="1080"/>
      <c r="BA167" s="1080"/>
      <c r="BC167" s="1080"/>
      <c r="BE167" s="1080"/>
      <c r="BF167" s="1080"/>
      <c r="BG167" s="1080"/>
    </row>
    <row r="168" spans="18:59" x14ac:dyDescent="0.3">
      <c r="R168" s="1080"/>
      <c r="S168" s="1080"/>
      <c r="W168" s="1080"/>
      <c r="X168" s="1080"/>
      <c r="AE168" s="1080"/>
      <c r="AF168" s="1080"/>
      <c r="AV168" s="1080"/>
      <c r="AW168" s="1080"/>
      <c r="AX168" s="1080"/>
      <c r="AY168" s="1080"/>
      <c r="AZ168" s="1080"/>
      <c r="BA168" s="1080"/>
      <c r="BC168" s="1080"/>
      <c r="BE168" s="1080"/>
      <c r="BF168" s="1080"/>
      <c r="BG168" s="1080"/>
    </row>
    <row r="169" spans="18:59" x14ac:dyDescent="0.3">
      <c r="R169" s="1080"/>
      <c r="S169" s="1080"/>
      <c r="W169" s="1080"/>
      <c r="X169" s="1080"/>
      <c r="AE169" s="1080"/>
      <c r="AF169" s="1080"/>
      <c r="AV169" s="1080"/>
      <c r="AW169" s="1080"/>
      <c r="AX169" s="1080"/>
      <c r="AY169" s="1080"/>
      <c r="AZ169" s="1080"/>
      <c r="BA169" s="1080"/>
      <c r="BC169" s="1080"/>
      <c r="BE169" s="1080"/>
      <c r="BF169" s="1080"/>
      <c r="BG169" s="1080"/>
    </row>
    <row r="170" spans="18:59" x14ac:dyDescent="0.3">
      <c r="R170" s="1080"/>
      <c r="S170" s="1080"/>
      <c r="W170" s="1080"/>
      <c r="X170" s="1080"/>
      <c r="AE170" s="1080"/>
      <c r="AF170" s="1080"/>
      <c r="AV170" s="1080"/>
      <c r="AW170" s="1080"/>
      <c r="AX170" s="1080"/>
      <c r="AY170" s="1080"/>
      <c r="AZ170" s="1080"/>
      <c r="BA170" s="1080"/>
      <c r="BC170" s="1080"/>
      <c r="BE170" s="1080"/>
      <c r="BF170" s="1080"/>
      <c r="BG170" s="1080"/>
    </row>
    <row r="171" spans="18:59" x14ac:dyDescent="0.3">
      <c r="R171" s="1080"/>
      <c r="S171" s="1080"/>
      <c r="W171" s="1080"/>
      <c r="X171" s="1080"/>
      <c r="AE171" s="1080"/>
      <c r="AF171" s="1080"/>
      <c r="AV171" s="1080"/>
      <c r="AW171" s="1080"/>
      <c r="AX171" s="1080"/>
      <c r="AY171" s="1080"/>
      <c r="AZ171" s="1080"/>
      <c r="BA171" s="1080"/>
      <c r="BC171" s="1080"/>
      <c r="BE171" s="1080"/>
      <c r="BF171" s="1080"/>
      <c r="BG171" s="1080"/>
    </row>
    <row r="172" spans="18:59" x14ac:dyDescent="0.3">
      <c r="R172" s="1080"/>
      <c r="S172" s="1080"/>
      <c r="W172" s="1080"/>
      <c r="X172" s="1080"/>
      <c r="AE172" s="1080"/>
      <c r="AF172" s="1080"/>
      <c r="AV172" s="1080"/>
      <c r="AW172" s="1080"/>
      <c r="AX172" s="1080"/>
      <c r="AY172" s="1080"/>
      <c r="AZ172" s="1080"/>
      <c r="BA172" s="1080"/>
      <c r="BC172" s="1080"/>
      <c r="BE172" s="1080"/>
      <c r="BF172" s="1080"/>
      <c r="BG172" s="1080"/>
    </row>
    <row r="173" spans="18:59" x14ac:dyDescent="0.3">
      <c r="R173" s="1080"/>
      <c r="S173" s="1080"/>
      <c r="W173" s="1080"/>
      <c r="X173" s="1080"/>
      <c r="AE173" s="1080"/>
      <c r="AF173" s="1080"/>
      <c r="AV173" s="1080"/>
      <c r="AW173" s="1080"/>
      <c r="AX173" s="1080"/>
      <c r="AY173" s="1080"/>
      <c r="AZ173" s="1080"/>
      <c r="BA173" s="1080"/>
      <c r="BC173" s="1080"/>
      <c r="BE173" s="1080"/>
      <c r="BF173" s="1080"/>
      <c r="BG173" s="1080"/>
    </row>
    <row r="174" spans="18:59" x14ac:dyDescent="0.3">
      <c r="R174" s="1080"/>
      <c r="S174" s="1080"/>
      <c r="W174" s="1080"/>
      <c r="X174" s="1080"/>
      <c r="AE174" s="1080"/>
      <c r="AF174" s="1080"/>
      <c r="AV174" s="1080"/>
      <c r="AW174" s="1080"/>
      <c r="AX174" s="1080"/>
      <c r="AY174" s="1080"/>
      <c r="AZ174" s="1080"/>
      <c r="BA174" s="1080"/>
      <c r="BC174" s="1080"/>
      <c r="BE174" s="1080"/>
      <c r="BF174" s="1080"/>
      <c r="BG174" s="1080"/>
    </row>
    <row r="175" spans="18:59" x14ac:dyDescent="0.3">
      <c r="R175" s="1080"/>
      <c r="S175" s="1080"/>
      <c r="W175" s="1080"/>
      <c r="X175" s="1080"/>
      <c r="AE175" s="1080"/>
      <c r="AF175" s="1080"/>
      <c r="AV175" s="1080"/>
      <c r="AW175" s="1080"/>
      <c r="AX175" s="1080"/>
      <c r="AY175" s="1080"/>
      <c r="AZ175" s="1080"/>
      <c r="BA175" s="1080"/>
      <c r="BC175" s="1080"/>
      <c r="BE175" s="1080"/>
      <c r="BF175" s="1080"/>
      <c r="BG175" s="1080"/>
    </row>
    <row r="176" spans="18:59" x14ac:dyDescent="0.3">
      <c r="R176" s="1080"/>
      <c r="S176" s="1080"/>
      <c r="W176" s="1080"/>
      <c r="X176" s="1080"/>
      <c r="AE176" s="1080"/>
      <c r="AF176" s="1080"/>
      <c r="AV176" s="1080"/>
      <c r="AW176" s="1080"/>
      <c r="AX176" s="1080"/>
      <c r="AY176" s="1080"/>
      <c r="AZ176" s="1080"/>
      <c r="BA176" s="1080"/>
      <c r="BC176" s="1080"/>
      <c r="BE176" s="1080"/>
      <c r="BF176" s="1080"/>
      <c r="BG176" s="1080"/>
    </row>
    <row r="177" spans="18:59" x14ac:dyDescent="0.3">
      <c r="R177" s="1080"/>
      <c r="S177" s="1080"/>
      <c r="W177" s="1080"/>
      <c r="X177" s="1080"/>
      <c r="AE177" s="1080"/>
      <c r="AF177" s="1080"/>
      <c r="AV177" s="1080"/>
      <c r="AW177" s="1080"/>
      <c r="AX177" s="1080"/>
      <c r="AY177" s="1080"/>
      <c r="AZ177" s="1080"/>
      <c r="BA177" s="1080"/>
      <c r="BC177" s="1080"/>
      <c r="BE177" s="1080"/>
      <c r="BF177" s="1080"/>
      <c r="BG177" s="1080"/>
    </row>
    <row r="178" spans="18:59" x14ac:dyDescent="0.3">
      <c r="R178" s="1080"/>
      <c r="S178" s="1080"/>
      <c r="W178" s="1080"/>
      <c r="X178" s="1080"/>
      <c r="AE178" s="1080"/>
      <c r="AF178" s="1080"/>
      <c r="AV178" s="1080"/>
      <c r="AW178" s="1080"/>
      <c r="AX178" s="1080"/>
      <c r="AY178" s="1080"/>
      <c r="AZ178" s="1080"/>
      <c r="BA178" s="1080"/>
      <c r="BC178" s="1080"/>
      <c r="BE178" s="1080"/>
      <c r="BF178" s="1080"/>
      <c r="BG178" s="1080"/>
    </row>
    <row r="179" spans="18:59" x14ac:dyDescent="0.3">
      <c r="R179" s="1080"/>
      <c r="S179" s="1080"/>
      <c r="W179" s="1080"/>
      <c r="X179" s="1080"/>
      <c r="AE179" s="1080"/>
      <c r="AF179" s="1080"/>
      <c r="AV179" s="1080"/>
      <c r="AW179" s="1080"/>
      <c r="AX179" s="1080"/>
      <c r="AY179" s="1080"/>
      <c r="AZ179" s="1080"/>
      <c r="BA179" s="1080"/>
      <c r="BC179" s="1080"/>
      <c r="BE179" s="1080"/>
      <c r="BF179" s="1080"/>
      <c r="BG179" s="1080"/>
    </row>
    <row r="180" spans="18:59" x14ac:dyDescent="0.3">
      <c r="R180" s="1080"/>
      <c r="S180" s="1080"/>
      <c r="W180" s="1080"/>
      <c r="X180" s="1080"/>
      <c r="AE180" s="1080"/>
      <c r="AF180" s="1080"/>
      <c r="AV180" s="1080"/>
      <c r="AW180" s="1080"/>
      <c r="AX180" s="1080"/>
      <c r="AY180" s="1080"/>
      <c r="AZ180" s="1080"/>
      <c r="BA180" s="1080"/>
      <c r="BC180" s="1080"/>
      <c r="BE180" s="1080"/>
      <c r="BF180" s="1080"/>
      <c r="BG180" s="1080"/>
    </row>
    <row r="181" spans="18:59" x14ac:dyDescent="0.3">
      <c r="R181" s="1080"/>
      <c r="S181" s="1080"/>
      <c r="W181" s="1080"/>
      <c r="X181" s="1080"/>
      <c r="AE181" s="1080"/>
      <c r="AF181" s="1080"/>
      <c r="AV181" s="1080"/>
      <c r="AW181" s="1080"/>
      <c r="AX181" s="1080"/>
      <c r="AY181" s="1080"/>
      <c r="AZ181" s="1080"/>
      <c r="BA181" s="1080"/>
      <c r="BC181" s="1080"/>
      <c r="BE181" s="1080"/>
      <c r="BF181" s="1080"/>
      <c r="BG181" s="1080"/>
    </row>
    <row r="182" spans="18:59" x14ac:dyDescent="0.3">
      <c r="R182" s="1080"/>
      <c r="S182" s="1080"/>
      <c r="W182" s="1080"/>
      <c r="X182" s="1080"/>
      <c r="AE182" s="1080"/>
      <c r="AF182" s="1080"/>
      <c r="AV182" s="1080"/>
      <c r="AW182" s="1080"/>
      <c r="AX182" s="1080"/>
      <c r="AY182" s="1080"/>
      <c r="AZ182" s="1080"/>
      <c r="BA182" s="1080"/>
      <c r="BC182" s="1080"/>
      <c r="BE182" s="1080"/>
      <c r="BF182" s="1080"/>
      <c r="BG182" s="1080"/>
    </row>
    <row r="183" spans="18:59" x14ac:dyDescent="0.3">
      <c r="R183" s="1080"/>
      <c r="S183" s="1080"/>
      <c r="W183" s="1080"/>
      <c r="X183" s="1080"/>
      <c r="AE183" s="1080"/>
      <c r="AF183" s="1080"/>
      <c r="AV183" s="1080"/>
      <c r="AW183" s="1080"/>
      <c r="AX183" s="1080"/>
      <c r="AY183" s="1080"/>
      <c r="AZ183" s="1080"/>
      <c r="BA183" s="1080"/>
      <c r="BC183" s="1080"/>
      <c r="BE183" s="1080"/>
      <c r="BF183" s="1080"/>
      <c r="BG183" s="1080"/>
    </row>
    <row r="184" spans="18:59" x14ac:dyDescent="0.3">
      <c r="R184" s="1080"/>
      <c r="S184" s="1080"/>
      <c r="W184" s="1080"/>
      <c r="X184" s="1080"/>
      <c r="AE184" s="1080"/>
      <c r="AF184" s="1080"/>
      <c r="AV184" s="1080"/>
      <c r="AW184" s="1080"/>
      <c r="AX184" s="1080"/>
      <c r="AY184" s="1080"/>
      <c r="AZ184" s="1080"/>
      <c r="BA184" s="1080"/>
      <c r="BC184" s="1080"/>
      <c r="BE184" s="1080"/>
      <c r="BF184" s="1080"/>
      <c r="BG184" s="1080"/>
    </row>
    <row r="185" spans="18:59" x14ac:dyDescent="0.3">
      <c r="R185" s="1080"/>
      <c r="S185" s="1080"/>
      <c r="W185" s="1080"/>
      <c r="X185" s="1080"/>
      <c r="AE185" s="1080"/>
      <c r="AF185" s="1080"/>
      <c r="AV185" s="1080"/>
      <c r="AW185" s="1080"/>
      <c r="AX185" s="1080"/>
      <c r="AY185" s="1080"/>
      <c r="AZ185" s="1080"/>
      <c r="BA185" s="1080"/>
      <c r="BC185" s="1080"/>
      <c r="BE185" s="1080"/>
      <c r="BF185" s="1080"/>
      <c r="BG185" s="1080"/>
    </row>
    <row r="186" spans="18:59" x14ac:dyDescent="0.3">
      <c r="R186" s="1080"/>
      <c r="S186" s="1080"/>
      <c r="W186" s="1080"/>
      <c r="X186" s="1080"/>
      <c r="AE186" s="1080"/>
      <c r="AF186" s="1080"/>
      <c r="AV186" s="1080"/>
      <c r="AW186" s="1080"/>
      <c r="AX186" s="1080"/>
      <c r="AY186" s="1080"/>
      <c r="AZ186" s="1080"/>
      <c r="BA186" s="1080"/>
      <c r="BC186" s="1080"/>
      <c r="BE186" s="1080"/>
      <c r="BF186" s="1080"/>
      <c r="BG186" s="1080"/>
    </row>
    <row r="187" spans="18:59" x14ac:dyDescent="0.3">
      <c r="R187" s="1080"/>
      <c r="S187" s="1080"/>
      <c r="W187" s="1080"/>
      <c r="X187" s="1080"/>
      <c r="AE187" s="1080"/>
      <c r="AF187" s="1080"/>
      <c r="AV187" s="1080"/>
      <c r="AW187" s="1080"/>
      <c r="AX187" s="1080"/>
      <c r="AY187" s="1080"/>
      <c r="AZ187" s="1080"/>
      <c r="BA187" s="1080"/>
      <c r="BC187" s="1080"/>
      <c r="BE187" s="1080"/>
      <c r="BF187" s="1080"/>
      <c r="BG187" s="1080"/>
    </row>
    <row r="188" spans="18:59" x14ac:dyDescent="0.3">
      <c r="R188" s="1080"/>
      <c r="S188" s="1080"/>
      <c r="W188" s="1080"/>
      <c r="X188" s="1080"/>
      <c r="AE188" s="1080"/>
      <c r="AF188" s="1080"/>
      <c r="AV188" s="1080"/>
      <c r="AW188" s="1080"/>
      <c r="AX188" s="1080"/>
      <c r="AY188" s="1080"/>
      <c r="AZ188" s="1080"/>
      <c r="BA188" s="1080"/>
      <c r="BC188" s="1080"/>
      <c r="BE188" s="1080"/>
      <c r="BF188" s="1080"/>
      <c r="BG188" s="1080"/>
    </row>
    <row r="189" spans="18:59" x14ac:dyDescent="0.3">
      <c r="R189" s="1080"/>
      <c r="S189" s="1080"/>
      <c r="W189" s="1080"/>
      <c r="X189" s="1080"/>
      <c r="AE189" s="1080"/>
      <c r="AF189" s="1080"/>
      <c r="AV189" s="1080"/>
      <c r="AW189" s="1080"/>
      <c r="AX189" s="1080"/>
      <c r="AY189" s="1080"/>
      <c r="AZ189" s="1080"/>
      <c r="BA189" s="1080"/>
      <c r="BC189" s="1080"/>
      <c r="BE189" s="1080"/>
      <c r="BF189" s="1080"/>
      <c r="BG189" s="1080"/>
    </row>
    <row r="190" spans="18:59" x14ac:dyDescent="0.3">
      <c r="R190" s="1080"/>
      <c r="S190" s="1080"/>
      <c r="W190" s="1080"/>
      <c r="X190" s="1080"/>
      <c r="AE190" s="1080"/>
      <c r="AF190" s="1080"/>
      <c r="AV190" s="1080"/>
      <c r="AW190" s="1080"/>
      <c r="AX190" s="1080"/>
      <c r="AY190" s="1080"/>
      <c r="AZ190" s="1080"/>
      <c r="BA190" s="1080"/>
      <c r="BC190" s="1080"/>
      <c r="BE190" s="1080"/>
      <c r="BF190" s="1080"/>
      <c r="BG190" s="1080"/>
    </row>
    <row r="191" spans="18:59" x14ac:dyDescent="0.3">
      <c r="R191" s="1080"/>
      <c r="S191" s="1080"/>
      <c r="W191" s="1080"/>
      <c r="X191" s="1080"/>
      <c r="AE191" s="1080"/>
      <c r="AF191" s="1080"/>
      <c r="AV191" s="1080"/>
      <c r="AW191" s="1080"/>
      <c r="AX191" s="1080"/>
      <c r="AY191" s="1080"/>
      <c r="AZ191" s="1080"/>
      <c r="BA191" s="1080"/>
      <c r="BC191" s="1080"/>
      <c r="BE191" s="1080"/>
      <c r="BF191" s="1080"/>
      <c r="BG191" s="1080"/>
    </row>
    <row r="192" spans="18:59" x14ac:dyDescent="0.3">
      <c r="R192" s="1080"/>
      <c r="S192" s="1080"/>
      <c r="W192" s="1080"/>
      <c r="X192" s="1080"/>
      <c r="AE192" s="1080"/>
      <c r="AF192" s="1080"/>
      <c r="AV192" s="1080"/>
      <c r="AW192" s="1080"/>
      <c r="AX192" s="1080"/>
      <c r="AY192" s="1080"/>
      <c r="AZ192" s="1080"/>
      <c r="BA192" s="1080"/>
      <c r="BC192" s="1080"/>
      <c r="BE192" s="1080"/>
      <c r="BF192" s="1080"/>
      <c r="BG192" s="1080"/>
    </row>
    <row r="193" spans="18:59" x14ac:dyDescent="0.3">
      <c r="R193" s="1080"/>
      <c r="S193" s="1080"/>
      <c r="W193" s="1080"/>
      <c r="X193" s="1080"/>
      <c r="AE193" s="1080"/>
      <c r="AF193" s="1080"/>
      <c r="AV193" s="1080"/>
      <c r="AW193" s="1080"/>
      <c r="AX193" s="1080"/>
      <c r="AY193" s="1080"/>
      <c r="AZ193" s="1080"/>
      <c r="BA193" s="1080"/>
      <c r="BC193" s="1080"/>
      <c r="BE193" s="1080"/>
      <c r="BF193" s="1080"/>
      <c r="BG193" s="1080"/>
    </row>
    <row r="194" spans="18:59" x14ac:dyDescent="0.3">
      <c r="R194" s="1080"/>
      <c r="S194" s="1080"/>
      <c r="W194" s="1080"/>
      <c r="X194" s="1080"/>
      <c r="AE194" s="1080"/>
      <c r="AF194" s="1080"/>
      <c r="AV194" s="1080"/>
      <c r="AW194" s="1080"/>
      <c r="AX194" s="1080"/>
      <c r="AY194" s="1080"/>
      <c r="AZ194" s="1080"/>
      <c r="BA194" s="1080"/>
      <c r="BC194" s="1080"/>
      <c r="BE194" s="1080"/>
      <c r="BF194" s="1080"/>
      <c r="BG194" s="1080"/>
    </row>
    <row r="195" spans="18:59" x14ac:dyDescent="0.3">
      <c r="R195" s="1080"/>
      <c r="S195" s="1080"/>
      <c r="W195" s="1080"/>
      <c r="X195" s="1080"/>
      <c r="AE195" s="1080"/>
      <c r="AF195" s="1080"/>
      <c r="AV195" s="1080"/>
      <c r="AW195" s="1080"/>
      <c r="AX195" s="1080"/>
      <c r="AY195" s="1080"/>
      <c r="AZ195" s="1080"/>
      <c r="BA195" s="1080"/>
      <c r="BC195" s="1080"/>
      <c r="BE195" s="1080"/>
      <c r="BF195" s="1080"/>
      <c r="BG195" s="1080"/>
    </row>
    <row r="196" spans="18:59" x14ac:dyDescent="0.3">
      <c r="R196" s="1080"/>
      <c r="S196" s="1080"/>
      <c r="W196" s="1080"/>
      <c r="X196" s="1080"/>
      <c r="AE196" s="1080"/>
      <c r="AF196" s="1080"/>
      <c r="AV196" s="1080"/>
      <c r="AW196" s="1080"/>
      <c r="AX196" s="1080"/>
      <c r="AY196" s="1080"/>
      <c r="AZ196" s="1080"/>
      <c r="BA196" s="1080"/>
      <c r="BC196" s="1080"/>
      <c r="BE196" s="1080"/>
      <c r="BF196" s="1080"/>
      <c r="BG196" s="1080"/>
    </row>
    <row r="197" spans="18:59" x14ac:dyDescent="0.3">
      <c r="R197" s="1080"/>
      <c r="S197" s="1080"/>
      <c r="W197" s="1080"/>
      <c r="X197" s="1080"/>
      <c r="AE197" s="1080"/>
      <c r="AF197" s="1080"/>
      <c r="AV197" s="1080"/>
      <c r="AW197" s="1080"/>
      <c r="AX197" s="1080"/>
      <c r="AY197" s="1080"/>
      <c r="AZ197" s="1080"/>
      <c r="BA197" s="1080"/>
      <c r="BC197" s="1080"/>
      <c r="BE197" s="1080"/>
      <c r="BF197" s="1080"/>
      <c r="BG197" s="1080"/>
    </row>
    <row r="198" spans="18:59" x14ac:dyDescent="0.3">
      <c r="R198" s="1080"/>
      <c r="S198" s="1080"/>
      <c r="W198" s="1080"/>
      <c r="X198" s="1080"/>
      <c r="AE198" s="1080"/>
      <c r="AF198" s="1080"/>
      <c r="AV198" s="1080"/>
      <c r="AW198" s="1080"/>
      <c r="AX198" s="1080"/>
      <c r="AY198" s="1080"/>
      <c r="AZ198" s="1080"/>
      <c r="BA198" s="1080"/>
      <c r="BC198" s="1080"/>
      <c r="BE198" s="1080"/>
      <c r="BF198" s="1080"/>
      <c r="BG198" s="1080"/>
    </row>
    <row r="199" spans="18:59" x14ac:dyDescent="0.3">
      <c r="R199" s="1080"/>
      <c r="S199" s="1080"/>
      <c r="W199" s="1080"/>
      <c r="X199" s="1080"/>
      <c r="AE199" s="1080"/>
      <c r="AF199" s="1080"/>
      <c r="AV199" s="1080"/>
      <c r="AW199" s="1080"/>
      <c r="AX199" s="1080"/>
      <c r="AY199" s="1080"/>
      <c r="AZ199" s="1080"/>
      <c r="BA199" s="1080"/>
      <c r="BC199" s="1080"/>
      <c r="BE199" s="1080"/>
      <c r="BF199" s="1080"/>
      <c r="BG199" s="1080"/>
    </row>
    <row r="200" spans="18:59" x14ac:dyDescent="0.3">
      <c r="R200" s="1080"/>
      <c r="S200" s="1080"/>
      <c r="W200" s="1080"/>
      <c r="X200" s="1080"/>
      <c r="AE200" s="1080"/>
      <c r="AF200" s="1080"/>
      <c r="AV200" s="1080"/>
      <c r="AW200" s="1080"/>
      <c r="AX200" s="1080"/>
      <c r="AY200" s="1080"/>
      <c r="AZ200" s="1080"/>
      <c r="BA200" s="1080"/>
      <c r="BC200" s="1080"/>
      <c r="BE200" s="1080"/>
      <c r="BF200" s="1080"/>
      <c r="BG200" s="1080"/>
    </row>
    <row r="201" spans="18:59" x14ac:dyDescent="0.3">
      <c r="R201" s="1080"/>
      <c r="S201" s="1080"/>
      <c r="W201" s="1080"/>
      <c r="X201" s="1080"/>
      <c r="AE201" s="1080"/>
      <c r="AF201" s="1080"/>
      <c r="AV201" s="1080"/>
      <c r="AW201" s="1080"/>
      <c r="AX201" s="1080"/>
      <c r="AY201" s="1080"/>
      <c r="AZ201" s="1080"/>
      <c r="BA201" s="1080"/>
      <c r="BC201" s="1080"/>
      <c r="BE201" s="1080"/>
      <c r="BF201" s="1080"/>
      <c r="BG201" s="1080"/>
    </row>
    <row r="202" spans="18:59" x14ac:dyDescent="0.3">
      <c r="R202" s="1080"/>
      <c r="S202" s="1080"/>
      <c r="W202" s="1080"/>
      <c r="X202" s="1080"/>
      <c r="AE202" s="1080"/>
      <c r="AF202" s="1080"/>
      <c r="AV202" s="1080"/>
      <c r="AW202" s="1080"/>
      <c r="AX202" s="1080"/>
      <c r="AY202" s="1080"/>
      <c r="AZ202" s="1080"/>
      <c r="BA202" s="1080"/>
      <c r="BC202" s="1080"/>
      <c r="BE202" s="1080"/>
      <c r="BF202" s="1080"/>
      <c r="BG202" s="1080"/>
    </row>
    <row r="203" spans="18:59" x14ac:dyDescent="0.3">
      <c r="R203" s="1080"/>
      <c r="S203" s="1080"/>
      <c r="W203" s="1080"/>
      <c r="X203" s="1080"/>
      <c r="AE203" s="1080"/>
      <c r="AF203" s="1080"/>
      <c r="AV203" s="1080"/>
      <c r="AW203" s="1080"/>
      <c r="AX203" s="1080"/>
      <c r="AY203" s="1080"/>
      <c r="AZ203" s="1080"/>
      <c r="BA203" s="1080"/>
      <c r="BC203" s="1080"/>
      <c r="BE203" s="1080"/>
      <c r="BF203" s="1080"/>
      <c r="BG203" s="1080"/>
    </row>
    <row r="204" spans="18:59" x14ac:dyDescent="0.3">
      <c r="R204" s="1080"/>
      <c r="S204" s="1080"/>
      <c r="W204" s="1080"/>
      <c r="X204" s="1080"/>
      <c r="AE204" s="1080"/>
      <c r="AF204" s="1080"/>
      <c r="AV204" s="1080"/>
      <c r="AW204" s="1080"/>
      <c r="AX204" s="1080"/>
      <c r="AY204" s="1080"/>
      <c r="AZ204" s="1080"/>
      <c r="BA204" s="1080"/>
      <c r="BC204" s="1080"/>
      <c r="BE204" s="1080"/>
      <c r="BF204" s="1080"/>
      <c r="BG204" s="1080"/>
    </row>
    <row r="205" spans="18:59" x14ac:dyDescent="0.3">
      <c r="R205" s="1080"/>
      <c r="S205" s="1080"/>
      <c r="W205" s="1080"/>
      <c r="X205" s="1080"/>
      <c r="AE205" s="1080"/>
      <c r="AF205" s="1080"/>
      <c r="AV205" s="1080"/>
      <c r="AW205" s="1080"/>
      <c r="AX205" s="1080"/>
      <c r="AY205" s="1080"/>
      <c r="AZ205" s="1080"/>
      <c r="BA205" s="1080"/>
      <c r="BC205" s="1080"/>
      <c r="BE205" s="1080"/>
      <c r="BF205" s="1080"/>
      <c r="BG205" s="1080"/>
    </row>
    <row r="206" spans="18:59" x14ac:dyDescent="0.3">
      <c r="R206" s="1080"/>
      <c r="S206" s="1080"/>
      <c r="W206" s="1080"/>
      <c r="X206" s="1080"/>
      <c r="AE206" s="1080"/>
      <c r="AF206" s="1080"/>
      <c r="AV206" s="1080"/>
      <c r="AW206" s="1080"/>
      <c r="AX206" s="1080"/>
      <c r="AY206" s="1080"/>
      <c r="AZ206" s="1080"/>
      <c r="BA206" s="1080"/>
      <c r="BC206" s="1080"/>
      <c r="BE206" s="1080"/>
      <c r="BF206" s="1080"/>
      <c r="BG206" s="1080"/>
    </row>
    <row r="207" spans="18:59" x14ac:dyDescent="0.3">
      <c r="R207" s="1080"/>
      <c r="S207" s="1080"/>
      <c r="W207" s="1080"/>
      <c r="X207" s="1080"/>
      <c r="AE207" s="1080"/>
      <c r="AF207" s="1080"/>
      <c r="AV207" s="1080"/>
      <c r="AW207" s="1080"/>
      <c r="AX207" s="1080"/>
      <c r="AY207" s="1080"/>
      <c r="AZ207" s="1080"/>
      <c r="BA207" s="1080"/>
      <c r="BC207" s="1080"/>
      <c r="BE207" s="1080"/>
      <c r="BF207" s="1080"/>
      <c r="BG207" s="1080"/>
    </row>
    <row r="208" spans="18:59" x14ac:dyDescent="0.3">
      <c r="R208" s="1080"/>
      <c r="S208" s="1080"/>
      <c r="W208" s="1080"/>
      <c r="X208" s="1080"/>
      <c r="AE208" s="1080"/>
      <c r="AF208" s="1080"/>
      <c r="AV208" s="1080"/>
      <c r="AW208" s="1080"/>
      <c r="AX208" s="1080"/>
      <c r="AY208" s="1080"/>
      <c r="AZ208" s="1080"/>
      <c r="BA208" s="1080"/>
      <c r="BC208" s="1080"/>
      <c r="BE208" s="1080"/>
      <c r="BF208" s="1080"/>
      <c r="BG208" s="1080"/>
    </row>
    <row r="209" spans="18:59" x14ac:dyDescent="0.3">
      <c r="R209" s="1080"/>
      <c r="S209" s="1080"/>
      <c r="W209" s="1080"/>
      <c r="X209" s="1080"/>
      <c r="AE209" s="1080"/>
      <c r="AF209" s="1080"/>
      <c r="AV209" s="1080"/>
      <c r="AW209" s="1080"/>
      <c r="AX209" s="1080"/>
      <c r="AY209" s="1080"/>
      <c r="AZ209" s="1080"/>
      <c r="BA209" s="1080"/>
      <c r="BC209" s="1080"/>
      <c r="BE209" s="1080"/>
      <c r="BF209" s="1080"/>
      <c r="BG209" s="1080"/>
    </row>
    <row r="210" spans="18:59" x14ac:dyDescent="0.3">
      <c r="R210" s="1080"/>
      <c r="S210" s="1080"/>
      <c r="W210" s="1080"/>
      <c r="X210" s="1080"/>
      <c r="AE210" s="1080"/>
      <c r="AF210" s="1080"/>
      <c r="AV210" s="1080"/>
      <c r="AW210" s="1080"/>
      <c r="AX210" s="1080"/>
      <c r="AY210" s="1080"/>
      <c r="AZ210" s="1080"/>
      <c r="BA210" s="1080"/>
      <c r="BC210" s="1080"/>
      <c r="BE210" s="1080"/>
      <c r="BF210" s="1080"/>
      <c r="BG210" s="1080"/>
    </row>
    <row r="211" spans="18:59" x14ac:dyDescent="0.3">
      <c r="R211" s="1080"/>
      <c r="S211" s="1080"/>
      <c r="W211" s="1080"/>
      <c r="X211" s="1080"/>
      <c r="AE211" s="1080"/>
      <c r="AF211" s="1080"/>
      <c r="AV211" s="1080"/>
      <c r="AW211" s="1080"/>
      <c r="AX211" s="1080"/>
      <c r="AY211" s="1080"/>
      <c r="AZ211" s="1080"/>
      <c r="BA211" s="1080"/>
      <c r="BC211" s="1080"/>
      <c r="BE211" s="1080"/>
      <c r="BF211" s="1080"/>
      <c r="BG211" s="1080"/>
    </row>
    <row r="212" spans="18:59" x14ac:dyDescent="0.3">
      <c r="R212" s="1080"/>
      <c r="S212" s="1080"/>
      <c r="W212" s="1080"/>
      <c r="X212" s="1080"/>
      <c r="AE212" s="1080"/>
      <c r="AF212" s="1080"/>
      <c r="AV212" s="1080"/>
      <c r="AW212" s="1080"/>
      <c r="AX212" s="1080"/>
      <c r="AY212" s="1080"/>
      <c r="AZ212" s="1080"/>
      <c r="BA212" s="1080"/>
      <c r="BC212" s="1080"/>
      <c r="BE212" s="1080"/>
      <c r="BF212" s="1080"/>
      <c r="BG212" s="1080"/>
    </row>
    <row r="213" spans="18:59" x14ac:dyDescent="0.3">
      <c r="R213" s="1080"/>
      <c r="S213" s="1080"/>
      <c r="W213" s="1080"/>
      <c r="X213" s="1080"/>
      <c r="AE213" s="1080"/>
      <c r="AF213" s="1080"/>
      <c r="AV213" s="1080"/>
      <c r="AW213" s="1080"/>
      <c r="AX213" s="1080"/>
      <c r="AY213" s="1080"/>
      <c r="AZ213" s="1080"/>
      <c r="BA213" s="1080"/>
      <c r="BC213" s="1080"/>
      <c r="BE213" s="1080"/>
      <c r="BF213" s="1080"/>
      <c r="BG213" s="1080"/>
    </row>
    <row r="214" spans="18:59" x14ac:dyDescent="0.3">
      <c r="R214" s="1080"/>
      <c r="S214" s="1080"/>
      <c r="W214" s="1080"/>
      <c r="X214" s="1080"/>
      <c r="AE214" s="1080"/>
      <c r="AF214" s="1080"/>
      <c r="AV214" s="1080"/>
      <c r="AW214" s="1080"/>
      <c r="AX214" s="1080"/>
      <c r="AY214" s="1080"/>
      <c r="AZ214" s="1080"/>
      <c r="BA214" s="1080"/>
      <c r="BC214" s="1080"/>
      <c r="BE214" s="1080"/>
      <c r="BF214" s="1080"/>
      <c r="BG214" s="1080"/>
    </row>
    <row r="215" spans="18:59" x14ac:dyDescent="0.3">
      <c r="R215" s="1080"/>
      <c r="S215" s="1080"/>
      <c r="W215" s="1080"/>
      <c r="X215" s="1080"/>
      <c r="AE215" s="1080"/>
      <c r="AF215" s="1080"/>
      <c r="AV215" s="1080"/>
      <c r="AW215" s="1080"/>
      <c r="AX215" s="1080"/>
      <c r="AY215" s="1080"/>
      <c r="AZ215" s="1080"/>
      <c r="BA215" s="1080"/>
      <c r="BC215" s="1080"/>
      <c r="BE215" s="1080"/>
      <c r="BF215" s="1080"/>
      <c r="BG215" s="1080"/>
    </row>
    <row r="216" spans="18:59" x14ac:dyDescent="0.3">
      <c r="R216" s="1080"/>
      <c r="S216" s="1080"/>
      <c r="W216" s="1080"/>
      <c r="X216" s="1080"/>
      <c r="AE216" s="1080"/>
      <c r="AF216" s="1080"/>
      <c r="AV216" s="1080"/>
      <c r="AW216" s="1080"/>
      <c r="AX216" s="1080"/>
      <c r="AY216" s="1080"/>
      <c r="AZ216" s="1080"/>
      <c r="BA216" s="1080"/>
      <c r="BC216" s="1080"/>
      <c r="BE216" s="1080"/>
      <c r="BF216" s="1080"/>
      <c r="BG216" s="1080"/>
    </row>
    <row r="217" spans="18:59" x14ac:dyDescent="0.3">
      <c r="R217" s="1080"/>
      <c r="S217" s="1080"/>
      <c r="W217" s="1080"/>
      <c r="X217" s="1080"/>
      <c r="AE217" s="1080"/>
      <c r="AF217" s="1080"/>
      <c r="AV217" s="1080"/>
      <c r="AW217" s="1080"/>
      <c r="AX217" s="1080"/>
      <c r="AY217" s="1080"/>
      <c r="AZ217" s="1080"/>
      <c r="BA217" s="1080"/>
      <c r="BC217" s="1080"/>
      <c r="BE217" s="1080"/>
      <c r="BF217" s="1080"/>
      <c r="BG217" s="1080"/>
    </row>
    <row r="218" spans="18:59" x14ac:dyDescent="0.3">
      <c r="R218" s="1080"/>
      <c r="S218" s="1080"/>
      <c r="W218" s="1080"/>
      <c r="X218" s="1080"/>
      <c r="AE218" s="1080"/>
      <c r="AF218" s="1080"/>
      <c r="AV218" s="1080"/>
      <c r="AW218" s="1080"/>
      <c r="AX218" s="1080"/>
      <c r="AY218" s="1080"/>
      <c r="AZ218" s="1080"/>
      <c r="BA218" s="1080"/>
      <c r="BC218" s="1080"/>
      <c r="BE218" s="1080"/>
      <c r="BF218" s="1080"/>
      <c r="BG218" s="1080"/>
    </row>
    <row r="219" spans="18:59" x14ac:dyDescent="0.3">
      <c r="R219" s="1080"/>
      <c r="S219" s="1080"/>
      <c r="W219" s="1080"/>
      <c r="X219" s="1080"/>
      <c r="AE219" s="1080"/>
      <c r="AF219" s="1080"/>
      <c r="AV219" s="1080"/>
      <c r="AW219" s="1080"/>
      <c r="AX219" s="1080"/>
      <c r="AY219" s="1080"/>
      <c r="AZ219" s="1080"/>
      <c r="BA219" s="1080"/>
      <c r="BC219" s="1080"/>
      <c r="BE219" s="1080"/>
      <c r="BF219" s="1080"/>
      <c r="BG219" s="1080"/>
    </row>
    <row r="220" spans="18:59" x14ac:dyDescent="0.3">
      <c r="R220" s="1080"/>
      <c r="S220" s="1080"/>
      <c r="W220" s="1080"/>
      <c r="X220" s="1080"/>
      <c r="AE220" s="1080"/>
      <c r="AF220" s="1080"/>
      <c r="AV220" s="1080"/>
      <c r="AW220" s="1080"/>
      <c r="AX220" s="1080"/>
      <c r="AY220" s="1080"/>
      <c r="AZ220" s="1080"/>
      <c r="BA220" s="1080"/>
      <c r="BC220" s="1080"/>
      <c r="BE220" s="1080"/>
      <c r="BF220" s="1080"/>
      <c r="BG220" s="1080"/>
    </row>
    <row r="221" spans="18:59" x14ac:dyDescent="0.3">
      <c r="R221" s="1080"/>
      <c r="S221" s="1080"/>
      <c r="W221" s="1080"/>
      <c r="X221" s="1080"/>
      <c r="AE221" s="1080"/>
      <c r="AF221" s="1080"/>
      <c r="AV221" s="1080"/>
      <c r="AW221" s="1080"/>
      <c r="AX221" s="1080"/>
      <c r="AY221" s="1080"/>
      <c r="AZ221" s="1080"/>
      <c r="BA221" s="1080"/>
      <c r="BC221" s="1080"/>
      <c r="BE221" s="1080"/>
      <c r="BF221" s="1080"/>
      <c r="BG221" s="1080"/>
    </row>
    <row r="222" spans="18:59" x14ac:dyDescent="0.3">
      <c r="R222" s="1080"/>
      <c r="S222" s="1080"/>
      <c r="W222" s="1080"/>
      <c r="X222" s="1080"/>
      <c r="AE222" s="1080"/>
      <c r="AF222" s="1080"/>
      <c r="AV222" s="1080"/>
      <c r="AW222" s="1080"/>
      <c r="AX222" s="1080"/>
      <c r="AY222" s="1080"/>
      <c r="AZ222" s="1080"/>
      <c r="BA222" s="1080"/>
      <c r="BC222" s="1080"/>
      <c r="BE222" s="1080"/>
      <c r="BF222" s="1080"/>
      <c r="BG222" s="1080"/>
    </row>
    <row r="223" spans="18:59" x14ac:dyDescent="0.3">
      <c r="R223" s="1080"/>
      <c r="S223" s="1080"/>
      <c r="W223" s="1080"/>
      <c r="X223" s="1080"/>
      <c r="AE223" s="1080"/>
      <c r="AF223" s="1080"/>
      <c r="AV223" s="1080"/>
      <c r="AW223" s="1080"/>
      <c r="AX223" s="1080"/>
      <c r="AY223" s="1080"/>
      <c r="AZ223" s="1080"/>
      <c r="BA223" s="1080"/>
      <c r="BC223" s="1080"/>
      <c r="BE223" s="1080"/>
      <c r="BF223" s="1080"/>
      <c r="BG223" s="1080"/>
    </row>
    <row r="224" spans="18:59" x14ac:dyDescent="0.3">
      <c r="R224" s="1080"/>
      <c r="S224" s="1080"/>
      <c r="W224" s="1080"/>
      <c r="X224" s="1080"/>
      <c r="AE224" s="1080"/>
      <c r="AF224" s="1080"/>
      <c r="AV224" s="1080"/>
      <c r="AW224" s="1080"/>
      <c r="AX224" s="1080"/>
      <c r="AY224" s="1080"/>
      <c r="AZ224" s="1080"/>
      <c r="BA224" s="1080"/>
      <c r="BC224" s="1080"/>
      <c r="BE224" s="1080"/>
      <c r="BF224" s="1080"/>
      <c r="BG224" s="1080"/>
    </row>
    <row r="225" spans="18:59" x14ac:dyDescent="0.3">
      <c r="R225" s="1080"/>
      <c r="S225" s="1080"/>
      <c r="W225" s="1080"/>
      <c r="X225" s="1080"/>
      <c r="AE225" s="1080"/>
      <c r="AF225" s="1080"/>
      <c r="AV225" s="1080"/>
      <c r="AW225" s="1080"/>
      <c r="AX225" s="1080"/>
      <c r="AY225" s="1080"/>
      <c r="AZ225" s="1080"/>
      <c r="BA225" s="1080"/>
      <c r="BC225" s="1080"/>
      <c r="BE225" s="1080"/>
      <c r="BF225" s="1080"/>
      <c r="BG225" s="1080"/>
    </row>
    <row r="226" spans="18:59" x14ac:dyDescent="0.3">
      <c r="R226" s="1080"/>
      <c r="S226" s="1080"/>
      <c r="W226" s="1080"/>
      <c r="X226" s="1080"/>
      <c r="AE226" s="1080"/>
      <c r="AF226" s="1080"/>
      <c r="AV226" s="1080"/>
      <c r="AW226" s="1080"/>
      <c r="AX226" s="1080"/>
      <c r="AY226" s="1080"/>
      <c r="AZ226" s="1080"/>
      <c r="BA226" s="1080"/>
      <c r="BC226" s="1080"/>
      <c r="BE226" s="1080"/>
      <c r="BF226" s="1080"/>
      <c r="BG226" s="1080"/>
    </row>
    <row r="227" spans="18:59" x14ac:dyDescent="0.3">
      <c r="R227" s="1080"/>
      <c r="S227" s="1080"/>
      <c r="W227" s="1080"/>
      <c r="X227" s="1080"/>
      <c r="AE227" s="1080"/>
      <c r="AF227" s="1080"/>
      <c r="AV227" s="1080"/>
      <c r="AW227" s="1080"/>
      <c r="AX227" s="1080"/>
      <c r="AY227" s="1080"/>
      <c r="AZ227" s="1080"/>
      <c r="BA227" s="1080"/>
      <c r="BC227" s="1080"/>
      <c r="BE227" s="1080"/>
      <c r="BF227" s="1080"/>
      <c r="BG227" s="1080"/>
    </row>
    <row r="228" spans="18:59" x14ac:dyDescent="0.3">
      <c r="R228" s="1080"/>
      <c r="S228" s="1080"/>
      <c r="W228" s="1080"/>
      <c r="X228" s="1080"/>
      <c r="AE228" s="1080"/>
      <c r="AF228" s="1080"/>
      <c r="AV228" s="1080"/>
      <c r="AW228" s="1080"/>
      <c r="AX228" s="1080"/>
      <c r="AY228" s="1080"/>
      <c r="AZ228" s="1080"/>
      <c r="BA228" s="1080"/>
      <c r="BC228" s="1080"/>
      <c r="BE228" s="1080"/>
      <c r="BF228" s="1080"/>
      <c r="BG228" s="1080"/>
    </row>
    <row r="229" spans="18:59" x14ac:dyDescent="0.3">
      <c r="R229" s="1080"/>
      <c r="S229" s="1080"/>
      <c r="W229" s="1080"/>
      <c r="X229" s="1080"/>
      <c r="AE229" s="1080"/>
      <c r="AF229" s="1080"/>
      <c r="AV229" s="1080"/>
      <c r="AW229" s="1080"/>
      <c r="AX229" s="1080"/>
      <c r="AY229" s="1080"/>
      <c r="AZ229" s="1080"/>
      <c r="BA229" s="1080"/>
      <c r="BC229" s="1080"/>
      <c r="BE229" s="1080"/>
      <c r="BF229" s="1080"/>
      <c r="BG229" s="1080"/>
    </row>
    <row r="230" spans="18:59" x14ac:dyDescent="0.3">
      <c r="R230" s="1080"/>
      <c r="S230" s="1080"/>
      <c r="W230" s="1080"/>
      <c r="X230" s="1080"/>
      <c r="AE230" s="1080"/>
      <c r="AF230" s="1080"/>
      <c r="AV230" s="1080"/>
      <c r="AW230" s="1080"/>
      <c r="AX230" s="1080"/>
      <c r="AY230" s="1080"/>
      <c r="AZ230" s="1080"/>
      <c r="BA230" s="1080"/>
      <c r="BC230" s="1080"/>
      <c r="BE230" s="1080"/>
      <c r="BF230" s="1080"/>
      <c r="BG230" s="1080"/>
    </row>
    <row r="231" spans="18:59" x14ac:dyDescent="0.3">
      <c r="R231" s="1080"/>
      <c r="S231" s="1080"/>
      <c r="W231" s="1080"/>
      <c r="X231" s="1080"/>
      <c r="AE231" s="1080"/>
      <c r="AF231" s="1080"/>
      <c r="AV231" s="1080"/>
      <c r="AW231" s="1080"/>
      <c r="AX231" s="1080"/>
      <c r="AY231" s="1080"/>
      <c r="AZ231" s="1080"/>
      <c r="BA231" s="1080"/>
      <c r="BC231" s="1080"/>
      <c r="BE231" s="1080"/>
      <c r="BF231" s="1080"/>
      <c r="BG231" s="1080"/>
    </row>
    <row r="232" spans="18:59" x14ac:dyDescent="0.3">
      <c r="R232" s="1080"/>
      <c r="S232" s="1080"/>
      <c r="W232" s="1080"/>
      <c r="X232" s="1080"/>
      <c r="AE232" s="1080"/>
      <c r="AF232" s="1080"/>
      <c r="AV232" s="1080"/>
      <c r="AW232" s="1080"/>
      <c r="AX232" s="1080"/>
      <c r="AY232" s="1080"/>
      <c r="AZ232" s="1080"/>
      <c r="BA232" s="1080"/>
      <c r="BC232" s="1080"/>
      <c r="BE232" s="1080"/>
      <c r="BF232" s="1080"/>
      <c r="BG232" s="1080"/>
    </row>
    <row r="233" spans="18:59" x14ac:dyDescent="0.3">
      <c r="R233" s="1080"/>
      <c r="S233" s="1080"/>
      <c r="W233" s="1080"/>
      <c r="X233" s="1080"/>
      <c r="AE233" s="1080"/>
      <c r="AF233" s="1080"/>
      <c r="AV233" s="1080"/>
      <c r="AW233" s="1080"/>
      <c r="AX233" s="1080"/>
      <c r="AY233" s="1080"/>
      <c r="AZ233" s="1080"/>
      <c r="BA233" s="1080"/>
      <c r="BC233" s="1080"/>
      <c r="BE233" s="1080"/>
      <c r="BF233" s="1080"/>
      <c r="BG233" s="1080"/>
    </row>
    <row r="234" spans="18:59" x14ac:dyDescent="0.3">
      <c r="R234" s="1080"/>
      <c r="S234" s="1080"/>
      <c r="W234" s="1080"/>
      <c r="X234" s="1080"/>
      <c r="AE234" s="1080"/>
      <c r="AF234" s="1080"/>
      <c r="AV234" s="1080"/>
      <c r="AW234" s="1080"/>
      <c r="AX234" s="1080"/>
      <c r="AY234" s="1080"/>
      <c r="AZ234" s="1080"/>
      <c r="BA234" s="1080"/>
      <c r="BC234" s="1080"/>
      <c r="BE234" s="1080"/>
      <c r="BF234" s="1080"/>
      <c r="BG234" s="1080"/>
    </row>
    <row r="235" spans="18:59" x14ac:dyDescent="0.3">
      <c r="R235" s="1080"/>
      <c r="S235" s="1080"/>
      <c r="W235" s="1080"/>
      <c r="X235" s="1080"/>
      <c r="AE235" s="1080"/>
      <c r="AF235" s="1080"/>
      <c r="AV235" s="1080"/>
      <c r="AW235" s="1080"/>
      <c r="AX235" s="1080"/>
      <c r="AY235" s="1080"/>
      <c r="AZ235" s="1080"/>
      <c r="BA235" s="1080"/>
      <c r="BC235" s="1080"/>
      <c r="BE235" s="1080"/>
      <c r="BF235" s="1080"/>
      <c r="BG235" s="1080"/>
    </row>
    <row r="236" spans="18:59" x14ac:dyDescent="0.3">
      <c r="R236" s="1080"/>
      <c r="S236" s="1080"/>
      <c r="W236" s="1080"/>
      <c r="X236" s="1080"/>
      <c r="AE236" s="1080"/>
      <c r="AF236" s="1080"/>
      <c r="AV236" s="1080"/>
      <c r="AW236" s="1080"/>
      <c r="AX236" s="1080"/>
      <c r="AY236" s="1080"/>
      <c r="AZ236" s="1080"/>
      <c r="BA236" s="1080"/>
      <c r="BC236" s="1080"/>
      <c r="BE236" s="1080"/>
      <c r="BF236" s="1080"/>
      <c r="BG236" s="1080"/>
    </row>
    <row r="237" spans="18:59" x14ac:dyDescent="0.3">
      <c r="R237" s="1080"/>
      <c r="S237" s="1080"/>
      <c r="W237" s="1080"/>
      <c r="X237" s="1080"/>
      <c r="AE237" s="1080"/>
      <c r="AF237" s="1080"/>
      <c r="AV237" s="1080"/>
      <c r="AW237" s="1080"/>
      <c r="AX237" s="1080"/>
      <c r="AY237" s="1080"/>
      <c r="AZ237" s="1080"/>
      <c r="BA237" s="1080"/>
      <c r="BC237" s="1080"/>
      <c r="BE237" s="1080"/>
      <c r="BF237" s="1080"/>
      <c r="BG237" s="1080"/>
    </row>
    <row r="238" spans="18:59" x14ac:dyDescent="0.3">
      <c r="R238" s="1080"/>
      <c r="S238" s="1080"/>
      <c r="W238" s="1080"/>
      <c r="X238" s="1080"/>
      <c r="AE238" s="1080"/>
      <c r="AF238" s="1080"/>
      <c r="AV238" s="1080"/>
      <c r="AW238" s="1080"/>
      <c r="AX238" s="1080"/>
      <c r="AY238" s="1080"/>
      <c r="AZ238" s="1080"/>
      <c r="BA238" s="1080"/>
      <c r="BC238" s="1080"/>
      <c r="BE238" s="1080"/>
      <c r="BF238" s="1080"/>
      <c r="BG238" s="1080"/>
    </row>
    <row r="239" spans="18:59" x14ac:dyDescent="0.3">
      <c r="R239" s="1080"/>
      <c r="S239" s="1080"/>
      <c r="W239" s="1080"/>
      <c r="X239" s="1080"/>
      <c r="AE239" s="1080"/>
      <c r="AF239" s="1080"/>
      <c r="AV239" s="1080"/>
      <c r="AW239" s="1080"/>
      <c r="AX239" s="1080"/>
      <c r="AY239" s="1080"/>
      <c r="AZ239" s="1080"/>
      <c r="BA239" s="1080"/>
      <c r="BC239" s="1080"/>
      <c r="BE239" s="1080"/>
      <c r="BF239" s="1080"/>
      <c r="BG239" s="1080"/>
    </row>
    <row r="240" spans="18:59" x14ac:dyDescent="0.3">
      <c r="R240" s="1080"/>
      <c r="S240" s="1080"/>
      <c r="W240" s="1080"/>
      <c r="X240" s="1080"/>
      <c r="AE240" s="1080"/>
      <c r="AF240" s="1080"/>
      <c r="AV240" s="1080"/>
      <c r="AW240" s="1080"/>
      <c r="AX240" s="1080"/>
      <c r="AY240" s="1080"/>
      <c r="AZ240" s="1080"/>
      <c r="BA240" s="1080"/>
      <c r="BC240" s="1080"/>
      <c r="BE240" s="1080"/>
      <c r="BF240" s="1080"/>
      <c r="BG240" s="1080"/>
    </row>
    <row r="241" spans="18:59" x14ac:dyDescent="0.3">
      <c r="R241" s="1080"/>
      <c r="S241" s="1080"/>
      <c r="W241" s="1080"/>
      <c r="X241" s="1080"/>
      <c r="AE241" s="1080"/>
      <c r="AF241" s="1080"/>
      <c r="AV241" s="1080"/>
      <c r="AW241" s="1080"/>
      <c r="AX241" s="1080"/>
      <c r="AY241" s="1080"/>
      <c r="AZ241" s="1080"/>
      <c r="BA241" s="1080"/>
      <c r="BC241" s="1080"/>
      <c r="BE241" s="1080"/>
      <c r="BF241" s="1080"/>
      <c r="BG241" s="1080"/>
    </row>
    <row r="242" spans="18:59" x14ac:dyDescent="0.3">
      <c r="R242" s="1080"/>
      <c r="S242" s="1080"/>
      <c r="W242" s="1080"/>
      <c r="X242" s="1080"/>
      <c r="AE242" s="1080"/>
      <c r="AF242" s="1080"/>
      <c r="AV242" s="1080"/>
      <c r="AW242" s="1080"/>
      <c r="AX242" s="1080"/>
      <c r="AY242" s="1080"/>
      <c r="AZ242" s="1080"/>
      <c r="BA242" s="1080"/>
      <c r="BC242" s="1080"/>
      <c r="BE242" s="1080"/>
      <c r="BF242" s="1080"/>
      <c r="BG242" s="1080"/>
    </row>
    <row r="243" spans="18:59" x14ac:dyDescent="0.3">
      <c r="R243" s="1080"/>
      <c r="S243" s="1080"/>
      <c r="W243" s="1080"/>
      <c r="X243" s="1080"/>
      <c r="AE243" s="1080"/>
      <c r="AF243" s="1080"/>
      <c r="AV243" s="1080"/>
      <c r="AW243" s="1080"/>
      <c r="AX243" s="1080"/>
      <c r="AY243" s="1080"/>
      <c r="AZ243" s="1080"/>
      <c r="BA243" s="1080"/>
      <c r="BC243" s="1080"/>
      <c r="BE243" s="1080"/>
      <c r="BF243" s="1080"/>
      <c r="BG243" s="1080"/>
    </row>
    <row r="244" spans="18:59" x14ac:dyDescent="0.3">
      <c r="R244" s="1080"/>
      <c r="S244" s="1080"/>
      <c r="W244" s="1080"/>
      <c r="X244" s="1080"/>
      <c r="AE244" s="1080"/>
      <c r="AF244" s="1080"/>
      <c r="AV244" s="1080"/>
      <c r="AW244" s="1080"/>
      <c r="AX244" s="1080"/>
      <c r="AY244" s="1080"/>
      <c r="AZ244" s="1080"/>
      <c r="BA244" s="1080"/>
      <c r="BC244" s="1080"/>
      <c r="BE244" s="1080"/>
      <c r="BF244" s="1080"/>
      <c r="BG244" s="1080"/>
    </row>
    <row r="245" spans="18:59" x14ac:dyDescent="0.3">
      <c r="R245" s="1080"/>
      <c r="S245" s="1080"/>
      <c r="W245" s="1080"/>
      <c r="X245" s="1080"/>
      <c r="AE245" s="1080"/>
      <c r="AF245" s="1080"/>
      <c r="AV245" s="1080"/>
      <c r="AW245" s="1080"/>
      <c r="AX245" s="1080"/>
      <c r="AY245" s="1080"/>
      <c r="AZ245" s="1080"/>
      <c r="BA245" s="1080"/>
      <c r="BC245" s="1080"/>
      <c r="BE245" s="1080"/>
      <c r="BF245" s="1080"/>
      <c r="BG245" s="1080"/>
    </row>
    <row r="246" spans="18:59" x14ac:dyDescent="0.3">
      <c r="R246" s="1080"/>
      <c r="S246" s="1080"/>
      <c r="W246" s="1080"/>
      <c r="X246" s="1080"/>
      <c r="AE246" s="1080"/>
      <c r="AF246" s="1080"/>
      <c r="AV246" s="1080"/>
      <c r="AW246" s="1080"/>
      <c r="AX246" s="1080"/>
      <c r="AY246" s="1080"/>
      <c r="AZ246" s="1080"/>
      <c r="BA246" s="1080"/>
      <c r="BC246" s="1080"/>
      <c r="BE246" s="1080"/>
      <c r="BF246" s="1080"/>
      <c r="BG246" s="1080"/>
    </row>
    <row r="247" spans="18:59" x14ac:dyDescent="0.3">
      <c r="R247" s="1080"/>
      <c r="S247" s="1080"/>
      <c r="W247" s="1080"/>
      <c r="X247" s="1080"/>
      <c r="AE247" s="1080"/>
      <c r="AF247" s="1080"/>
      <c r="AV247" s="1080"/>
      <c r="AW247" s="1080"/>
      <c r="AX247" s="1080"/>
      <c r="AY247" s="1080"/>
      <c r="AZ247" s="1080"/>
      <c r="BA247" s="1080"/>
      <c r="BC247" s="1080"/>
      <c r="BE247" s="1080"/>
      <c r="BF247" s="1080"/>
      <c r="BG247" s="1080"/>
    </row>
    <row r="248" spans="18:59" x14ac:dyDescent="0.3">
      <c r="R248" s="1080"/>
      <c r="S248" s="1080"/>
      <c r="W248" s="1080"/>
      <c r="X248" s="1080"/>
      <c r="AE248" s="1080"/>
      <c r="AF248" s="1080"/>
      <c r="AV248" s="1080"/>
      <c r="AW248" s="1080"/>
      <c r="AX248" s="1080"/>
      <c r="AY248" s="1080"/>
      <c r="AZ248" s="1080"/>
      <c r="BA248" s="1080"/>
      <c r="BC248" s="1080"/>
      <c r="BE248" s="1080"/>
      <c r="BF248" s="1080"/>
      <c r="BG248" s="1080"/>
    </row>
    <row r="249" spans="18:59" x14ac:dyDescent="0.3">
      <c r="R249" s="1080"/>
      <c r="S249" s="1080"/>
      <c r="W249" s="1080"/>
      <c r="X249" s="1080"/>
      <c r="AE249" s="1080"/>
      <c r="AF249" s="1080"/>
      <c r="AV249" s="1080"/>
      <c r="AW249" s="1080"/>
      <c r="AX249" s="1080"/>
      <c r="AY249" s="1080"/>
      <c r="AZ249" s="1080"/>
      <c r="BA249" s="1080"/>
      <c r="BC249" s="1080"/>
      <c r="BE249" s="1080"/>
      <c r="BF249" s="1080"/>
      <c r="BG249" s="1080"/>
    </row>
    <row r="250" spans="18:59" x14ac:dyDescent="0.3">
      <c r="R250" s="1080"/>
      <c r="S250" s="1080"/>
      <c r="W250" s="1080"/>
      <c r="X250" s="1080"/>
      <c r="AE250" s="1080"/>
      <c r="AF250" s="1080"/>
      <c r="AV250" s="1080"/>
      <c r="AW250" s="1080"/>
      <c r="AX250" s="1080"/>
      <c r="AY250" s="1080"/>
      <c r="AZ250" s="1080"/>
      <c r="BA250" s="1080"/>
      <c r="BC250" s="1080"/>
      <c r="BE250" s="1080"/>
      <c r="BF250" s="1080"/>
      <c r="BG250" s="1080"/>
    </row>
    <row r="251" spans="18:59" x14ac:dyDescent="0.3">
      <c r="R251" s="1080"/>
      <c r="S251" s="1080"/>
      <c r="W251" s="1080"/>
      <c r="X251" s="1080"/>
      <c r="AE251" s="1080"/>
      <c r="AF251" s="1080"/>
      <c r="AV251" s="1080"/>
      <c r="AW251" s="1080"/>
      <c r="AX251" s="1080"/>
      <c r="AY251" s="1080"/>
      <c r="AZ251" s="1080"/>
      <c r="BA251" s="1080"/>
      <c r="BC251" s="1080"/>
      <c r="BE251" s="1080"/>
      <c r="BF251" s="1080"/>
      <c r="BG251" s="1080"/>
    </row>
    <row r="252" spans="18:59" x14ac:dyDescent="0.3">
      <c r="R252" s="1080"/>
      <c r="S252" s="1080"/>
      <c r="W252" s="1080"/>
      <c r="X252" s="1080"/>
      <c r="AE252" s="1080"/>
      <c r="AF252" s="1080"/>
      <c r="AV252" s="1080"/>
      <c r="AW252" s="1080"/>
      <c r="AX252" s="1080"/>
      <c r="AY252" s="1080"/>
      <c r="AZ252" s="1080"/>
      <c r="BA252" s="1080"/>
      <c r="BC252" s="1080"/>
      <c r="BE252" s="1080"/>
      <c r="BF252" s="1080"/>
      <c r="BG252" s="1080"/>
    </row>
    <row r="253" spans="18:59" x14ac:dyDescent="0.3">
      <c r="R253" s="1080"/>
      <c r="S253" s="1080"/>
      <c r="W253" s="1080"/>
      <c r="X253" s="1080"/>
      <c r="AE253" s="1080"/>
      <c r="AF253" s="1080"/>
      <c r="AV253" s="1080"/>
      <c r="AW253" s="1080"/>
      <c r="AX253" s="1080"/>
      <c r="AY253" s="1080"/>
      <c r="AZ253" s="1080"/>
      <c r="BA253" s="1080"/>
      <c r="BC253" s="1080"/>
      <c r="BE253" s="1080"/>
      <c r="BF253" s="1080"/>
      <c r="BG253" s="1080"/>
    </row>
    <row r="254" spans="18:59" x14ac:dyDescent="0.3">
      <c r="R254" s="1080"/>
      <c r="S254" s="1080"/>
      <c r="W254" s="1080"/>
      <c r="X254" s="1080"/>
      <c r="AE254" s="1080"/>
      <c r="AF254" s="1080"/>
      <c r="AV254" s="1080"/>
      <c r="AW254" s="1080"/>
      <c r="AX254" s="1080"/>
      <c r="AY254" s="1080"/>
      <c r="AZ254" s="1080"/>
      <c r="BA254" s="1080"/>
      <c r="BC254" s="1080"/>
      <c r="BE254" s="1080"/>
      <c r="BF254" s="1080"/>
      <c r="BG254" s="1080"/>
    </row>
    <row r="255" spans="18:59" x14ac:dyDescent="0.3">
      <c r="R255" s="1080"/>
      <c r="S255" s="1080"/>
      <c r="W255" s="1080"/>
      <c r="X255" s="1080"/>
      <c r="AE255" s="1080"/>
      <c r="AF255" s="1080"/>
      <c r="AV255" s="1080"/>
      <c r="AW255" s="1080"/>
      <c r="AX255" s="1080"/>
      <c r="AY255" s="1080"/>
      <c r="AZ255" s="1080"/>
      <c r="BA255" s="1080"/>
      <c r="BC255" s="1080"/>
      <c r="BE255" s="1080"/>
      <c r="BF255" s="1080"/>
      <c r="BG255" s="1080"/>
    </row>
    <row r="256" spans="18:59" x14ac:dyDescent="0.3">
      <c r="R256" s="1080"/>
      <c r="S256" s="1080"/>
      <c r="W256" s="1080"/>
      <c r="X256" s="1080"/>
      <c r="AE256" s="1080"/>
      <c r="AF256" s="1080"/>
      <c r="AV256" s="1080"/>
      <c r="AW256" s="1080"/>
      <c r="AX256" s="1080"/>
      <c r="AY256" s="1080"/>
      <c r="AZ256" s="1080"/>
      <c r="BA256" s="1080"/>
      <c r="BC256" s="1080"/>
      <c r="BE256" s="1080"/>
      <c r="BF256" s="1080"/>
      <c r="BG256" s="1080"/>
    </row>
    <row r="257" spans="18:59" x14ac:dyDescent="0.3">
      <c r="R257" s="1080"/>
      <c r="S257" s="1080"/>
      <c r="W257" s="1080"/>
      <c r="X257" s="1080"/>
      <c r="AE257" s="1080"/>
      <c r="AF257" s="1080"/>
      <c r="AV257" s="1080"/>
      <c r="AW257" s="1080"/>
      <c r="AX257" s="1080"/>
      <c r="AY257" s="1080"/>
      <c r="AZ257" s="1080"/>
      <c r="BA257" s="1080"/>
      <c r="BC257" s="1080"/>
      <c r="BE257" s="1080"/>
      <c r="BF257" s="1080"/>
      <c r="BG257" s="1080"/>
    </row>
    <row r="258" spans="18:59" x14ac:dyDescent="0.3">
      <c r="R258" s="1080"/>
      <c r="S258" s="1080"/>
      <c r="W258" s="1080"/>
      <c r="X258" s="1080"/>
      <c r="AE258" s="1080"/>
      <c r="AF258" s="1080"/>
      <c r="AV258" s="1080"/>
      <c r="AW258" s="1080"/>
      <c r="AX258" s="1080"/>
      <c r="AY258" s="1080"/>
      <c r="AZ258" s="1080"/>
      <c r="BA258" s="1080"/>
      <c r="BC258" s="1080"/>
      <c r="BE258" s="1080"/>
      <c r="BF258" s="1080"/>
      <c r="BG258" s="1080"/>
    </row>
    <row r="259" spans="18:59" x14ac:dyDescent="0.3">
      <c r="R259" s="1080"/>
      <c r="S259" s="1080"/>
      <c r="W259" s="1080"/>
      <c r="X259" s="1080"/>
      <c r="AE259" s="1080"/>
      <c r="AF259" s="1080"/>
      <c r="AV259" s="1080"/>
      <c r="AW259" s="1080"/>
      <c r="AX259" s="1080"/>
      <c r="AY259" s="1080"/>
      <c r="AZ259" s="1080"/>
      <c r="BA259" s="1080"/>
      <c r="BC259" s="1080"/>
      <c r="BE259" s="1080"/>
      <c r="BF259" s="1080"/>
      <c r="BG259" s="1080"/>
    </row>
    <row r="260" spans="18:59" x14ac:dyDescent="0.3">
      <c r="R260" s="1080"/>
      <c r="S260" s="1080"/>
      <c r="W260" s="1080"/>
      <c r="X260" s="1080"/>
      <c r="AE260" s="1080"/>
      <c r="AF260" s="1080"/>
      <c r="AV260" s="1080"/>
      <c r="AW260" s="1080"/>
      <c r="AX260" s="1080"/>
      <c r="AY260" s="1080"/>
      <c r="AZ260" s="1080"/>
      <c r="BA260" s="1080"/>
      <c r="BC260" s="1080"/>
      <c r="BE260" s="1080"/>
      <c r="BF260" s="1080"/>
      <c r="BG260" s="1080"/>
    </row>
    <row r="261" spans="18:59" x14ac:dyDescent="0.3">
      <c r="R261" s="1080"/>
      <c r="S261" s="1080"/>
      <c r="W261" s="1080"/>
      <c r="X261" s="1080"/>
      <c r="AE261" s="1080"/>
      <c r="AF261" s="1080"/>
      <c r="AV261" s="1080"/>
      <c r="AW261" s="1080"/>
      <c r="AX261" s="1080"/>
      <c r="AY261" s="1080"/>
      <c r="AZ261" s="1080"/>
      <c r="BA261" s="1080"/>
      <c r="BC261" s="1080"/>
      <c r="BE261" s="1080"/>
      <c r="BF261" s="1080"/>
      <c r="BG261" s="1080"/>
    </row>
    <row r="262" spans="18:59" x14ac:dyDescent="0.3">
      <c r="R262" s="1080"/>
      <c r="S262" s="1080"/>
      <c r="W262" s="1080"/>
      <c r="X262" s="1080"/>
      <c r="AE262" s="1080"/>
      <c r="AF262" s="1080"/>
      <c r="AV262" s="1080"/>
      <c r="AW262" s="1080"/>
      <c r="AX262" s="1080"/>
      <c r="AY262" s="1080"/>
      <c r="AZ262" s="1080"/>
      <c r="BA262" s="1080"/>
      <c r="BC262" s="1080"/>
      <c r="BE262" s="1080"/>
      <c r="BF262" s="1080"/>
      <c r="BG262" s="1080"/>
    </row>
    <row r="263" spans="18:59" x14ac:dyDescent="0.3">
      <c r="R263" s="1080"/>
      <c r="S263" s="1080"/>
      <c r="W263" s="1080"/>
      <c r="X263" s="1080"/>
      <c r="AE263" s="1080"/>
      <c r="AF263" s="1080"/>
      <c r="AV263" s="1080"/>
      <c r="AW263" s="1080"/>
      <c r="AX263" s="1080"/>
      <c r="AY263" s="1080"/>
      <c r="AZ263" s="1080"/>
      <c r="BA263" s="1080"/>
      <c r="BC263" s="1080"/>
      <c r="BE263" s="1080"/>
      <c r="BF263" s="1080"/>
      <c r="BG263" s="1080"/>
    </row>
    <row r="264" spans="18:59" x14ac:dyDescent="0.3">
      <c r="R264" s="1080"/>
      <c r="S264" s="1080"/>
      <c r="W264" s="1080"/>
      <c r="X264" s="1080"/>
      <c r="AE264" s="1080"/>
      <c r="AF264" s="1080"/>
      <c r="AV264" s="1080"/>
      <c r="AW264" s="1080"/>
      <c r="AX264" s="1080"/>
      <c r="AY264" s="1080"/>
      <c r="AZ264" s="1080"/>
      <c r="BA264" s="1080"/>
      <c r="BC264" s="1080"/>
      <c r="BE264" s="1080"/>
      <c r="BF264" s="1080"/>
      <c r="BG264" s="1080"/>
    </row>
    <row r="265" spans="18:59" x14ac:dyDescent="0.3">
      <c r="R265" s="1080"/>
      <c r="S265" s="1080"/>
      <c r="W265" s="1080"/>
      <c r="X265" s="1080"/>
      <c r="AE265" s="1080"/>
      <c r="AF265" s="1080"/>
      <c r="AV265" s="1080"/>
      <c r="AW265" s="1080"/>
      <c r="AX265" s="1080"/>
      <c r="AY265" s="1080"/>
      <c r="AZ265" s="1080"/>
      <c r="BA265" s="1080"/>
      <c r="BC265" s="1080"/>
      <c r="BE265" s="1080"/>
      <c r="BF265" s="1080"/>
      <c r="BG265" s="1080"/>
    </row>
    <row r="266" spans="18:59" x14ac:dyDescent="0.3">
      <c r="R266" s="1080"/>
      <c r="S266" s="1080"/>
      <c r="W266" s="1080"/>
      <c r="X266" s="1080"/>
      <c r="AE266" s="1080"/>
      <c r="AF266" s="1080"/>
      <c r="AV266" s="1080"/>
      <c r="AW266" s="1080"/>
      <c r="AX266" s="1080"/>
      <c r="AY266" s="1080"/>
      <c r="AZ266" s="1080"/>
      <c r="BA266" s="1080"/>
      <c r="BC266" s="1080"/>
      <c r="BE266" s="1080"/>
      <c r="BF266" s="1080"/>
      <c r="BG266" s="1080"/>
    </row>
    <row r="267" spans="18:59" x14ac:dyDescent="0.3">
      <c r="R267" s="1080"/>
      <c r="S267" s="1080"/>
      <c r="W267" s="1080"/>
      <c r="X267" s="1080"/>
      <c r="AE267" s="1080"/>
      <c r="AF267" s="1080"/>
      <c r="AV267" s="1080"/>
      <c r="AW267" s="1080"/>
      <c r="AX267" s="1080"/>
      <c r="AY267" s="1080"/>
      <c r="AZ267" s="1080"/>
      <c r="BA267" s="1080"/>
      <c r="BC267" s="1080"/>
      <c r="BE267" s="1080"/>
      <c r="BF267" s="1080"/>
      <c r="BG267" s="1080"/>
    </row>
    <row r="268" spans="18:59" x14ac:dyDescent="0.3">
      <c r="R268" s="1080"/>
      <c r="S268" s="1080"/>
      <c r="W268" s="1080"/>
      <c r="X268" s="1080"/>
      <c r="AE268" s="1080"/>
      <c r="AF268" s="1080"/>
      <c r="AV268" s="1080"/>
      <c r="AW268" s="1080"/>
      <c r="AX268" s="1080"/>
      <c r="AY268" s="1080"/>
      <c r="AZ268" s="1080"/>
      <c r="BA268" s="1080"/>
      <c r="BC268" s="1080"/>
      <c r="BE268" s="1080"/>
      <c r="BF268" s="1080"/>
      <c r="BG268" s="1080"/>
    </row>
    <row r="269" spans="18:59" x14ac:dyDescent="0.3">
      <c r="R269" s="1080"/>
      <c r="S269" s="1080"/>
      <c r="W269" s="1080"/>
      <c r="X269" s="1080"/>
      <c r="AE269" s="1080"/>
      <c r="AF269" s="1080"/>
      <c r="AV269" s="1080"/>
      <c r="AW269" s="1080"/>
      <c r="AX269" s="1080"/>
      <c r="AY269" s="1080"/>
      <c r="AZ269" s="1080"/>
      <c r="BA269" s="1080"/>
      <c r="BC269" s="1080"/>
      <c r="BE269" s="1080"/>
      <c r="BF269" s="1080"/>
      <c r="BG269" s="1080"/>
    </row>
    <row r="270" spans="18:59" x14ac:dyDescent="0.3">
      <c r="R270" s="1080"/>
      <c r="S270" s="1080"/>
      <c r="W270" s="1080"/>
      <c r="X270" s="1080"/>
      <c r="AE270" s="1080"/>
      <c r="AF270" s="1080"/>
      <c r="AV270" s="1080"/>
      <c r="AW270" s="1080"/>
      <c r="AX270" s="1080"/>
      <c r="AY270" s="1080"/>
      <c r="AZ270" s="1080"/>
      <c r="BA270" s="1080"/>
      <c r="BC270" s="1080"/>
      <c r="BE270" s="1080"/>
      <c r="BF270" s="1080"/>
      <c r="BG270" s="1080"/>
    </row>
    <row r="271" spans="18:59" x14ac:dyDescent="0.3">
      <c r="R271" s="1080"/>
      <c r="S271" s="1080"/>
      <c r="W271" s="1080"/>
      <c r="X271" s="1080"/>
      <c r="AE271" s="1080"/>
      <c r="AF271" s="1080"/>
      <c r="AV271" s="1080"/>
      <c r="AW271" s="1080"/>
      <c r="AX271" s="1080"/>
      <c r="AY271" s="1080"/>
      <c r="AZ271" s="1080"/>
      <c r="BA271" s="1080"/>
      <c r="BC271" s="1080"/>
      <c r="BE271" s="1080"/>
      <c r="BF271" s="1080"/>
      <c r="BG271" s="1080"/>
    </row>
    <row r="272" spans="18:59" x14ac:dyDescent="0.3">
      <c r="R272" s="1080"/>
      <c r="S272" s="1080"/>
      <c r="W272" s="1080"/>
      <c r="X272" s="1080"/>
      <c r="AE272" s="1080"/>
      <c r="AF272" s="1080"/>
      <c r="AV272" s="1080"/>
      <c r="AW272" s="1080"/>
      <c r="AX272" s="1080"/>
      <c r="AY272" s="1080"/>
      <c r="AZ272" s="1080"/>
      <c r="BA272" s="1080"/>
      <c r="BC272" s="1080"/>
      <c r="BE272" s="1080"/>
      <c r="BF272" s="1080"/>
      <c r="BG272" s="1080"/>
    </row>
    <row r="273" spans="18:59" x14ac:dyDescent="0.3">
      <c r="R273" s="1080"/>
      <c r="S273" s="1080"/>
      <c r="W273" s="1080"/>
      <c r="X273" s="1080"/>
      <c r="AE273" s="1080"/>
      <c r="AF273" s="1080"/>
      <c r="AV273" s="1080"/>
      <c r="AW273" s="1080"/>
      <c r="AX273" s="1080"/>
      <c r="AY273" s="1080"/>
      <c r="AZ273" s="1080"/>
      <c r="BA273" s="1080"/>
      <c r="BC273" s="1080"/>
      <c r="BE273" s="1080"/>
      <c r="BF273" s="1080"/>
      <c r="BG273" s="1080"/>
    </row>
    <row r="274" spans="18:59" x14ac:dyDescent="0.3">
      <c r="R274" s="1080"/>
      <c r="S274" s="1080"/>
      <c r="W274" s="1080"/>
      <c r="X274" s="1080"/>
      <c r="AE274" s="1080"/>
      <c r="AF274" s="1080"/>
      <c r="AV274" s="1080"/>
      <c r="AW274" s="1080"/>
      <c r="AX274" s="1080"/>
      <c r="AY274" s="1080"/>
      <c r="AZ274" s="1080"/>
      <c r="BA274" s="1080"/>
      <c r="BC274" s="1080"/>
      <c r="BE274" s="1080"/>
      <c r="BF274" s="1080"/>
      <c r="BG274" s="1080"/>
    </row>
    <row r="275" spans="18:59" x14ac:dyDescent="0.3">
      <c r="R275" s="1080"/>
      <c r="S275" s="1080"/>
      <c r="W275" s="1080"/>
      <c r="X275" s="1080"/>
      <c r="AE275" s="1080"/>
      <c r="AF275" s="1080"/>
      <c r="AV275" s="1080"/>
      <c r="AW275" s="1080"/>
      <c r="AX275" s="1080"/>
      <c r="AY275" s="1080"/>
      <c r="AZ275" s="1080"/>
      <c r="BA275" s="1080"/>
      <c r="BC275" s="1080"/>
      <c r="BE275" s="1080"/>
      <c r="BF275" s="1080"/>
      <c r="BG275" s="1080"/>
    </row>
    <row r="276" spans="18:59" x14ac:dyDescent="0.3">
      <c r="R276" s="1080"/>
      <c r="S276" s="1080"/>
      <c r="W276" s="1080"/>
      <c r="X276" s="1080"/>
      <c r="AE276" s="1080"/>
      <c r="AF276" s="1080"/>
      <c r="AV276" s="1080"/>
      <c r="AW276" s="1080"/>
      <c r="AX276" s="1080"/>
      <c r="AY276" s="1080"/>
      <c r="AZ276" s="1080"/>
      <c r="BA276" s="1080"/>
      <c r="BC276" s="1080"/>
      <c r="BE276" s="1080"/>
      <c r="BF276" s="1080"/>
      <c r="BG276" s="1080"/>
    </row>
    <row r="277" spans="18:59" x14ac:dyDescent="0.3">
      <c r="R277" s="1080"/>
      <c r="S277" s="1080"/>
      <c r="W277" s="1080"/>
      <c r="X277" s="1080"/>
      <c r="AE277" s="1080"/>
      <c r="AF277" s="1080"/>
      <c r="AV277" s="1080"/>
      <c r="AW277" s="1080"/>
      <c r="AX277" s="1080"/>
      <c r="AY277" s="1080"/>
      <c r="AZ277" s="1080"/>
      <c r="BA277" s="1080"/>
      <c r="BC277" s="1080"/>
      <c r="BE277" s="1080"/>
      <c r="BF277" s="1080"/>
      <c r="BG277" s="1080"/>
    </row>
    <row r="278" spans="18:59" x14ac:dyDescent="0.3">
      <c r="R278" s="1080"/>
      <c r="S278" s="1080"/>
      <c r="W278" s="1080"/>
      <c r="X278" s="1080"/>
      <c r="AE278" s="1080"/>
      <c r="AF278" s="1080"/>
      <c r="AV278" s="1080"/>
      <c r="AW278" s="1080"/>
      <c r="AX278" s="1080"/>
      <c r="AY278" s="1080"/>
      <c r="AZ278" s="1080"/>
      <c r="BA278" s="1080"/>
      <c r="BC278" s="1080"/>
      <c r="BE278" s="1080"/>
      <c r="BF278" s="1080"/>
      <c r="BG278" s="1080"/>
    </row>
    <row r="279" spans="18:59" x14ac:dyDescent="0.3">
      <c r="R279" s="1080"/>
      <c r="S279" s="1080"/>
      <c r="W279" s="1080"/>
      <c r="X279" s="1080"/>
      <c r="AE279" s="1080"/>
      <c r="AF279" s="1080"/>
      <c r="AV279" s="1080"/>
      <c r="AW279" s="1080"/>
      <c r="AX279" s="1080"/>
      <c r="AY279" s="1080"/>
      <c r="AZ279" s="1080"/>
      <c r="BA279" s="1080"/>
      <c r="BC279" s="1080"/>
      <c r="BE279" s="1080"/>
      <c r="BF279" s="1080"/>
      <c r="BG279" s="1080"/>
    </row>
    <row r="280" spans="18:59" x14ac:dyDescent="0.3">
      <c r="R280" s="1080"/>
      <c r="S280" s="1080"/>
      <c r="W280" s="1080"/>
      <c r="X280" s="1080"/>
      <c r="AE280" s="1080"/>
      <c r="AF280" s="1080"/>
      <c r="AV280" s="1080"/>
      <c r="AW280" s="1080"/>
      <c r="AX280" s="1080"/>
      <c r="AY280" s="1080"/>
      <c r="AZ280" s="1080"/>
      <c r="BA280" s="1080"/>
      <c r="BC280" s="1080"/>
      <c r="BE280" s="1080"/>
      <c r="BF280" s="1080"/>
      <c r="BG280" s="1080"/>
    </row>
    <row r="281" spans="18:59" x14ac:dyDescent="0.3">
      <c r="R281" s="1080"/>
      <c r="S281" s="1080"/>
      <c r="W281" s="1080"/>
      <c r="X281" s="1080"/>
      <c r="AE281" s="1080"/>
      <c r="AF281" s="1080"/>
      <c r="AV281" s="1080"/>
      <c r="AW281" s="1080"/>
      <c r="AX281" s="1080"/>
      <c r="AY281" s="1080"/>
      <c r="AZ281" s="1080"/>
      <c r="BA281" s="1080"/>
      <c r="BC281" s="1080"/>
      <c r="BE281" s="1080"/>
      <c r="BF281" s="1080"/>
      <c r="BG281" s="1080"/>
    </row>
    <row r="282" spans="18:59" x14ac:dyDescent="0.3">
      <c r="R282" s="1080"/>
      <c r="S282" s="1080"/>
      <c r="W282" s="1080"/>
      <c r="X282" s="1080"/>
      <c r="AE282" s="1080"/>
      <c r="AF282" s="1080"/>
      <c r="AV282" s="1080"/>
      <c r="AW282" s="1080"/>
      <c r="AX282" s="1080"/>
      <c r="AY282" s="1080"/>
      <c r="AZ282" s="1080"/>
      <c r="BA282" s="1080"/>
      <c r="BC282" s="1080"/>
      <c r="BE282" s="1080"/>
      <c r="BF282" s="1080"/>
      <c r="BG282" s="1080"/>
    </row>
    <row r="283" spans="18:59" x14ac:dyDescent="0.3">
      <c r="R283" s="1080"/>
      <c r="S283" s="1080"/>
      <c r="W283" s="1080"/>
      <c r="X283" s="1080"/>
      <c r="AE283" s="1080"/>
      <c r="AF283" s="1080"/>
      <c r="AV283" s="1080"/>
      <c r="AW283" s="1080"/>
      <c r="AX283" s="1080"/>
      <c r="AY283" s="1080"/>
      <c r="AZ283" s="1080"/>
      <c r="BA283" s="1080"/>
      <c r="BC283" s="1080"/>
      <c r="BE283" s="1080"/>
      <c r="BF283" s="1080"/>
      <c r="BG283" s="1080"/>
    </row>
    <row r="284" spans="18:59" x14ac:dyDescent="0.3">
      <c r="R284" s="1080"/>
      <c r="S284" s="1080"/>
      <c r="W284" s="1080"/>
      <c r="X284" s="1080"/>
      <c r="AE284" s="1080"/>
      <c r="AF284" s="1080"/>
      <c r="AV284" s="1080"/>
      <c r="AW284" s="1080"/>
      <c r="AX284" s="1080"/>
      <c r="AY284" s="1080"/>
      <c r="AZ284" s="1080"/>
      <c r="BA284" s="1080"/>
      <c r="BC284" s="1080"/>
      <c r="BE284" s="1080"/>
      <c r="BF284" s="1080"/>
      <c r="BG284" s="1080"/>
    </row>
    <row r="285" spans="18:59" x14ac:dyDescent="0.3">
      <c r="R285" s="1080"/>
      <c r="S285" s="1080"/>
      <c r="W285" s="1080"/>
      <c r="X285" s="1080"/>
      <c r="AE285" s="1080"/>
      <c r="AF285" s="1080"/>
      <c r="AV285" s="1080"/>
      <c r="AW285" s="1080"/>
      <c r="AX285" s="1080"/>
      <c r="AY285" s="1080"/>
      <c r="AZ285" s="1080"/>
      <c r="BA285" s="1080"/>
      <c r="BC285" s="1080"/>
      <c r="BE285" s="1080"/>
      <c r="BF285" s="1080"/>
      <c r="BG285" s="1080"/>
    </row>
    <row r="286" spans="18:59" x14ac:dyDescent="0.3">
      <c r="R286" s="1080"/>
      <c r="S286" s="1080"/>
      <c r="W286" s="1080"/>
      <c r="X286" s="1080"/>
      <c r="AE286" s="1080"/>
      <c r="AF286" s="1080"/>
      <c r="AV286" s="1080"/>
      <c r="AW286" s="1080"/>
      <c r="AX286" s="1080"/>
      <c r="AY286" s="1080"/>
      <c r="AZ286" s="1080"/>
      <c r="BA286" s="1080"/>
      <c r="BC286" s="1080"/>
      <c r="BE286" s="1080"/>
      <c r="BF286" s="1080"/>
      <c r="BG286" s="1080"/>
    </row>
    <row r="287" spans="18:59" x14ac:dyDescent="0.3">
      <c r="R287" s="1080"/>
      <c r="S287" s="1080"/>
      <c r="W287" s="1080"/>
      <c r="X287" s="1080"/>
      <c r="AE287" s="1080"/>
      <c r="AF287" s="1080"/>
      <c r="AV287" s="1080"/>
      <c r="AW287" s="1080"/>
      <c r="AX287" s="1080"/>
      <c r="AY287" s="1080"/>
      <c r="AZ287" s="1080"/>
      <c r="BA287" s="1080"/>
      <c r="BC287" s="1080"/>
      <c r="BE287" s="1080"/>
      <c r="BF287" s="1080"/>
      <c r="BG287" s="1080"/>
    </row>
    <row r="288" spans="18:59" x14ac:dyDescent="0.3">
      <c r="R288" s="1080"/>
      <c r="S288" s="1080"/>
      <c r="W288" s="1080"/>
      <c r="X288" s="1080"/>
      <c r="AE288" s="1080"/>
      <c r="AF288" s="1080"/>
      <c r="AV288" s="1080"/>
      <c r="AW288" s="1080"/>
      <c r="AX288" s="1080"/>
      <c r="AY288" s="1080"/>
      <c r="AZ288" s="1080"/>
      <c r="BA288" s="1080"/>
      <c r="BC288" s="1080"/>
      <c r="BE288" s="1080"/>
      <c r="BF288" s="1080"/>
      <c r="BG288" s="1080"/>
    </row>
    <row r="289" spans="18:59" x14ac:dyDescent="0.3">
      <c r="R289" s="1080"/>
      <c r="S289" s="1080"/>
      <c r="W289" s="1080"/>
      <c r="X289" s="1080"/>
      <c r="AE289" s="1080"/>
      <c r="AF289" s="1080"/>
      <c r="AV289" s="1080"/>
      <c r="AW289" s="1080"/>
      <c r="AX289" s="1080"/>
      <c r="AY289" s="1080"/>
      <c r="AZ289" s="1080"/>
      <c r="BA289" s="1080"/>
      <c r="BC289" s="1080"/>
      <c r="BE289" s="1080"/>
      <c r="BF289" s="1080"/>
      <c r="BG289" s="1080"/>
    </row>
    <row r="290" spans="18:59" x14ac:dyDescent="0.3">
      <c r="R290" s="1080"/>
      <c r="S290" s="1080"/>
      <c r="W290" s="1080"/>
      <c r="X290" s="1080"/>
      <c r="AE290" s="1080"/>
      <c r="AF290" s="1080"/>
      <c r="AV290" s="1080"/>
      <c r="AW290" s="1080"/>
      <c r="AX290" s="1080"/>
      <c r="AY290" s="1080"/>
      <c r="AZ290" s="1080"/>
      <c r="BA290" s="1080"/>
      <c r="BC290" s="1080"/>
      <c r="BE290" s="1080"/>
      <c r="BF290" s="1080"/>
      <c r="BG290" s="1080"/>
    </row>
    <row r="291" spans="18:59" x14ac:dyDescent="0.3">
      <c r="R291" s="1080"/>
      <c r="S291" s="1080"/>
      <c r="W291" s="1080"/>
      <c r="X291" s="1080"/>
      <c r="AE291" s="1080"/>
      <c r="AF291" s="1080"/>
      <c r="AV291" s="1080"/>
      <c r="AW291" s="1080"/>
      <c r="AX291" s="1080"/>
      <c r="AY291" s="1080"/>
      <c r="AZ291" s="1080"/>
      <c r="BA291" s="1080"/>
      <c r="BC291" s="1080"/>
      <c r="BE291" s="1080"/>
      <c r="BF291" s="1080"/>
      <c r="BG291" s="1080"/>
    </row>
    <row r="292" spans="18:59" x14ac:dyDescent="0.3">
      <c r="R292" s="1080"/>
      <c r="S292" s="1080"/>
      <c r="W292" s="1080"/>
      <c r="X292" s="1080"/>
      <c r="AE292" s="1080"/>
      <c r="AF292" s="1080"/>
      <c r="AV292" s="1080"/>
      <c r="AW292" s="1080"/>
      <c r="AX292" s="1080"/>
      <c r="AY292" s="1080"/>
      <c r="AZ292" s="1080"/>
      <c r="BA292" s="1080"/>
      <c r="BC292" s="1080"/>
      <c r="BE292" s="1080"/>
      <c r="BF292" s="1080"/>
      <c r="BG292" s="1080"/>
    </row>
    <row r="293" spans="18:59" x14ac:dyDescent="0.3">
      <c r="R293" s="1080"/>
      <c r="S293" s="1080"/>
      <c r="W293" s="1080"/>
      <c r="X293" s="1080"/>
      <c r="AE293" s="1080"/>
      <c r="AF293" s="1080"/>
      <c r="AV293" s="1080"/>
      <c r="AW293" s="1080"/>
      <c r="AX293" s="1080"/>
      <c r="AY293" s="1080"/>
      <c r="AZ293" s="1080"/>
      <c r="BA293" s="1080"/>
      <c r="BC293" s="1080"/>
      <c r="BE293" s="1080"/>
      <c r="BF293" s="1080"/>
      <c r="BG293" s="1080"/>
    </row>
    <row r="294" spans="18:59" x14ac:dyDescent="0.3">
      <c r="R294" s="1080"/>
      <c r="S294" s="1080"/>
      <c r="W294" s="1080"/>
      <c r="X294" s="1080"/>
      <c r="AE294" s="1080"/>
      <c r="AF294" s="1080"/>
      <c r="AV294" s="1080"/>
      <c r="AW294" s="1080"/>
      <c r="AX294" s="1080"/>
      <c r="AY294" s="1080"/>
      <c r="AZ294" s="1080"/>
      <c r="BA294" s="1080"/>
      <c r="BC294" s="1080"/>
      <c r="BE294" s="1080"/>
      <c r="BF294" s="1080"/>
      <c r="BG294" s="1080"/>
    </row>
    <row r="295" spans="18:59" x14ac:dyDescent="0.3">
      <c r="R295" s="1080"/>
      <c r="S295" s="1080"/>
      <c r="W295" s="1080"/>
      <c r="X295" s="1080"/>
      <c r="AE295" s="1080"/>
      <c r="AF295" s="1080"/>
      <c r="AV295" s="1080"/>
      <c r="AW295" s="1080"/>
      <c r="AX295" s="1080"/>
      <c r="AY295" s="1080"/>
      <c r="AZ295" s="1080"/>
      <c r="BA295" s="1080"/>
      <c r="BC295" s="1080"/>
      <c r="BE295" s="1080"/>
      <c r="BF295" s="1080"/>
      <c r="BG295" s="1080"/>
    </row>
    <row r="296" spans="18:59" x14ac:dyDescent="0.3">
      <c r="R296" s="1080"/>
      <c r="S296" s="1080"/>
      <c r="W296" s="1080"/>
      <c r="X296" s="1080"/>
      <c r="AE296" s="1080"/>
      <c r="AF296" s="1080"/>
      <c r="AV296" s="1080"/>
      <c r="AW296" s="1080"/>
      <c r="AX296" s="1080"/>
      <c r="AY296" s="1080"/>
      <c r="AZ296" s="1080"/>
      <c r="BA296" s="1080"/>
      <c r="BC296" s="1080"/>
      <c r="BE296" s="1080"/>
      <c r="BF296" s="1080"/>
      <c r="BG296" s="1080"/>
    </row>
    <row r="297" spans="18:59" x14ac:dyDescent="0.3">
      <c r="R297" s="1080"/>
      <c r="S297" s="1080"/>
      <c r="W297" s="1080"/>
      <c r="X297" s="1080"/>
      <c r="AE297" s="1080"/>
      <c r="AF297" s="1080"/>
      <c r="AV297" s="1080"/>
      <c r="AW297" s="1080"/>
      <c r="AX297" s="1080"/>
      <c r="AY297" s="1080"/>
      <c r="AZ297" s="1080"/>
      <c r="BA297" s="1080"/>
      <c r="BC297" s="1080"/>
      <c r="BE297" s="1080"/>
      <c r="BF297" s="1080"/>
      <c r="BG297" s="1080"/>
    </row>
    <row r="298" spans="18:59" x14ac:dyDescent="0.3">
      <c r="R298" s="1080"/>
      <c r="S298" s="1080"/>
      <c r="W298" s="1080"/>
      <c r="X298" s="1080"/>
      <c r="AE298" s="1080"/>
      <c r="AF298" s="1080"/>
      <c r="AV298" s="1080"/>
      <c r="AW298" s="1080"/>
      <c r="AX298" s="1080"/>
      <c r="AY298" s="1080"/>
      <c r="AZ298" s="1080"/>
      <c r="BA298" s="1080"/>
      <c r="BC298" s="1080"/>
      <c r="BE298" s="1080"/>
      <c r="BF298" s="1080"/>
      <c r="BG298" s="1080"/>
    </row>
    <row r="299" spans="18:59" x14ac:dyDescent="0.3">
      <c r="R299" s="1080"/>
      <c r="S299" s="1080"/>
      <c r="W299" s="1080"/>
      <c r="X299" s="1080"/>
      <c r="AE299" s="1080"/>
      <c r="AF299" s="1080"/>
      <c r="AV299" s="1080"/>
      <c r="AW299" s="1080"/>
      <c r="AX299" s="1080"/>
      <c r="AY299" s="1080"/>
      <c r="AZ299" s="1080"/>
      <c r="BA299" s="1080"/>
      <c r="BC299" s="1080"/>
      <c r="BE299" s="1080"/>
      <c r="BF299" s="1080"/>
      <c r="BG299" s="1080"/>
    </row>
    <row r="300" spans="18:59" x14ac:dyDescent="0.3">
      <c r="R300" s="1080"/>
      <c r="S300" s="1080"/>
      <c r="W300" s="1080"/>
      <c r="X300" s="1080"/>
      <c r="AE300" s="1080"/>
      <c r="AF300" s="1080"/>
      <c r="AV300" s="1080"/>
      <c r="AW300" s="1080"/>
      <c r="AX300" s="1080"/>
      <c r="AY300" s="1080"/>
      <c r="AZ300" s="1080"/>
      <c r="BA300" s="1080"/>
      <c r="BC300" s="1080"/>
      <c r="BE300" s="1080"/>
      <c r="BF300" s="1080"/>
      <c r="BG300" s="1080"/>
    </row>
    <row r="301" spans="18:59" x14ac:dyDescent="0.3">
      <c r="R301" s="1080"/>
      <c r="S301" s="1080"/>
      <c r="W301" s="1080"/>
      <c r="X301" s="1080"/>
      <c r="AE301" s="1080"/>
      <c r="AF301" s="1080"/>
      <c r="AV301" s="1080"/>
      <c r="AW301" s="1080"/>
      <c r="AX301" s="1080"/>
      <c r="AY301" s="1080"/>
      <c r="AZ301" s="1080"/>
      <c r="BA301" s="1080"/>
      <c r="BC301" s="1080"/>
      <c r="BE301" s="1080"/>
      <c r="BF301" s="1080"/>
      <c r="BG301" s="1080"/>
    </row>
    <row r="302" spans="18:59" x14ac:dyDescent="0.3">
      <c r="R302" s="1080"/>
      <c r="S302" s="1080"/>
      <c r="W302" s="1080"/>
      <c r="X302" s="1080"/>
      <c r="AE302" s="1080"/>
      <c r="AF302" s="1080"/>
      <c r="AV302" s="1080"/>
      <c r="AW302" s="1080"/>
      <c r="AX302" s="1080"/>
      <c r="AY302" s="1080"/>
      <c r="AZ302" s="1080"/>
      <c r="BA302" s="1080"/>
      <c r="BC302" s="1080"/>
      <c r="BE302" s="1080"/>
      <c r="BF302" s="1080"/>
      <c r="BG302" s="1080"/>
    </row>
    <row r="303" spans="18:59" x14ac:dyDescent="0.3">
      <c r="R303" s="1080"/>
      <c r="S303" s="1080"/>
      <c r="W303" s="1080"/>
      <c r="X303" s="1080"/>
      <c r="AE303" s="1080"/>
      <c r="AF303" s="1080"/>
      <c r="AV303" s="1080"/>
      <c r="AW303" s="1080"/>
      <c r="AX303" s="1080"/>
      <c r="AY303" s="1080"/>
      <c r="AZ303" s="1080"/>
      <c r="BA303" s="1080"/>
      <c r="BC303" s="1080"/>
      <c r="BE303" s="1080"/>
      <c r="BF303" s="1080"/>
      <c r="BG303" s="1080"/>
    </row>
    <row r="304" spans="18:59" x14ac:dyDescent="0.3">
      <c r="R304" s="1080"/>
      <c r="S304" s="1080"/>
      <c r="W304" s="1080"/>
      <c r="X304" s="1080"/>
      <c r="AE304" s="1080"/>
      <c r="AF304" s="1080"/>
      <c r="AV304" s="1080"/>
      <c r="AW304" s="1080"/>
      <c r="AX304" s="1080"/>
      <c r="AY304" s="1080"/>
      <c r="AZ304" s="1080"/>
      <c r="BA304" s="1080"/>
      <c r="BC304" s="1080"/>
      <c r="BE304" s="1080"/>
      <c r="BF304" s="1080"/>
      <c r="BG304" s="1080"/>
    </row>
    <row r="305" spans="18:59" x14ac:dyDescent="0.3">
      <c r="R305" s="1080"/>
      <c r="S305" s="1080"/>
      <c r="W305" s="1080"/>
      <c r="X305" s="1080"/>
      <c r="AE305" s="1080"/>
      <c r="AF305" s="1080"/>
      <c r="AV305" s="1080"/>
      <c r="AW305" s="1080"/>
      <c r="AX305" s="1080"/>
      <c r="AY305" s="1080"/>
      <c r="AZ305" s="1080"/>
      <c r="BA305" s="1080"/>
      <c r="BC305" s="1080"/>
      <c r="BE305" s="1080"/>
      <c r="BF305" s="1080"/>
      <c r="BG305" s="1080"/>
    </row>
    <row r="306" spans="18:59" x14ac:dyDescent="0.3">
      <c r="R306" s="1080"/>
      <c r="S306" s="1080"/>
      <c r="W306" s="1080"/>
      <c r="X306" s="1080"/>
      <c r="AE306" s="1080"/>
      <c r="AF306" s="1080"/>
      <c r="AV306" s="1080"/>
      <c r="AW306" s="1080"/>
      <c r="AX306" s="1080"/>
      <c r="AY306" s="1080"/>
      <c r="AZ306" s="1080"/>
      <c r="BA306" s="1080"/>
      <c r="BC306" s="1080"/>
      <c r="BE306" s="1080"/>
      <c r="BF306" s="1080"/>
      <c r="BG306" s="1080"/>
    </row>
    <row r="307" spans="18:59" x14ac:dyDescent="0.3">
      <c r="R307" s="1080"/>
      <c r="S307" s="1080"/>
      <c r="W307" s="1080"/>
      <c r="X307" s="1080"/>
      <c r="AE307" s="1080"/>
      <c r="AF307" s="1080"/>
      <c r="AV307" s="1080"/>
      <c r="AW307" s="1080"/>
      <c r="AX307" s="1080"/>
      <c r="AY307" s="1080"/>
      <c r="AZ307" s="1080"/>
      <c r="BA307" s="1080"/>
      <c r="BC307" s="1080"/>
      <c r="BE307" s="1080"/>
      <c r="BF307" s="1080"/>
      <c r="BG307" s="1080"/>
    </row>
    <row r="308" spans="18:59" x14ac:dyDescent="0.3">
      <c r="R308" s="1080"/>
      <c r="S308" s="1080"/>
      <c r="W308" s="1080"/>
      <c r="X308" s="1080"/>
      <c r="AE308" s="1080"/>
      <c r="AF308" s="1080"/>
      <c r="AV308" s="1080"/>
      <c r="AW308" s="1080"/>
      <c r="AX308" s="1080"/>
      <c r="AY308" s="1080"/>
      <c r="AZ308" s="1080"/>
      <c r="BA308" s="1080"/>
      <c r="BC308" s="1080"/>
      <c r="BE308" s="1080"/>
      <c r="BF308" s="1080"/>
      <c r="BG308" s="1080"/>
    </row>
    <row r="309" spans="18:59" x14ac:dyDescent="0.3">
      <c r="R309" s="1080"/>
      <c r="S309" s="1080"/>
      <c r="W309" s="1080"/>
      <c r="X309" s="1080"/>
      <c r="AE309" s="1080"/>
      <c r="AF309" s="1080"/>
      <c r="AV309" s="1080"/>
      <c r="AW309" s="1080"/>
      <c r="AX309" s="1080"/>
      <c r="AY309" s="1080"/>
      <c r="AZ309" s="1080"/>
      <c r="BA309" s="1080"/>
      <c r="BC309" s="1080"/>
      <c r="BE309" s="1080"/>
      <c r="BF309" s="1080"/>
      <c r="BG309" s="1080"/>
    </row>
    <row r="310" spans="18:59" x14ac:dyDescent="0.3">
      <c r="R310" s="1080"/>
      <c r="S310" s="1080"/>
      <c r="W310" s="1080"/>
      <c r="X310" s="1080"/>
      <c r="AE310" s="1080"/>
      <c r="AF310" s="1080"/>
      <c r="AV310" s="1080"/>
      <c r="AW310" s="1080"/>
      <c r="AX310" s="1080"/>
      <c r="AY310" s="1080"/>
      <c r="AZ310" s="1080"/>
      <c r="BA310" s="1080"/>
      <c r="BC310" s="1080"/>
      <c r="BE310" s="1080"/>
      <c r="BF310" s="1080"/>
      <c r="BG310" s="1080"/>
    </row>
    <row r="311" spans="18:59" x14ac:dyDescent="0.3">
      <c r="R311" s="1080"/>
      <c r="S311" s="1080"/>
      <c r="W311" s="1080"/>
      <c r="X311" s="1080"/>
      <c r="AE311" s="1080"/>
      <c r="AF311" s="1080"/>
      <c r="AV311" s="1080"/>
      <c r="AW311" s="1080"/>
      <c r="AX311" s="1080"/>
      <c r="AY311" s="1080"/>
      <c r="AZ311" s="1080"/>
      <c r="BA311" s="1080"/>
      <c r="BC311" s="1080"/>
      <c r="BE311" s="1080"/>
      <c r="BF311" s="1080"/>
      <c r="BG311" s="1080"/>
    </row>
    <row r="312" spans="18:59" x14ac:dyDescent="0.3">
      <c r="R312" s="1080"/>
      <c r="S312" s="1080"/>
      <c r="W312" s="1080"/>
      <c r="X312" s="1080"/>
      <c r="AE312" s="1080"/>
      <c r="AF312" s="1080"/>
      <c r="AV312" s="1080"/>
      <c r="AW312" s="1080"/>
      <c r="AX312" s="1080"/>
      <c r="AY312" s="1080"/>
      <c r="AZ312" s="1080"/>
      <c r="BA312" s="1080"/>
      <c r="BC312" s="1080"/>
      <c r="BE312" s="1080"/>
      <c r="BF312" s="1080"/>
      <c r="BG312" s="1080"/>
    </row>
    <row r="313" spans="18:59" x14ac:dyDescent="0.3">
      <c r="R313" s="1080"/>
      <c r="S313" s="1080"/>
      <c r="W313" s="1080"/>
      <c r="X313" s="1080"/>
      <c r="AE313" s="1080"/>
      <c r="AF313" s="1080"/>
      <c r="AV313" s="1080"/>
      <c r="AW313" s="1080"/>
      <c r="AX313" s="1080"/>
      <c r="AY313" s="1080"/>
      <c r="AZ313" s="1080"/>
      <c r="BA313" s="1080"/>
      <c r="BC313" s="1080"/>
      <c r="BE313" s="1080"/>
      <c r="BF313" s="1080"/>
      <c r="BG313" s="1080"/>
    </row>
    <row r="314" spans="18:59" x14ac:dyDescent="0.3">
      <c r="R314" s="1080"/>
      <c r="S314" s="1080"/>
      <c r="W314" s="1080"/>
      <c r="X314" s="1080"/>
      <c r="AE314" s="1080"/>
      <c r="AF314" s="1080"/>
      <c r="AV314" s="1080"/>
      <c r="AW314" s="1080"/>
      <c r="AX314" s="1080"/>
      <c r="AY314" s="1080"/>
      <c r="AZ314" s="1080"/>
      <c r="BA314" s="1080"/>
      <c r="BC314" s="1080"/>
      <c r="BE314" s="1080"/>
      <c r="BF314" s="1080"/>
      <c r="BG314" s="1080"/>
    </row>
    <row r="315" spans="18:59" x14ac:dyDescent="0.3">
      <c r="R315" s="1080"/>
      <c r="S315" s="1080"/>
      <c r="W315" s="1080"/>
      <c r="X315" s="1080"/>
      <c r="AE315" s="1080"/>
      <c r="AF315" s="1080"/>
      <c r="AV315" s="1080"/>
      <c r="AW315" s="1080"/>
      <c r="AX315" s="1080"/>
      <c r="AY315" s="1080"/>
      <c r="AZ315" s="1080"/>
      <c r="BA315" s="1080"/>
      <c r="BC315" s="1080"/>
      <c r="BE315" s="1080"/>
      <c r="BF315" s="1080"/>
      <c r="BG315" s="1080"/>
    </row>
    <row r="316" spans="18:59" x14ac:dyDescent="0.3">
      <c r="R316" s="1080"/>
      <c r="S316" s="1080"/>
      <c r="W316" s="1080"/>
      <c r="X316" s="1080"/>
      <c r="AE316" s="1080"/>
      <c r="AF316" s="1080"/>
      <c r="AV316" s="1080"/>
      <c r="AW316" s="1080"/>
      <c r="AX316" s="1080"/>
      <c r="AY316" s="1080"/>
      <c r="AZ316" s="1080"/>
      <c r="BA316" s="1080"/>
      <c r="BC316" s="1080"/>
      <c r="BE316" s="1080"/>
      <c r="BF316" s="1080"/>
      <c r="BG316" s="1080"/>
    </row>
    <row r="317" spans="18:59" x14ac:dyDescent="0.3">
      <c r="R317" s="1080"/>
      <c r="S317" s="1080"/>
      <c r="W317" s="1080"/>
      <c r="X317" s="1080"/>
      <c r="AE317" s="1080"/>
      <c r="AF317" s="1080"/>
      <c r="AV317" s="1080"/>
      <c r="AW317" s="1080"/>
      <c r="AX317" s="1080"/>
      <c r="AY317" s="1080"/>
      <c r="AZ317" s="1080"/>
      <c r="BA317" s="1080"/>
      <c r="BC317" s="1080"/>
      <c r="BE317" s="1080"/>
      <c r="BF317" s="1080"/>
      <c r="BG317" s="1080"/>
    </row>
    <row r="318" spans="18:59" x14ac:dyDescent="0.3">
      <c r="R318" s="1080"/>
      <c r="S318" s="1080"/>
      <c r="W318" s="1080"/>
      <c r="X318" s="1080"/>
      <c r="AE318" s="1080"/>
      <c r="AF318" s="1080"/>
      <c r="AV318" s="1080"/>
      <c r="AW318" s="1080"/>
      <c r="AX318" s="1080"/>
      <c r="AY318" s="1080"/>
      <c r="AZ318" s="1080"/>
      <c r="BA318" s="1080"/>
      <c r="BC318" s="1080"/>
      <c r="BE318" s="1080"/>
      <c r="BF318" s="1080"/>
      <c r="BG318" s="1080"/>
    </row>
    <row r="319" spans="18:59" x14ac:dyDescent="0.3">
      <c r="R319" s="1080"/>
      <c r="S319" s="1080"/>
      <c r="W319" s="1080"/>
      <c r="X319" s="1080"/>
      <c r="AE319" s="1080"/>
      <c r="AF319" s="1080"/>
      <c r="AV319" s="1080"/>
      <c r="AW319" s="1080"/>
      <c r="AX319" s="1080"/>
      <c r="AY319" s="1080"/>
      <c r="AZ319" s="1080"/>
      <c r="BA319" s="1080"/>
      <c r="BC319" s="1080"/>
      <c r="BE319" s="1080"/>
      <c r="BF319" s="1080"/>
      <c r="BG319" s="1080"/>
    </row>
    <row r="320" spans="18:59" x14ac:dyDescent="0.3">
      <c r="R320" s="1080"/>
      <c r="S320" s="1080"/>
      <c r="W320" s="1080"/>
      <c r="X320" s="1080"/>
      <c r="AE320" s="1080"/>
      <c r="AF320" s="1080"/>
      <c r="AV320" s="1080"/>
      <c r="AW320" s="1080"/>
      <c r="AX320" s="1080"/>
      <c r="AY320" s="1080"/>
      <c r="AZ320" s="1080"/>
      <c r="BA320" s="1080"/>
      <c r="BC320" s="1080"/>
      <c r="BE320" s="1080"/>
      <c r="BF320" s="1080"/>
      <c r="BG320" s="1080"/>
    </row>
    <row r="321" spans="18:59" x14ac:dyDescent="0.3">
      <c r="R321" s="1080"/>
      <c r="S321" s="1080"/>
      <c r="W321" s="1080"/>
      <c r="X321" s="1080"/>
      <c r="AE321" s="1080"/>
      <c r="AF321" s="1080"/>
      <c r="AV321" s="1080"/>
      <c r="AW321" s="1080"/>
      <c r="AX321" s="1080"/>
      <c r="AY321" s="1080"/>
      <c r="AZ321" s="1080"/>
      <c r="BA321" s="1080"/>
      <c r="BC321" s="1080"/>
      <c r="BE321" s="1080"/>
      <c r="BF321" s="1080"/>
      <c r="BG321" s="1080"/>
    </row>
    <row r="322" spans="18:59" x14ac:dyDescent="0.3">
      <c r="R322" s="1080"/>
      <c r="S322" s="1080"/>
      <c r="W322" s="1080"/>
      <c r="X322" s="1080"/>
      <c r="AE322" s="1080"/>
      <c r="AF322" s="1080"/>
      <c r="AV322" s="1080"/>
      <c r="AW322" s="1080"/>
      <c r="AX322" s="1080"/>
      <c r="AY322" s="1080"/>
      <c r="AZ322" s="1080"/>
      <c r="BA322" s="1080"/>
      <c r="BC322" s="1080"/>
      <c r="BE322" s="1080"/>
      <c r="BF322" s="1080"/>
      <c r="BG322" s="1080"/>
    </row>
    <row r="323" spans="18:59" x14ac:dyDescent="0.3">
      <c r="R323" s="1080"/>
      <c r="S323" s="1080"/>
      <c r="W323" s="1080"/>
      <c r="X323" s="1080"/>
      <c r="AE323" s="1080"/>
      <c r="AF323" s="1080"/>
      <c r="AV323" s="1080"/>
      <c r="AW323" s="1080"/>
      <c r="AX323" s="1080"/>
      <c r="AY323" s="1080"/>
      <c r="AZ323" s="1080"/>
      <c r="BA323" s="1080"/>
      <c r="BC323" s="1080"/>
      <c r="BE323" s="1080"/>
      <c r="BF323" s="1080"/>
      <c r="BG323" s="1080"/>
    </row>
    <row r="324" spans="18:59" x14ac:dyDescent="0.3">
      <c r="R324" s="1080"/>
      <c r="S324" s="1080"/>
      <c r="W324" s="1080"/>
      <c r="X324" s="1080"/>
      <c r="AE324" s="1080"/>
      <c r="AF324" s="1080"/>
      <c r="AV324" s="1080"/>
      <c r="AW324" s="1080"/>
      <c r="AX324" s="1080"/>
      <c r="AY324" s="1080"/>
      <c r="AZ324" s="1080"/>
      <c r="BA324" s="1080"/>
      <c r="BC324" s="1080"/>
      <c r="BE324" s="1080"/>
      <c r="BF324" s="1080"/>
      <c r="BG324" s="1080"/>
    </row>
    <row r="325" spans="18:59" x14ac:dyDescent="0.3">
      <c r="R325" s="1080"/>
      <c r="S325" s="1080"/>
      <c r="W325" s="1080"/>
      <c r="X325" s="1080"/>
      <c r="AE325" s="1080"/>
      <c r="AF325" s="1080"/>
      <c r="AV325" s="1080"/>
      <c r="AW325" s="1080"/>
      <c r="AX325" s="1080"/>
      <c r="AY325" s="1080"/>
      <c r="AZ325" s="1080"/>
      <c r="BA325" s="1080"/>
      <c r="BC325" s="1080"/>
      <c r="BE325" s="1080"/>
      <c r="BF325" s="1080"/>
      <c r="BG325" s="1080"/>
    </row>
    <row r="326" spans="18:59" x14ac:dyDescent="0.3">
      <c r="R326" s="1080"/>
      <c r="S326" s="1080"/>
      <c r="W326" s="1080"/>
      <c r="X326" s="1080"/>
      <c r="AE326" s="1080"/>
      <c r="AF326" s="1080"/>
      <c r="AV326" s="1080"/>
      <c r="AW326" s="1080"/>
      <c r="AX326" s="1080"/>
      <c r="AY326" s="1080"/>
      <c r="AZ326" s="1080"/>
      <c r="BA326" s="1080"/>
      <c r="BC326" s="1080"/>
      <c r="BE326" s="1080"/>
      <c r="BF326" s="1080"/>
      <c r="BG326" s="1080"/>
    </row>
    <row r="327" spans="18:59" x14ac:dyDescent="0.3">
      <c r="R327" s="1080"/>
      <c r="S327" s="1080"/>
      <c r="W327" s="1080"/>
      <c r="X327" s="1080"/>
      <c r="AE327" s="1080"/>
      <c r="AF327" s="1080"/>
      <c r="AV327" s="1080"/>
      <c r="AW327" s="1080"/>
      <c r="AX327" s="1080"/>
      <c r="AY327" s="1080"/>
      <c r="AZ327" s="1080"/>
      <c r="BA327" s="1080"/>
      <c r="BC327" s="1080"/>
      <c r="BE327" s="1080"/>
      <c r="BF327" s="1080"/>
      <c r="BG327" s="1080"/>
    </row>
    <row r="328" spans="18:59" x14ac:dyDescent="0.3">
      <c r="R328" s="1080"/>
      <c r="S328" s="1080"/>
      <c r="W328" s="1080"/>
      <c r="X328" s="1080"/>
      <c r="AE328" s="1080"/>
      <c r="AF328" s="1080"/>
      <c r="AV328" s="1080"/>
      <c r="AW328" s="1080"/>
      <c r="AX328" s="1080"/>
      <c r="AY328" s="1080"/>
      <c r="AZ328" s="1080"/>
      <c r="BA328" s="1080"/>
      <c r="BC328" s="1080"/>
      <c r="BE328" s="1080"/>
      <c r="BF328" s="1080"/>
      <c r="BG328" s="1080"/>
    </row>
    <row r="329" spans="18:59" x14ac:dyDescent="0.3">
      <c r="R329" s="1080"/>
      <c r="S329" s="1080"/>
      <c r="W329" s="1080"/>
      <c r="X329" s="1080"/>
      <c r="AE329" s="1080"/>
      <c r="AF329" s="1080"/>
      <c r="AV329" s="1080"/>
      <c r="AW329" s="1080"/>
      <c r="AX329" s="1080"/>
      <c r="AY329" s="1080"/>
      <c r="AZ329" s="1080"/>
      <c r="BA329" s="1080"/>
      <c r="BC329" s="1080"/>
      <c r="BE329" s="1080"/>
      <c r="BF329" s="1080"/>
      <c r="BG329" s="1080"/>
    </row>
    <row r="330" spans="18:59" x14ac:dyDescent="0.3">
      <c r="R330" s="1080"/>
      <c r="S330" s="1080"/>
      <c r="W330" s="1080"/>
      <c r="X330" s="1080"/>
      <c r="AE330" s="1080"/>
      <c r="AF330" s="1080"/>
      <c r="AV330" s="1080"/>
      <c r="AW330" s="1080"/>
      <c r="AX330" s="1080"/>
      <c r="AY330" s="1080"/>
      <c r="AZ330" s="1080"/>
      <c r="BA330" s="1080"/>
      <c r="BC330" s="1080"/>
      <c r="BE330" s="1080"/>
      <c r="BF330" s="1080"/>
      <c r="BG330" s="1080"/>
    </row>
    <row r="331" spans="18:59" x14ac:dyDescent="0.3">
      <c r="R331" s="1080"/>
      <c r="S331" s="1080"/>
      <c r="W331" s="1080"/>
      <c r="X331" s="1080"/>
      <c r="AE331" s="1080"/>
      <c r="AF331" s="1080"/>
      <c r="AV331" s="1080"/>
      <c r="AW331" s="1080"/>
      <c r="AX331" s="1080"/>
      <c r="AY331" s="1080"/>
      <c r="AZ331" s="1080"/>
      <c r="BA331" s="1080"/>
      <c r="BC331" s="1080"/>
      <c r="BE331" s="1080"/>
      <c r="BF331" s="1080"/>
      <c r="BG331" s="1080"/>
    </row>
    <row r="332" spans="18:59" x14ac:dyDescent="0.3">
      <c r="R332" s="1080"/>
      <c r="S332" s="1080"/>
      <c r="W332" s="1080"/>
      <c r="X332" s="1080"/>
      <c r="AE332" s="1080"/>
      <c r="AF332" s="1080"/>
      <c r="AV332" s="1080"/>
      <c r="AW332" s="1080"/>
      <c r="AX332" s="1080"/>
      <c r="AY332" s="1080"/>
      <c r="AZ332" s="1080"/>
      <c r="BA332" s="1080"/>
      <c r="BC332" s="1080"/>
      <c r="BE332" s="1080"/>
      <c r="BF332" s="1080"/>
      <c r="BG332" s="1080"/>
    </row>
    <row r="333" spans="18:59" x14ac:dyDescent="0.3">
      <c r="R333" s="1080"/>
      <c r="S333" s="1080"/>
      <c r="W333" s="1080"/>
      <c r="X333" s="1080"/>
      <c r="AE333" s="1080"/>
      <c r="AF333" s="1080"/>
      <c r="AV333" s="1080"/>
      <c r="AW333" s="1080"/>
      <c r="AX333" s="1080"/>
      <c r="AY333" s="1080"/>
      <c r="AZ333" s="1080"/>
      <c r="BA333" s="1080"/>
      <c r="BC333" s="1080"/>
      <c r="BE333" s="1080"/>
      <c r="BF333" s="1080"/>
      <c r="BG333" s="1080"/>
    </row>
    <row r="334" spans="18:59" x14ac:dyDescent="0.3">
      <c r="R334" s="1080"/>
      <c r="S334" s="1080"/>
      <c r="W334" s="1080"/>
      <c r="X334" s="1080"/>
      <c r="AE334" s="1080"/>
      <c r="AF334" s="1080"/>
      <c r="AV334" s="1080"/>
      <c r="AW334" s="1080"/>
      <c r="AX334" s="1080"/>
      <c r="AY334" s="1080"/>
      <c r="AZ334" s="1080"/>
      <c r="BA334" s="1080"/>
      <c r="BC334" s="1080"/>
      <c r="BE334" s="1080"/>
      <c r="BF334" s="1080"/>
      <c r="BG334" s="1080"/>
    </row>
    <row r="335" spans="18:59" x14ac:dyDescent="0.3">
      <c r="R335" s="1080"/>
      <c r="S335" s="1080"/>
      <c r="W335" s="1080"/>
      <c r="X335" s="1080"/>
      <c r="AE335" s="1080"/>
      <c r="AF335" s="1080"/>
      <c r="AV335" s="1080"/>
      <c r="AW335" s="1080"/>
      <c r="AX335" s="1080"/>
      <c r="AY335" s="1080"/>
      <c r="AZ335" s="1080"/>
      <c r="BA335" s="1080"/>
      <c r="BC335" s="1080"/>
      <c r="BE335" s="1080"/>
      <c r="BF335" s="1080"/>
      <c r="BG335" s="1080"/>
    </row>
    <row r="336" spans="18:59" x14ac:dyDescent="0.3">
      <c r="R336" s="1080"/>
      <c r="S336" s="1080"/>
      <c r="W336" s="1080"/>
      <c r="X336" s="1080"/>
      <c r="AE336" s="1080"/>
      <c r="AF336" s="1080"/>
      <c r="AV336" s="1080"/>
      <c r="AW336" s="1080"/>
      <c r="AX336" s="1080"/>
      <c r="AY336" s="1080"/>
      <c r="AZ336" s="1080"/>
      <c r="BA336" s="1080"/>
      <c r="BC336" s="1080"/>
      <c r="BE336" s="1080"/>
      <c r="BF336" s="1080"/>
      <c r="BG336" s="1080"/>
    </row>
    <row r="337" spans="18:59" x14ac:dyDescent="0.3">
      <c r="R337" s="1080"/>
      <c r="S337" s="1080"/>
      <c r="W337" s="1080"/>
      <c r="X337" s="1080"/>
      <c r="AE337" s="1080"/>
      <c r="AF337" s="1080"/>
      <c r="AV337" s="1080"/>
      <c r="AW337" s="1080"/>
      <c r="AX337" s="1080"/>
      <c r="AY337" s="1080"/>
      <c r="AZ337" s="1080"/>
      <c r="BA337" s="1080"/>
      <c r="BC337" s="1080"/>
      <c r="BE337" s="1080"/>
      <c r="BF337" s="1080"/>
      <c r="BG337" s="1080"/>
    </row>
    <row r="338" spans="18:59" x14ac:dyDescent="0.3">
      <c r="R338" s="1080"/>
      <c r="S338" s="1080"/>
      <c r="W338" s="1080"/>
      <c r="X338" s="1080"/>
      <c r="AE338" s="1080"/>
      <c r="AF338" s="1080"/>
      <c r="AV338" s="1080"/>
      <c r="AW338" s="1080"/>
      <c r="AX338" s="1080"/>
      <c r="AY338" s="1080"/>
      <c r="AZ338" s="1080"/>
      <c r="BA338" s="1080"/>
      <c r="BC338" s="1080"/>
      <c r="BE338" s="1080"/>
      <c r="BF338" s="1080"/>
      <c r="BG338" s="1080"/>
    </row>
    <row r="339" spans="18:59" x14ac:dyDescent="0.3">
      <c r="R339" s="1080"/>
      <c r="S339" s="1080"/>
      <c r="W339" s="1080"/>
      <c r="X339" s="1080"/>
      <c r="AE339" s="1080"/>
      <c r="AF339" s="1080"/>
      <c r="AV339" s="1080"/>
      <c r="AW339" s="1080"/>
      <c r="AX339" s="1080"/>
      <c r="AY339" s="1080"/>
      <c r="AZ339" s="1080"/>
      <c r="BA339" s="1080"/>
      <c r="BC339" s="1080"/>
      <c r="BE339" s="1080"/>
      <c r="BF339" s="1080"/>
      <c r="BG339" s="1080"/>
    </row>
    <row r="340" spans="18:59" x14ac:dyDescent="0.3">
      <c r="R340" s="1080"/>
      <c r="S340" s="1080"/>
      <c r="W340" s="1080"/>
      <c r="X340" s="1080"/>
      <c r="AE340" s="1080"/>
      <c r="AF340" s="1080"/>
      <c r="AV340" s="1080"/>
      <c r="AW340" s="1080"/>
      <c r="AX340" s="1080"/>
      <c r="AY340" s="1080"/>
      <c r="AZ340" s="1080"/>
      <c r="BA340" s="1080"/>
      <c r="BC340" s="1080"/>
      <c r="BE340" s="1080"/>
      <c r="BF340" s="1080"/>
      <c r="BG340" s="1080"/>
    </row>
    <row r="341" spans="18:59" x14ac:dyDescent="0.3">
      <c r="R341" s="1080"/>
      <c r="S341" s="1080"/>
      <c r="W341" s="1080"/>
      <c r="X341" s="1080"/>
      <c r="AE341" s="1080"/>
      <c r="AF341" s="1080"/>
      <c r="AV341" s="1080"/>
      <c r="AW341" s="1080"/>
      <c r="AX341" s="1080"/>
      <c r="AY341" s="1080"/>
      <c r="AZ341" s="1080"/>
      <c r="BA341" s="1080"/>
      <c r="BC341" s="1080"/>
      <c r="BE341" s="1080"/>
      <c r="BF341" s="1080"/>
      <c r="BG341" s="1080"/>
    </row>
    <row r="342" spans="18:59" x14ac:dyDescent="0.3">
      <c r="R342" s="1080"/>
      <c r="S342" s="1080"/>
      <c r="W342" s="1080"/>
      <c r="X342" s="1080"/>
      <c r="AE342" s="1080"/>
      <c r="AF342" s="1080"/>
      <c r="AV342" s="1080"/>
      <c r="AW342" s="1080"/>
      <c r="AX342" s="1080"/>
      <c r="AY342" s="1080"/>
      <c r="AZ342" s="1080"/>
      <c r="BA342" s="1080"/>
      <c r="BC342" s="1080"/>
      <c r="BE342" s="1080"/>
      <c r="BF342" s="1080"/>
      <c r="BG342" s="1080"/>
    </row>
    <row r="343" spans="18:59" x14ac:dyDescent="0.3">
      <c r="R343" s="1080"/>
      <c r="S343" s="1080"/>
      <c r="W343" s="1080"/>
      <c r="X343" s="1080"/>
      <c r="AE343" s="1080"/>
      <c r="AF343" s="1080"/>
      <c r="AV343" s="1080"/>
      <c r="AW343" s="1080"/>
      <c r="AX343" s="1080"/>
      <c r="AY343" s="1080"/>
      <c r="AZ343" s="1080"/>
      <c r="BA343" s="1080"/>
      <c r="BC343" s="1080"/>
      <c r="BE343" s="1080"/>
      <c r="BF343" s="1080"/>
      <c r="BG343" s="1080"/>
    </row>
    <row r="344" spans="18:59" x14ac:dyDescent="0.3">
      <c r="R344" s="1080"/>
      <c r="S344" s="1080"/>
      <c r="W344" s="1080"/>
      <c r="X344" s="1080"/>
      <c r="AE344" s="1080"/>
      <c r="AF344" s="1080"/>
      <c r="AV344" s="1080"/>
      <c r="AW344" s="1080"/>
      <c r="AX344" s="1080"/>
      <c r="AY344" s="1080"/>
      <c r="AZ344" s="1080"/>
      <c r="BA344" s="1080"/>
      <c r="BC344" s="1080"/>
      <c r="BE344" s="1080"/>
      <c r="BF344" s="1080"/>
      <c r="BG344" s="1080"/>
    </row>
    <row r="345" spans="18:59" x14ac:dyDescent="0.3">
      <c r="R345" s="1080"/>
      <c r="S345" s="1080"/>
      <c r="W345" s="1080"/>
      <c r="X345" s="1080"/>
      <c r="AE345" s="1080"/>
      <c r="AF345" s="1080"/>
      <c r="AV345" s="1080"/>
      <c r="AW345" s="1080"/>
      <c r="AX345" s="1080"/>
      <c r="AY345" s="1080"/>
      <c r="AZ345" s="1080"/>
      <c r="BA345" s="1080"/>
      <c r="BC345" s="1080"/>
      <c r="BE345" s="1080"/>
      <c r="BF345" s="1080"/>
      <c r="BG345" s="1080"/>
    </row>
    <row r="346" spans="18:59" x14ac:dyDescent="0.3">
      <c r="R346" s="1080"/>
      <c r="S346" s="1080"/>
      <c r="W346" s="1080"/>
      <c r="X346" s="1080"/>
      <c r="AE346" s="1080"/>
      <c r="AF346" s="1080"/>
      <c r="AV346" s="1080"/>
      <c r="AW346" s="1080"/>
      <c r="AX346" s="1080"/>
      <c r="AY346" s="1080"/>
      <c r="AZ346" s="1080"/>
      <c r="BA346" s="1080"/>
      <c r="BC346" s="1080"/>
      <c r="BE346" s="1080"/>
      <c r="BF346" s="1080"/>
      <c r="BG346" s="1080"/>
    </row>
    <row r="347" spans="18:59" x14ac:dyDescent="0.3">
      <c r="R347" s="1080"/>
      <c r="S347" s="1080"/>
      <c r="W347" s="1080"/>
      <c r="X347" s="1080"/>
      <c r="AE347" s="1080"/>
      <c r="AF347" s="1080"/>
      <c r="AV347" s="1080"/>
      <c r="AW347" s="1080"/>
      <c r="AX347" s="1080"/>
      <c r="AY347" s="1080"/>
      <c r="AZ347" s="1080"/>
      <c r="BA347" s="1080"/>
      <c r="BC347" s="1080"/>
      <c r="BE347" s="1080"/>
      <c r="BF347" s="1080"/>
      <c r="BG347" s="1080"/>
    </row>
    <row r="348" spans="18:59" x14ac:dyDescent="0.3">
      <c r="R348" s="1080"/>
      <c r="S348" s="1080"/>
      <c r="W348" s="1080"/>
      <c r="X348" s="1080"/>
      <c r="AE348" s="1080"/>
      <c r="AF348" s="1080"/>
      <c r="AV348" s="1080"/>
      <c r="AW348" s="1080"/>
      <c r="AX348" s="1080"/>
      <c r="AY348" s="1080"/>
      <c r="AZ348" s="1080"/>
      <c r="BA348" s="1080"/>
      <c r="BC348" s="1080"/>
      <c r="BE348" s="1080"/>
      <c r="BF348" s="1080"/>
      <c r="BG348" s="1080"/>
    </row>
    <row r="349" spans="18:59" x14ac:dyDescent="0.3">
      <c r="R349" s="1080"/>
      <c r="S349" s="1080"/>
      <c r="W349" s="1080"/>
      <c r="X349" s="1080"/>
      <c r="AE349" s="1080"/>
      <c r="AF349" s="1080"/>
      <c r="AV349" s="1080"/>
      <c r="AW349" s="1080"/>
      <c r="AX349" s="1080"/>
      <c r="AY349" s="1080"/>
      <c r="AZ349" s="1080"/>
      <c r="BA349" s="1080"/>
      <c r="BC349" s="1080"/>
      <c r="BE349" s="1080"/>
      <c r="BF349" s="1080"/>
      <c r="BG349" s="1080"/>
    </row>
    <row r="350" spans="18:59" x14ac:dyDescent="0.3">
      <c r="R350" s="1080"/>
      <c r="S350" s="1080"/>
      <c r="W350" s="1080"/>
      <c r="X350" s="1080"/>
      <c r="AE350" s="1080"/>
      <c r="AF350" s="1080"/>
      <c r="AV350" s="1080"/>
      <c r="AW350" s="1080"/>
      <c r="AX350" s="1080"/>
      <c r="AY350" s="1080"/>
      <c r="AZ350" s="1080"/>
      <c r="BA350" s="1080"/>
      <c r="BC350" s="1080"/>
      <c r="BE350" s="1080"/>
      <c r="BF350" s="1080"/>
      <c r="BG350" s="1080"/>
    </row>
    <row r="351" spans="18:59" x14ac:dyDescent="0.3">
      <c r="R351" s="1080"/>
      <c r="S351" s="1080"/>
      <c r="W351" s="1080"/>
      <c r="X351" s="1080"/>
      <c r="AE351" s="1080"/>
      <c r="AF351" s="1080"/>
      <c r="AV351" s="1080"/>
      <c r="AW351" s="1080"/>
      <c r="AX351" s="1080"/>
      <c r="AY351" s="1080"/>
      <c r="AZ351" s="1080"/>
      <c r="BA351" s="1080"/>
      <c r="BC351" s="1080"/>
      <c r="BE351" s="1080"/>
      <c r="BF351" s="1080"/>
      <c r="BG351" s="1080"/>
    </row>
    <row r="352" spans="18:59" x14ac:dyDescent="0.3">
      <c r="R352" s="1080"/>
      <c r="S352" s="1080"/>
      <c r="W352" s="1080"/>
      <c r="X352" s="1080"/>
      <c r="AE352" s="1080"/>
      <c r="AF352" s="1080"/>
      <c r="AV352" s="1080"/>
      <c r="AW352" s="1080"/>
      <c r="AX352" s="1080"/>
      <c r="AY352" s="1080"/>
      <c r="AZ352" s="1080"/>
      <c r="BA352" s="1080"/>
      <c r="BC352" s="1080"/>
      <c r="BE352" s="1080"/>
      <c r="BF352" s="1080"/>
      <c r="BG352" s="1080"/>
    </row>
    <row r="353" spans="18:59" x14ac:dyDescent="0.3">
      <c r="R353" s="1080"/>
      <c r="S353" s="1080"/>
      <c r="W353" s="1080"/>
      <c r="X353" s="1080"/>
      <c r="AE353" s="1080"/>
      <c r="AF353" s="1080"/>
      <c r="AV353" s="1080"/>
      <c r="AW353" s="1080"/>
      <c r="AX353" s="1080"/>
      <c r="AY353" s="1080"/>
      <c r="AZ353" s="1080"/>
      <c r="BA353" s="1080"/>
      <c r="BC353" s="1080"/>
      <c r="BE353" s="1080"/>
      <c r="BF353" s="1080"/>
      <c r="BG353" s="1080"/>
    </row>
    <row r="354" spans="18:59" x14ac:dyDescent="0.3">
      <c r="R354" s="1080"/>
      <c r="S354" s="1080"/>
      <c r="W354" s="1080"/>
      <c r="X354" s="1080"/>
      <c r="AE354" s="1080"/>
      <c r="AF354" s="1080"/>
      <c r="AV354" s="1080"/>
      <c r="AW354" s="1080"/>
      <c r="AX354" s="1080"/>
      <c r="AY354" s="1080"/>
      <c r="AZ354" s="1080"/>
      <c r="BA354" s="1080"/>
      <c r="BC354" s="1080"/>
      <c r="BE354" s="1080"/>
      <c r="BF354" s="1080"/>
      <c r="BG354" s="1080"/>
    </row>
    <row r="355" spans="18:59" x14ac:dyDescent="0.3">
      <c r="R355" s="1080"/>
      <c r="S355" s="1080"/>
      <c r="W355" s="1080"/>
      <c r="X355" s="1080"/>
      <c r="AE355" s="1080"/>
      <c r="AF355" s="1080"/>
      <c r="AV355" s="1080"/>
      <c r="AW355" s="1080"/>
      <c r="AX355" s="1080"/>
      <c r="AY355" s="1080"/>
      <c r="AZ355" s="1080"/>
      <c r="BA355" s="1080"/>
      <c r="BC355" s="1080"/>
      <c r="BE355" s="1080"/>
      <c r="BF355" s="1080"/>
      <c r="BG355" s="1080"/>
    </row>
    <row r="356" spans="18:59" x14ac:dyDescent="0.3">
      <c r="R356" s="1080"/>
      <c r="S356" s="1080"/>
      <c r="W356" s="1080"/>
      <c r="X356" s="1080"/>
      <c r="AE356" s="1080"/>
      <c r="AF356" s="1080"/>
      <c r="AV356" s="1080"/>
      <c r="AW356" s="1080"/>
      <c r="AX356" s="1080"/>
      <c r="AY356" s="1080"/>
      <c r="AZ356" s="1080"/>
      <c r="BA356" s="1080"/>
      <c r="BC356" s="1080"/>
      <c r="BE356" s="1080"/>
      <c r="BF356" s="1080"/>
      <c r="BG356" s="1080"/>
    </row>
    <row r="357" spans="18:59" x14ac:dyDescent="0.3">
      <c r="R357" s="1080"/>
      <c r="S357" s="1080"/>
      <c r="W357" s="1080"/>
      <c r="X357" s="1080"/>
      <c r="AE357" s="1080"/>
      <c r="AF357" s="1080"/>
      <c r="AV357" s="1080"/>
      <c r="AW357" s="1080"/>
      <c r="AX357" s="1080"/>
      <c r="AY357" s="1080"/>
      <c r="AZ357" s="1080"/>
      <c r="BA357" s="1080"/>
      <c r="BC357" s="1080"/>
      <c r="BE357" s="1080"/>
      <c r="BF357" s="1080"/>
      <c r="BG357" s="1080"/>
    </row>
    <row r="358" spans="18:59" x14ac:dyDescent="0.3">
      <c r="R358" s="1080"/>
      <c r="S358" s="1080"/>
      <c r="W358" s="1080"/>
      <c r="X358" s="1080"/>
      <c r="AE358" s="1080"/>
      <c r="AF358" s="1080"/>
      <c r="AV358" s="1080"/>
      <c r="AW358" s="1080"/>
      <c r="AX358" s="1080"/>
      <c r="AY358" s="1080"/>
      <c r="AZ358" s="1080"/>
      <c r="BA358" s="1080"/>
      <c r="BC358" s="1080"/>
      <c r="BE358" s="1080"/>
      <c r="BF358" s="1080"/>
      <c r="BG358" s="1080"/>
    </row>
    <row r="359" spans="18:59" x14ac:dyDescent="0.3">
      <c r="R359" s="1080"/>
      <c r="S359" s="1080"/>
      <c r="W359" s="1080"/>
      <c r="X359" s="1080"/>
      <c r="AE359" s="1080"/>
      <c r="AF359" s="1080"/>
      <c r="AV359" s="1080"/>
      <c r="AW359" s="1080"/>
      <c r="AX359" s="1080"/>
      <c r="AY359" s="1080"/>
      <c r="AZ359" s="1080"/>
      <c r="BA359" s="1080"/>
      <c r="BC359" s="1080"/>
      <c r="BE359" s="1080"/>
      <c r="BF359" s="1080"/>
      <c r="BG359" s="1080"/>
    </row>
    <row r="360" spans="18:59" x14ac:dyDescent="0.3">
      <c r="R360" s="1080"/>
      <c r="S360" s="1080"/>
      <c r="W360" s="1080"/>
      <c r="X360" s="1080"/>
      <c r="AE360" s="1080"/>
      <c r="AF360" s="1080"/>
      <c r="AV360" s="1080"/>
      <c r="AW360" s="1080"/>
      <c r="AX360" s="1080"/>
      <c r="AY360" s="1080"/>
      <c r="AZ360" s="1080"/>
      <c r="BA360" s="1080"/>
      <c r="BC360" s="1080"/>
      <c r="BE360" s="1080"/>
      <c r="BF360" s="1080"/>
      <c r="BG360" s="1080"/>
    </row>
    <row r="361" spans="18:59" x14ac:dyDescent="0.3">
      <c r="R361" s="1080"/>
      <c r="S361" s="1080"/>
      <c r="W361" s="1080"/>
      <c r="X361" s="1080"/>
      <c r="AE361" s="1080"/>
      <c r="AF361" s="1080"/>
      <c r="AV361" s="1080"/>
      <c r="AW361" s="1080"/>
      <c r="AX361" s="1080"/>
      <c r="AY361" s="1080"/>
      <c r="AZ361" s="1080"/>
      <c r="BA361" s="1080"/>
      <c r="BC361" s="1080"/>
      <c r="BE361" s="1080"/>
      <c r="BF361" s="1080"/>
      <c r="BG361" s="1080"/>
    </row>
    <row r="362" spans="18:59" x14ac:dyDescent="0.3">
      <c r="R362" s="1080"/>
      <c r="S362" s="1080"/>
      <c r="W362" s="1080"/>
      <c r="X362" s="1080"/>
      <c r="AE362" s="1080"/>
      <c r="AF362" s="1080"/>
      <c r="AV362" s="1080"/>
      <c r="AW362" s="1080"/>
      <c r="AX362" s="1080"/>
      <c r="AY362" s="1080"/>
      <c r="AZ362" s="1080"/>
      <c r="BA362" s="1080"/>
      <c r="BC362" s="1080"/>
      <c r="BE362" s="1080"/>
      <c r="BF362" s="1080"/>
      <c r="BG362" s="1080"/>
    </row>
    <row r="363" spans="18:59" x14ac:dyDescent="0.3">
      <c r="R363" s="1080"/>
      <c r="S363" s="1080"/>
      <c r="W363" s="1080"/>
      <c r="X363" s="1080"/>
      <c r="AE363" s="1080"/>
      <c r="AF363" s="1080"/>
      <c r="AV363" s="1080"/>
      <c r="AW363" s="1080"/>
      <c r="AX363" s="1080"/>
      <c r="AY363" s="1080"/>
      <c r="AZ363" s="1080"/>
      <c r="BA363" s="1080"/>
      <c r="BC363" s="1080"/>
      <c r="BE363" s="1080"/>
      <c r="BF363" s="1080"/>
      <c r="BG363" s="1080"/>
    </row>
    <row r="364" spans="18:59" x14ac:dyDescent="0.3">
      <c r="R364" s="1080"/>
      <c r="S364" s="1080"/>
      <c r="W364" s="1080"/>
      <c r="X364" s="1080"/>
      <c r="AE364" s="1080"/>
      <c r="AF364" s="1080"/>
      <c r="AV364" s="1080"/>
      <c r="AW364" s="1080"/>
      <c r="AX364" s="1080"/>
      <c r="AY364" s="1080"/>
      <c r="AZ364" s="1080"/>
      <c r="BA364" s="1080"/>
      <c r="BC364" s="1080"/>
      <c r="BE364" s="1080"/>
      <c r="BF364" s="1080"/>
      <c r="BG364" s="1080"/>
    </row>
    <row r="365" spans="18:59" x14ac:dyDescent="0.3">
      <c r="R365" s="1080"/>
      <c r="S365" s="1080"/>
      <c r="W365" s="1080"/>
      <c r="X365" s="1080"/>
      <c r="AE365" s="1080"/>
      <c r="AF365" s="1080"/>
      <c r="AV365" s="1080"/>
      <c r="AW365" s="1080"/>
      <c r="AX365" s="1080"/>
      <c r="AY365" s="1080"/>
      <c r="AZ365" s="1080"/>
      <c r="BA365" s="1080"/>
      <c r="BC365" s="1080"/>
      <c r="BE365" s="1080"/>
      <c r="BF365" s="1080"/>
      <c r="BG365" s="1080"/>
    </row>
    <row r="366" spans="18:59" x14ac:dyDescent="0.3">
      <c r="R366" s="1080"/>
      <c r="S366" s="1080"/>
      <c r="W366" s="1080"/>
      <c r="X366" s="1080"/>
      <c r="AE366" s="1080"/>
      <c r="AF366" s="1080"/>
      <c r="AV366" s="1080"/>
      <c r="AW366" s="1080"/>
      <c r="AX366" s="1080"/>
      <c r="AY366" s="1080"/>
      <c r="AZ366" s="1080"/>
      <c r="BA366" s="1080"/>
      <c r="BC366" s="1080"/>
      <c r="BE366" s="1080"/>
      <c r="BF366" s="1080"/>
      <c r="BG366" s="1080"/>
    </row>
    <row r="367" spans="18:59" x14ac:dyDescent="0.3">
      <c r="R367" s="1080"/>
      <c r="S367" s="1080"/>
      <c r="W367" s="1080"/>
      <c r="X367" s="1080"/>
      <c r="AE367" s="1080"/>
      <c r="AF367" s="1080"/>
      <c r="AV367" s="1080"/>
      <c r="AW367" s="1080"/>
      <c r="AX367" s="1080"/>
      <c r="AY367" s="1080"/>
      <c r="AZ367" s="1080"/>
      <c r="BA367" s="1080"/>
      <c r="BC367" s="1080"/>
      <c r="BE367" s="1080"/>
      <c r="BF367" s="1080"/>
      <c r="BG367" s="1080"/>
    </row>
    <row r="368" spans="18:59" x14ac:dyDescent="0.3">
      <c r="R368" s="1080"/>
      <c r="S368" s="1080"/>
      <c r="W368" s="1080"/>
      <c r="X368" s="1080"/>
      <c r="AE368" s="1080"/>
      <c r="AF368" s="1080"/>
      <c r="AV368" s="1080"/>
      <c r="AW368" s="1080"/>
      <c r="AX368" s="1080"/>
      <c r="AY368" s="1080"/>
      <c r="AZ368" s="1080"/>
      <c r="BA368" s="1080"/>
      <c r="BC368" s="1080"/>
      <c r="BE368" s="1080"/>
      <c r="BF368" s="1080"/>
      <c r="BG368" s="1080"/>
    </row>
    <row r="369" spans="18:59" x14ac:dyDescent="0.3">
      <c r="R369" s="1080"/>
      <c r="S369" s="1080"/>
      <c r="W369" s="1080"/>
      <c r="X369" s="1080"/>
      <c r="AE369" s="1080"/>
      <c r="AF369" s="1080"/>
      <c r="AV369" s="1080"/>
      <c r="AW369" s="1080"/>
      <c r="AX369" s="1080"/>
      <c r="AY369" s="1080"/>
      <c r="AZ369" s="1080"/>
      <c r="BA369" s="1080"/>
      <c r="BC369" s="1080"/>
      <c r="BE369" s="1080"/>
      <c r="BF369" s="1080"/>
      <c r="BG369" s="1080"/>
    </row>
    <row r="370" spans="18:59" x14ac:dyDescent="0.3">
      <c r="R370" s="1080"/>
      <c r="S370" s="1080"/>
      <c r="W370" s="1080"/>
      <c r="X370" s="1080"/>
      <c r="AE370" s="1080"/>
      <c r="AF370" s="1080"/>
      <c r="AV370" s="1080"/>
      <c r="AW370" s="1080"/>
      <c r="AX370" s="1080"/>
      <c r="AY370" s="1080"/>
      <c r="AZ370" s="1080"/>
      <c r="BA370" s="1080"/>
      <c r="BC370" s="1080"/>
      <c r="BE370" s="1080"/>
      <c r="BF370" s="1080"/>
      <c r="BG370" s="1080"/>
    </row>
    <row r="371" spans="18:59" x14ac:dyDescent="0.3">
      <c r="R371" s="1080"/>
      <c r="S371" s="1080"/>
      <c r="W371" s="1080"/>
      <c r="X371" s="1080"/>
      <c r="AE371" s="1080"/>
      <c r="AF371" s="1080"/>
      <c r="AV371" s="1080"/>
      <c r="AW371" s="1080"/>
      <c r="AX371" s="1080"/>
      <c r="AY371" s="1080"/>
      <c r="AZ371" s="1080"/>
      <c r="BA371" s="1080"/>
      <c r="BC371" s="1080"/>
      <c r="BE371" s="1080"/>
      <c r="BF371" s="1080"/>
      <c r="BG371" s="1080"/>
    </row>
    <row r="372" spans="18:59" x14ac:dyDescent="0.3">
      <c r="R372" s="1080"/>
      <c r="S372" s="1080"/>
      <c r="W372" s="1080"/>
      <c r="X372" s="1080"/>
      <c r="AE372" s="1080"/>
      <c r="AF372" s="1080"/>
      <c r="AV372" s="1080"/>
      <c r="AW372" s="1080"/>
      <c r="AX372" s="1080"/>
      <c r="AY372" s="1080"/>
      <c r="AZ372" s="1080"/>
      <c r="BA372" s="1080"/>
      <c r="BC372" s="1080"/>
      <c r="BE372" s="1080"/>
      <c r="BF372" s="1080"/>
      <c r="BG372" s="1080"/>
    </row>
    <row r="373" spans="18:59" x14ac:dyDescent="0.3">
      <c r="R373" s="1080"/>
      <c r="S373" s="1080"/>
      <c r="W373" s="1080"/>
      <c r="X373" s="1080"/>
      <c r="AE373" s="1080"/>
      <c r="AF373" s="1080"/>
      <c r="AV373" s="1080"/>
      <c r="AW373" s="1080"/>
      <c r="AX373" s="1080"/>
      <c r="AY373" s="1080"/>
      <c r="AZ373" s="1080"/>
      <c r="BA373" s="1080"/>
      <c r="BC373" s="1080"/>
      <c r="BE373" s="1080"/>
      <c r="BF373" s="1080"/>
      <c r="BG373" s="1080"/>
    </row>
    <row r="374" spans="18:59" x14ac:dyDescent="0.3">
      <c r="R374" s="1080"/>
      <c r="S374" s="1080"/>
      <c r="W374" s="1080"/>
      <c r="X374" s="1080"/>
      <c r="AE374" s="1080"/>
      <c r="AF374" s="1080"/>
      <c r="AV374" s="1080"/>
      <c r="AW374" s="1080"/>
      <c r="AX374" s="1080"/>
      <c r="AY374" s="1080"/>
      <c r="AZ374" s="1080"/>
      <c r="BA374" s="1080"/>
      <c r="BC374" s="1080"/>
      <c r="BE374" s="1080"/>
      <c r="BF374" s="1080"/>
      <c r="BG374" s="1080"/>
    </row>
    <row r="375" spans="18:59" x14ac:dyDescent="0.3">
      <c r="R375" s="1080"/>
      <c r="S375" s="1080"/>
      <c r="W375" s="1080"/>
      <c r="X375" s="1080"/>
      <c r="AE375" s="1080"/>
      <c r="AF375" s="1080"/>
      <c r="AV375" s="1080"/>
      <c r="AW375" s="1080"/>
      <c r="AX375" s="1080"/>
      <c r="AY375" s="1080"/>
      <c r="AZ375" s="1080"/>
      <c r="BA375" s="1080"/>
      <c r="BC375" s="1080"/>
      <c r="BE375" s="1080"/>
      <c r="BF375" s="1080"/>
      <c r="BG375" s="1080"/>
    </row>
    <row r="376" spans="18:59" x14ac:dyDescent="0.3">
      <c r="R376" s="1080"/>
      <c r="S376" s="1080"/>
      <c r="W376" s="1080"/>
      <c r="X376" s="1080"/>
      <c r="AE376" s="1080"/>
      <c r="AF376" s="1080"/>
      <c r="AV376" s="1080"/>
      <c r="AW376" s="1080"/>
      <c r="AX376" s="1080"/>
      <c r="AY376" s="1080"/>
      <c r="AZ376" s="1080"/>
      <c r="BA376" s="1080"/>
      <c r="BC376" s="1080"/>
      <c r="BE376" s="1080"/>
      <c r="BF376" s="1080"/>
      <c r="BG376" s="1080"/>
    </row>
    <row r="377" spans="18:59" x14ac:dyDescent="0.3">
      <c r="R377" s="1080"/>
      <c r="S377" s="1080"/>
      <c r="W377" s="1080"/>
      <c r="X377" s="1080"/>
      <c r="AE377" s="1080"/>
      <c r="AF377" s="1080"/>
      <c r="AV377" s="1080"/>
      <c r="AW377" s="1080"/>
      <c r="AX377" s="1080"/>
      <c r="AY377" s="1080"/>
      <c r="AZ377" s="1080"/>
      <c r="BA377" s="1080"/>
      <c r="BC377" s="1080"/>
      <c r="BE377" s="1080"/>
      <c r="BF377" s="1080"/>
      <c r="BG377" s="1080"/>
    </row>
    <row r="378" spans="18:59" x14ac:dyDescent="0.3">
      <c r="R378" s="1080"/>
      <c r="S378" s="1080"/>
      <c r="W378" s="1080"/>
      <c r="X378" s="1080"/>
      <c r="AE378" s="1080"/>
      <c r="AF378" s="1080"/>
      <c r="AV378" s="1080"/>
      <c r="AW378" s="1080"/>
      <c r="AX378" s="1080"/>
      <c r="AY378" s="1080"/>
      <c r="AZ378" s="1080"/>
      <c r="BA378" s="1080"/>
      <c r="BC378" s="1080"/>
      <c r="BE378" s="1080"/>
      <c r="BF378" s="1080"/>
      <c r="BG378" s="1080"/>
    </row>
    <row r="379" spans="18:59" x14ac:dyDescent="0.3">
      <c r="R379" s="1080"/>
      <c r="S379" s="1080"/>
      <c r="W379" s="1080"/>
      <c r="X379" s="1080"/>
      <c r="AE379" s="1080"/>
      <c r="AF379" s="1080"/>
      <c r="AV379" s="1080"/>
      <c r="AW379" s="1080"/>
      <c r="AX379" s="1080"/>
      <c r="AY379" s="1080"/>
      <c r="AZ379" s="1080"/>
      <c r="BA379" s="1080"/>
      <c r="BC379" s="1080"/>
      <c r="BE379" s="1080"/>
      <c r="BF379" s="1080"/>
      <c r="BG379" s="1080"/>
    </row>
    <row r="380" spans="18:59" x14ac:dyDescent="0.3">
      <c r="R380" s="1080"/>
      <c r="S380" s="1080"/>
      <c r="W380" s="1080"/>
      <c r="X380" s="1080"/>
      <c r="AE380" s="1080"/>
      <c r="AF380" s="1080"/>
      <c r="AV380" s="1080"/>
      <c r="AW380" s="1080"/>
      <c r="AX380" s="1080"/>
      <c r="AY380" s="1080"/>
      <c r="AZ380" s="1080"/>
      <c r="BA380" s="1080"/>
      <c r="BC380" s="1080"/>
      <c r="BE380" s="1080"/>
      <c r="BF380" s="1080"/>
      <c r="BG380" s="1080"/>
    </row>
    <row r="381" spans="18:59" x14ac:dyDescent="0.3">
      <c r="R381" s="1080"/>
      <c r="S381" s="1080"/>
      <c r="W381" s="1080"/>
      <c r="X381" s="1080"/>
      <c r="AE381" s="1080"/>
      <c r="AF381" s="1080"/>
      <c r="AV381" s="1080"/>
      <c r="AW381" s="1080"/>
      <c r="AX381" s="1080"/>
      <c r="AY381" s="1080"/>
      <c r="AZ381" s="1080"/>
      <c r="BA381" s="1080"/>
      <c r="BC381" s="1080"/>
      <c r="BE381" s="1080"/>
      <c r="BF381" s="1080"/>
      <c r="BG381" s="1080"/>
    </row>
    <row r="382" spans="18:59" x14ac:dyDescent="0.3">
      <c r="R382" s="1080"/>
      <c r="S382" s="1080"/>
      <c r="W382" s="1080"/>
      <c r="X382" s="1080"/>
      <c r="AE382" s="1080"/>
      <c r="AF382" s="1080"/>
      <c r="AV382" s="1080"/>
      <c r="AW382" s="1080"/>
      <c r="AX382" s="1080"/>
      <c r="AY382" s="1080"/>
      <c r="AZ382" s="1080"/>
      <c r="BA382" s="1080"/>
      <c r="BC382" s="1080"/>
      <c r="BE382" s="1080"/>
      <c r="BF382" s="1080"/>
      <c r="BG382" s="1080"/>
    </row>
    <row r="383" spans="18:59" x14ac:dyDescent="0.3">
      <c r="R383" s="1080"/>
      <c r="S383" s="1080"/>
      <c r="W383" s="1080"/>
      <c r="X383" s="1080"/>
      <c r="AE383" s="1080"/>
      <c r="AF383" s="1080"/>
      <c r="AV383" s="1080"/>
      <c r="AW383" s="1080"/>
      <c r="AX383" s="1080"/>
      <c r="AY383" s="1080"/>
      <c r="AZ383" s="1080"/>
      <c r="BA383" s="1080"/>
      <c r="BC383" s="1080"/>
      <c r="BE383" s="1080"/>
      <c r="BF383" s="1080"/>
      <c r="BG383" s="1080"/>
    </row>
    <row r="384" spans="18:59" x14ac:dyDescent="0.3">
      <c r="R384" s="1080"/>
      <c r="S384" s="1080"/>
      <c r="W384" s="1080"/>
      <c r="X384" s="1080"/>
      <c r="AE384" s="1080"/>
      <c r="AF384" s="1080"/>
      <c r="AV384" s="1080"/>
      <c r="AW384" s="1080"/>
      <c r="AX384" s="1080"/>
      <c r="AY384" s="1080"/>
      <c r="AZ384" s="1080"/>
      <c r="BA384" s="1080"/>
      <c r="BC384" s="1080"/>
      <c r="BE384" s="1080"/>
      <c r="BF384" s="1080"/>
      <c r="BG384" s="1080"/>
    </row>
    <row r="385" spans="18:59" x14ac:dyDescent="0.3">
      <c r="R385" s="1080"/>
      <c r="S385" s="1080"/>
      <c r="W385" s="1080"/>
      <c r="X385" s="1080"/>
      <c r="AE385" s="1080"/>
      <c r="AF385" s="1080"/>
      <c r="AV385" s="1080"/>
      <c r="AW385" s="1080"/>
      <c r="AX385" s="1080"/>
      <c r="AY385" s="1080"/>
      <c r="AZ385" s="1080"/>
      <c r="BA385" s="1080"/>
      <c r="BC385" s="1080"/>
      <c r="BE385" s="1080"/>
      <c r="BF385" s="1080"/>
      <c r="BG385" s="1080"/>
    </row>
    <row r="386" spans="18:59" x14ac:dyDescent="0.3">
      <c r="R386" s="1080"/>
      <c r="S386" s="1080"/>
      <c r="W386" s="1080"/>
      <c r="X386" s="1080"/>
      <c r="AE386" s="1080"/>
      <c r="AF386" s="1080"/>
      <c r="AV386" s="1080"/>
      <c r="AW386" s="1080"/>
      <c r="AX386" s="1080"/>
      <c r="AY386" s="1080"/>
      <c r="AZ386" s="1080"/>
      <c r="BA386" s="1080"/>
      <c r="BC386" s="1080"/>
      <c r="BE386" s="1080"/>
      <c r="BF386" s="1080"/>
      <c r="BG386" s="1080"/>
    </row>
    <row r="387" spans="18:59" x14ac:dyDescent="0.3">
      <c r="R387" s="1080"/>
      <c r="S387" s="1080"/>
      <c r="W387" s="1080"/>
      <c r="X387" s="1080"/>
      <c r="AE387" s="1080"/>
      <c r="AF387" s="1080"/>
      <c r="AV387" s="1080"/>
      <c r="AW387" s="1080"/>
      <c r="AX387" s="1080"/>
      <c r="AY387" s="1080"/>
      <c r="AZ387" s="1080"/>
      <c r="BA387" s="1080"/>
      <c r="BC387" s="1080"/>
      <c r="BE387" s="1080"/>
      <c r="BF387" s="1080"/>
      <c r="BG387" s="1080"/>
    </row>
    <row r="388" spans="18:59" x14ac:dyDescent="0.3">
      <c r="R388" s="1080"/>
      <c r="S388" s="1080"/>
      <c r="W388" s="1080"/>
      <c r="X388" s="1080"/>
      <c r="AE388" s="1080"/>
      <c r="AF388" s="1080"/>
      <c r="AV388" s="1080"/>
      <c r="AW388" s="1080"/>
      <c r="AX388" s="1080"/>
      <c r="AY388" s="1080"/>
      <c r="AZ388" s="1080"/>
      <c r="BA388" s="1080"/>
      <c r="BC388" s="1080"/>
      <c r="BE388" s="1080"/>
      <c r="BF388" s="1080"/>
      <c r="BG388" s="1080"/>
    </row>
    <row r="389" spans="18:59" x14ac:dyDescent="0.3">
      <c r="R389" s="1080"/>
      <c r="S389" s="1080"/>
      <c r="W389" s="1080"/>
      <c r="X389" s="1080"/>
      <c r="AE389" s="1080"/>
      <c r="AF389" s="1080"/>
      <c r="AV389" s="1080"/>
      <c r="AW389" s="1080"/>
      <c r="AX389" s="1080"/>
      <c r="AY389" s="1080"/>
      <c r="AZ389" s="1080"/>
      <c r="BA389" s="1080"/>
      <c r="BC389" s="1080"/>
      <c r="BE389" s="1080"/>
      <c r="BF389" s="1080"/>
      <c r="BG389" s="1080"/>
    </row>
    <row r="390" spans="18:59" x14ac:dyDescent="0.3">
      <c r="R390" s="1080"/>
      <c r="S390" s="1080"/>
      <c r="W390" s="1080"/>
      <c r="X390" s="1080"/>
      <c r="AE390" s="1080"/>
      <c r="AF390" s="1080"/>
      <c r="AV390" s="1080"/>
      <c r="AW390" s="1080"/>
      <c r="AX390" s="1080"/>
      <c r="AY390" s="1080"/>
      <c r="AZ390" s="1080"/>
      <c r="BA390" s="1080"/>
      <c r="BC390" s="1080"/>
      <c r="BE390" s="1080"/>
      <c r="BF390" s="1080"/>
      <c r="BG390" s="1080"/>
    </row>
    <row r="391" spans="18:59" x14ac:dyDescent="0.3">
      <c r="R391" s="1080"/>
      <c r="S391" s="1080"/>
      <c r="W391" s="1080"/>
      <c r="X391" s="1080"/>
      <c r="AE391" s="1080"/>
      <c r="AF391" s="1080"/>
      <c r="AV391" s="1080"/>
      <c r="AW391" s="1080"/>
      <c r="AX391" s="1080"/>
      <c r="AY391" s="1080"/>
      <c r="AZ391" s="1080"/>
      <c r="BA391" s="1080"/>
      <c r="BC391" s="1080"/>
      <c r="BE391" s="1080"/>
      <c r="BF391" s="1080"/>
      <c r="BG391" s="1080"/>
    </row>
    <row r="392" spans="18:59" x14ac:dyDescent="0.3">
      <c r="R392" s="1080"/>
      <c r="S392" s="1080"/>
      <c r="W392" s="1080"/>
      <c r="X392" s="1080"/>
      <c r="AE392" s="1080"/>
      <c r="AF392" s="1080"/>
      <c r="AV392" s="1080"/>
      <c r="AW392" s="1080"/>
      <c r="AX392" s="1080"/>
      <c r="AY392" s="1080"/>
      <c r="AZ392" s="1080"/>
      <c r="BA392" s="1080"/>
      <c r="BC392" s="1080"/>
      <c r="BE392" s="1080"/>
      <c r="BF392" s="1080"/>
      <c r="BG392" s="1080"/>
    </row>
    <row r="393" spans="18:59" x14ac:dyDescent="0.3">
      <c r="R393" s="1080"/>
      <c r="S393" s="1080"/>
      <c r="W393" s="1080"/>
      <c r="X393" s="1080"/>
      <c r="AE393" s="1080"/>
      <c r="AF393" s="1080"/>
      <c r="AV393" s="1080"/>
      <c r="AW393" s="1080"/>
      <c r="AX393" s="1080"/>
      <c r="AY393" s="1080"/>
      <c r="AZ393" s="1080"/>
      <c r="BA393" s="1080"/>
      <c r="BC393" s="1080"/>
      <c r="BE393" s="1080"/>
      <c r="BF393" s="1080"/>
      <c r="BG393" s="1080"/>
    </row>
    <row r="394" spans="18:59" x14ac:dyDescent="0.3">
      <c r="R394" s="1080"/>
      <c r="S394" s="1080"/>
      <c r="W394" s="1080"/>
      <c r="X394" s="1080"/>
      <c r="AE394" s="1080"/>
      <c r="AF394" s="1080"/>
      <c r="AV394" s="1080"/>
      <c r="AW394" s="1080"/>
      <c r="AX394" s="1080"/>
      <c r="AY394" s="1080"/>
      <c r="AZ394" s="1080"/>
      <c r="BA394" s="1080"/>
      <c r="BC394" s="1080"/>
      <c r="BE394" s="1080"/>
      <c r="BF394" s="1080"/>
      <c r="BG394" s="1080"/>
    </row>
    <row r="395" spans="18:59" x14ac:dyDescent="0.3">
      <c r="R395" s="1080"/>
      <c r="S395" s="1080"/>
      <c r="W395" s="1080"/>
      <c r="X395" s="1080"/>
      <c r="AE395" s="1080"/>
      <c r="AF395" s="1080"/>
      <c r="AV395" s="1080"/>
      <c r="AW395" s="1080"/>
      <c r="AX395" s="1080"/>
      <c r="AY395" s="1080"/>
      <c r="AZ395" s="1080"/>
      <c r="BA395" s="1080"/>
      <c r="BC395" s="1080"/>
      <c r="BE395" s="1080"/>
      <c r="BF395" s="1080"/>
      <c r="BG395" s="1080"/>
    </row>
    <row r="396" spans="18:59" x14ac:dyDescent="0.3">
      <c r="R396" s="1080"/>
      <c r="S396" s="1080"/>
      <c r="W396" s="1080"/>
      <c r="X396" s="1080"/>
      <c r="AE396" s="1080"/>
      <c r="AF396" s="1080"/>
      <c r="AV396" s="1080"/>
      <c r="AW396" s="1080"/>
      <c r="AX396" s="1080"/>
      <c r="AY396" s="1080"/>
      <c r="AZ396" s="1080"/>
      <c r="BA396" s="1080"/>
      <c r="BC396" s="1080"/>
      <c r="BE396" s="1080"/>
      <c r="BF396" s="1080"/>
      <c r="BG396" s="1080"/>
    </row>
    <row r="397" spans="18:59" x14ac:dyDescent="0.3">
      <c r="R397" s="1080"/>
      <c r="S397" s="1080"/>
      <c r="W397" s="1080"/>
      <c r="X397" s="1080"/>
      <c r="AE397" s="1080"/>
      <c r="AF397" s="1080"/>
      <c r="AV397" s="1080"/>
      <c r="AW397" s="1080"/>
      <c r="AX397" s="1080"/>
      <c r="AY397" s="1080"/>
      <c r="AZ397" s="1080"/>
      <c r="BA397" s="1080"/>
      <c r="BC397" s="1080"/>
      <c r="BE397" s="1080"/>
      <c r="BF397" s="1080"/>
      <c r="BG397" s="1080"/>
    </row>
    <row r="398" spans="18:59" x14ac:dyDescent="0.3">
      <c r="R398" s="1080"/>
      <c r="S398" s="1080"/>
      <c r="W398" s="1080"/>
      <c r="X398" s="1080"/>
      <c r="AE398" s="1080"/>
      <c r="AF398" s="1080"/>
      <c r="AV398" s="1080"/>
      <c r="AW398" s="1080"/>
      <c r="AX398" s="1080"/>
      <c r="AY398" s="1080"/>
      <c r="AZ398" s="1080"/>
      <c r="BA398" s="1080"/>
      <c r="BC398" s="1080"/>
      <c r="BE398" s="1080"/>
      <c r="BF398" s="1080"/>
      <c r="BG398" s="1080"/>
    </row>
    <row r="399" spans="18:59" x14ac:dyDescent="0.3">
      <c r="R399" s="1080"/>
      <c r="S399" s="1080"/>
      <c r="W399" s="1080"/>
      <c r="X399" s="1080"/>
      <c r="AE399" s="1080"/>
      <c r="AF399" s="1080"/>
      <c r="AV399" s="1080"/>
      <c r="AW399" s="1080"/>
      <c r="AX399" s="1080"/>
      <c r="AY399" s="1080"/>
      <c r="AZ399" s="1080"/>
      <c r="BA399" s="1080"/>
      <c r="BC399" s="1080"/>
      <c r="BE399" s="1080"/>
      <c r="BF399" s="1080"/>
      <c r="BG399" s="1080"/>
    </row>
    <row r="400" spans="18:59" x14ac:dyDescent="0.3">
      <c r="R400" s="1080"/>
      <c r="S400" s="1080"/>
      <c r="W400" s="1080"/>
      <c r="X400" s="1080"/>
      <c r="AE400" s="1080"/>
      <c r="AF400" s="1080"/>
      <c r="AV400" s="1080"/>
      <c r="AW400" s="1080"/>
      <c r="AX400" s="1080"/>
      <c r="AY400" s="1080"/>
      <c r="AZ400" s="1080"/>
      <c r="BA400" s="1080"/>
      <c r="BC400" s="1080"/>
      <c r="BE400" s="1080"/>
      <c r="BF400" s="1080"/>
      <c r="BG400" s="1080"/>
    </row>
    <row r="401" spans="18:59" x14ac:dyDescent="0.3">
      <c r="R401" s="1080"/>
      <c r="S401" s="1080"/>
      <c r="W401" s="1080"/>
      <c r="X401" s="1080"/>
      <c r="AE401" s="1080"/>
      <c r="AF401" s="1080"/>
      <c r="AV401" s="1080"/>
      <c r="AW401" s="1080"/>
      <c r="AX401" s="1080"/>
      <c r="AY401" s="1080"/>
      <c r="AZ401" s="1080"/>
      <c r="BA401" s="1080"/>
      <c r="BC401" s="1080"/>
      <c r="BE401" s="1080"/>
      <c r="BF401" s="1080"/>
      <c r="BG401" s="1080"/>
    </row>
    <row r="402" spans="18:59" x14ac:dyDescent="0.3">
      <c r="R402" s="1080"/>
      <c r="S402" s="1080"/>
      <c r="W402" s="1080"/>
      <c r="X402" s="1080"/>
      <c r="AE402" s="1080"/>
      <c r="AF402" s="1080"/>
      <c r="AV402" s="1080"/>
      <c r="AW402" s="1080"/>
      <c r="AX402" s="1080"/>
      <c r="AY402" s="1080"/>
      <c r="AZ402" s="1080"/>
      <c r="BA402" s="1080"/>
      <c r="BC402" s="1080"/>
      <c r="BE402" s="1080"/>
      <c r="BF402" s="1080"/>
      <c r="BG402" s="1080"/>
    </row>
    <row r="403" spans="18:59" x14ac:dyDescent="0.3">
      <c r="R403" s="1080"/>
      <c r="S403" s="1080"/>
      <c r="W403" s="1080"/>
      <c r="X403" s="1080"/>
      <c r="AE403" s="1080"/>
      <c r="AF403" s="1080"/>
      <c r="AV403" s="1080"/>
      <c r="AW403" s="1080"/>
      <c r="AX403" s="1080"/>
      <c r="AY403" s="1080"/>
      <c r="AZ403" s="1080"/>
      <c r="BA403" s="1080"/>
      <c r="BC403" s="1080"/>
      <c r="BE403" s="1080"/>
      <c r="BF403" s="1080"/>
      <c r="BG403" s="1080"/>
    </row>
    <row r="404" spans="18:59" x14ac:dyDescent="0.3">
      <c r="R404" s="1080"/>
      <c r="S404" s="1080"/>
      <c r="W404" s="1080"/>
      <c r="X404" s="1080"/>
      <c r="AE404" s="1080"/>
      <c r="AF404" s="1080"/>
      <c r="AV404" s="1080"/>
      <c r="AW404" s="1080"/>
      <c r="AX404" s="1080"/>
      <c r="AY404" s="1080"/>
      <c r="AZ404" s="1080"/>
      <c r="BA404" s="1080"/>
      <c r="BC404" s="1080"/>
      <c r="BE404" s="1080"/>
      <c r="BF404" s="1080"/>
      <c r="BG404" s="1080"/>
    </row>
    <row r="405" spans="18:59" x14ac:dyDescent="0.3">
      <c r="R405" s="1080"/>
      <c r="S405" s="1080"/>
      <c r="W405" s="1080"/>
      <c r="X405" s="1080"/>
      <c r="AE405" s="1080"/>
      <c r="AF405" s="1080"/>
      <c r="AV405" s="1080"/>
      <c r="AW405" s="1080"/>
      <c r="AX405" s="1080"/>
      <c r="AY405" s="1080"/>
      <c r="AZ405" s="1080"/>
      <c r="BA405" s="1080"/>
      <c r="BC405" s="1080"/>
      <c r="BE405" s="1080"/>
      <c r="BF405" s="1080"/>
      <c r="BG405" s="1080"/>
    </row>
    <row r="406" spans="18:59" x14ac:dyDescent="0.3">
      <c r="R406" s="1080"/>
      <c r="S406" s="1080"/>
      <c r="W406" s="1080"/>
      <c r="X406" s="1080"/>
      <c r="AE406" s="1080"/>
      <c r="AF406" s="1080"/>
      <c r="AV406" s="1080"/>
      <c r="AW406" s="1080"/>
      <c r="AX406" s="1080"/>
      <c r="AY406" s="1080"/>
      <c r="AZ406" s="1080"/>
      <c r="BA406" s="1080"/>
      <c r="BC406" s="1080"/>
      <c r="BE406" s="1080"/>
      <c r="BF406" s="1080"/>
      <c r="BG406" s="1080"/>
    </row>
    <row r="407" spans="18:59" x14ac:dyDescent="0.3">
      <c r="R407" s="1080"/>
      <c r="S407" s="1080"/>
      <c r="W407" s="1080"/>
      <c r="X407" s="1080"/>
      <c r="AE407" s="1080"/>
      <c r="AF407" s="1080"/>
      <c r="AV407" s="1080"/>
      <c r="AW407" s="1080"/>
      <c r="AX407" s="1080"/>
      <c r="AY407" s="1080"/>
      <c r="AZ407" s="1080"/>
      <c r="BA407" s="1080"/>
      <c r="BC407" s="1080"/>
      <c r="BE407" s="1080"/>
      <c r="BF407" s="1080"/>
      <c r="BG407" s="1080"/>
    </row>
    <row r="408" spans="18:59" x14ac:dyDescent="0.3">
      <c r="R408" s="1080"/>
      <c r="S408" s="1080"/>
      <c r="W408" s="1080"/>
      <c r="X408" s="1080"/>
      <c r="AE408" s="1080"/>
      <c r="AF408" s="1080"/>
      <c r="AV408" s="1080"/>
      <c r="AW408" s="1080"/>
      <c r="AX408" s="1080"/>
      <c r="AY408" s="1080"/>
      <c r="AZ408" s="1080"/>
      <c r="BA408" s="1080"/>
      <c r="BC408" s="1080"/>
      <c r="BE408" s="1080"/>
      <c r="BF408" s="1080"/>
      <c r="BG408" s="1080"/>
    </row>
    <row r="409" spans="18:59" x14ac:dyDescent="0.3">
      <c r="R409" s="1080"/>
      <c r="S409" s="1080"/>
      <c r="W409" s="1080"/>
      <c r="X409" s="1080"/>
      <c r="AE409" s="1080"/>
      <c r="AF409" s="1080"/>
      <c r="AV409" s="1080"/>
      <c r="AW409" s="1080"/>
      <c r="AX409" s="1080"/>
      <c r="AY409" s="1080"/>
      <c r="AZ409" s="1080"/>
      <c r="BA409" s="1080"/>
      <c r="BC409" s="1080"/>
      <c r="BE409" s="1080"/>
      <c r="BF409" s="1080"/>
      <c r="BG409" s="1080"/>
    </row>
    <row r="410" spans="18:59" x14ac:dyDescent="0.3">
      <c r="R410" s="1080"/>
      <c r="S410" s="1080"/>
      <c r="W410" s="1080"/>
      <c r="X410" s="1080"/>
      <c r="AE410" s="1080"/>
      <c r="AF410" s="1080"/>
      <c r="AV410" s="1080"/>
      <c r="AW410" s="1080"/>
      <c r="AX410" s="1080"/>
      <c r="AY410" s="1080"/>
      <c r="AZ410" s="1080"/>
      <c r="BA410" s="1080"/>
      <c r="BC410" s="1080"/>
      <c r="BE410" s="1080"/>
      <c r="BF410" s="1080"/>
      <c r="BG410" s="1080"/>
    </row>
    <row r="411" spans="18:59" x14ac:dyDescent="0.3">
      <c r="R411" s="1080"/>
      <c r="S411" s="1080"/>
      <c r="W411" s="1080"/>
      <c r="X411" s="1080"/>
      <c r="AE411" s="1080"/>
      <c r="AF411" s="1080"/>
      <c r="AV411" s="1080"/>
      <c r="AW411" s="1080"/>
      <c r="AX411" s="1080"/>
      <c r="AY411" s="1080"/>
      <c r="AZ411" s="1080"/>
      <c r="BA411" s="1080"/>
      <c r="BC411" s="1080"/>
      <c r="BE411" s="1080"/>
      <c r="BF411" s="1080"/>
      <c r="BG411" s="1080"/>
    </row>
    <row r="412" spans="18:59" x14ac:dyDescent="0.3">
      <c r="R412" s="1080"/>
      <c r="S412" s="1080"/>
      <c r="W412" s="1080"/>
      <c r="X412" s="1080"/>
      <c r="AE412" s="1080"/>
      <c r="AF412" s="1080"/>
      <c r="AV412" s="1080"/>
      <c r="AW412" s="1080"/>
      <c r="AX412" s="1080"/>
      <c r="AY412" s="1080"/>
      <c r="AZ412" s="1080"/>
      <c r="BA412" s="1080"/>
      <c r="BC412" s="1080"/>
      <c r="BE412" s="1080"/>
      <c r="BF412" s="1080"/>
      <c r="BG412" s="1080"/>
    </row>
    <row r="413" spans="18:59" x14ac:dyDescent="0.3">
      <c r="R413" s="1080"/>
      <c r="S413" s="1080"/>
      <c r="W413" s="1080"/>
      <c r="X413" s="1080"/>
      <c r="AE413" s="1080"/>
      <c r="AF413" s="1080"/>
      <c r="AV413" s="1080"/>
      <c r="AW413" s="1080"/>
      <c r="AX413" s="1080"/>
      <c r="AY413" s="1080"/>
      <c r="AZ413" s="1080"/>
      <c r="BA413" s="1080"/>
      <c r="BC413" s="1080"/>
      <c r="BE413" s="1080"/>
      <c r="BF413" s="1080"/>
      <c r="BG413" s="1080"/>
    </row>
    <row r="414" spans="18:59" x14ac:dyDescent="0.3">
      <c r="R414" s="1080"/>
      <c r="S414" s="1080"/>
      <c r="W414" s="1080"/>
      <c r="X414" s="1080"/>
      <c r="AE414" s="1080"/>
      <c r="AF414" s="1080"/>
      <c r="AV414" s="1080"/>
      <c r="AW414" s="1080"/>
      <c r="AX414" s="1080"/>
      <c r="AY414" s="1080"/>
      <c r="AZ414" s="1080"/>
      <c r="BA414" s="1080"/>
      <c r="BC414" s="1080"/>
      <c r="BE414" s="1080"/>
      <c r="BF414" s="1080"/>
      <c r="BG414" s="1080"/>
    </row>
    <row r="415" spans="18:59" x14ac:dyDescent="0.3">
      <c r="R415" s="1080"/>
      <c r="S415" s="1080"/>
      <c r="W415" s="1080"/>
      <c r="X415" s="1080"/>
      <c r="AE415" s="1080"/>
      <c r="AF415" s="1080"/>
      <c r="AV415" s="1080"/>
      <c r="AW415" s="1080"/>
      <c r="AX415" s="1080"/>
      <c r="AY415" s="1080"/>
      <c r="AZ415" s="1080"/>
      <c r="BA415" s="1080"/>
      <c r="BC415" s="1080"/>
      <c r="BE415" s="1080"/>
      <c r="BF415" s="1080"/>
      <c r="BG415" s="1080"/>
    </row>
    <row r="416" spans="18:59" x14ac:dyDescent="0.3">
      <c r="R416" s="1080"/>
      <c r="S416" s="1080"/>
      <c r="W416" s="1080"/>
      <c r="X416" s="1080"/>
      <c r="AE416" s="1080"/>
      <c r="AF416" s="1080"/>
      <c r="AV416" s="1080"/>
      <c r="AW416" s="1080"/>
      <c r="AX416" s="1080"/>
      <c r="AY416" s="1080"/>
      <c r="AZ416" s="1080"/>
      <c r="BA416" s="1080"/>
      <c r="BC416" s="1080"/>
      <c r="BE416" s="1080"/>
      <c r="BF416" s="1080"/>
      <c r="BG416" s="1080"/>
    </row>
    <row r="417" spans="18:59" x14ac:dyDescent="0.3">
      <c r="R417" s="1080"/>
      <c r="S417" s="1080"/>
      <c r="W417" s="1080"/>
      <c r="X417" s="1080"/>
      <c r="AE417" s="1080"/>
      <c r="AF417" s="1080"/>
      <c r="AV417" s="1080"/>
      <c r="AW417" s="1080"/>
      <c r="AX417" s="1080"/>
      <c r="AY417" s="1080"/>
      <c r="AZ417" s="1080"/>
      <c r="BA417" s="1080"/>
      <c r="BC417" s="1080"/>
      <c r="BE417" s="1080"/>
      <c r="BF417" s="1080"/>
      <c r="BG417" s="1080"/>
    </row>
    <row r="418" spans="18:59" x14ac:dyDescent="0.3">
      <c r="R418" s="1080"/>
      <c r="S418" s="1080"/>
      <c r="W418" s="1080"/>
      <c r="X418" s="1080"/>
      <c r="AE418" s="1080"/>
      <c r="AF418" s="1080"/>
      <c r="AV418" s="1080"/>
      <c r="AW418" s="1080"/>
      <c r="AX418" s="1080"/>
      <c r="AY418" s="1080"/>
      <c r="AZ418" s="1080"/>
      <c r="BA418" s="1080"/>
      <c r="BC418" s="1080"/>
      <c r="BE418" s="1080"/>
      <c r="BF418" s="1080"/>
      <c r="BG418" s="1080"/>
    </row>
    <row r="419" spans="18:59" x14ac:dyDescent="0.3">
      <c r="R419" s="1080"/>
      <c r="S419" s="1080"/>
      <c r="W419" s="1080"/>
      <c r="X419" s="1080"/>
      <c r="AE419" s="1080"/>
      <c r="AF419" s="1080"/>
      <c r="AV419" s="1080"/>
      <c r="AW419" s="1080"/>
      <c r="AX419" s="1080"/>
      <c r="AY419" s="1080"/>
      <c r="AZ419" s="1080"/>
      <c r="BA419" s="1080"/>
      <c r="BC419" s="1080"/>
      <c r="BE419" s="1080"/>
      <c r="BF419" s="1080"/>
      <c r="BG419" s="1080"/>
    </row>
    <row r="420" spans="18:59" x14ac:dyDescent="0.3">
      <c r="R420" s="1080"/>
      <c r="S420" s="1080"/>
      <c r="W420" s="1080"/>
      <c r="X420" s="1080"/>
      <c r="AE420" s="1080"/>
      <c r="AF420" s="1080"/>
      <c r="AV420" s="1080"/>
      <c r="AW420" s="1080"/>
      <c r="AX420" s="1080"/>
      <c r="AY420" s="1080"/>
      <c r="AZ420" s="1080"/>
      <c r="BA420" s="1080"/>
      <c r="BC420" s="1080"/>
      <c r="BE420" s="1080"/>
      <c r="BF420" s="1080"/>
      <c r="BG420" s="1080"/>
    </row>
    <row r="421" spans="18:59" x14ac:dyDescent="0.3">
      <c r="R421" s="1080"/>
      <c r="S421" s="1080"/>
      <c r="W421" s="1080"/>
      <c r="X421" s="1080"/>
      <c r="AE421" s="1080"/>
      <c r="AF421" s="1080"/>
      <c r="AV421" s="1080"/>
      <c r="AW421" s="1080"/>
      <c r="AX421" s="1080"/>
      <c r="AY421" s="1080"/>
      <c r="AZ421" s="1080"/>
      <c r="BA421" s="1080"/>
      <c r="BC421" s="1080"/>
      <c r="BE421" s="1080"/>
      <c r="BF421" s="1080"/>
      <c r="BG421" s="1080"/>
    </row>
    <row r="422" spans="18:59" x14ac:dyDescent="0.3">
      <c r="R422" s="1080"/>
      <c r="S422" s="1080"/>
      <c r="W422" s="1080"/>
      <c r="X422" s="1080"/>
      <c r="AE422" s="1080"/>
      <c r="AF422" s="1080"/>
      <c r="AV422" s="1080"/>
      <c r="AW422" s="1080"/>
      <c r="AX422" s="1080"/>
      <c r="AY422" s="1080"/>
      <c r="AZ422" s="1080"/>
      <c r="BA422" s="1080"/>
      <c r="BC422" s="1080"/>
      <c r="BE422" s="1080"/>
      <c r="BF422" s="1080"/>
      <c r="BG422" s="1080"/>
    </row>
    <row r="423" spans="18:59" x14ac:dyDescent="0.3">
      <c r="R423" s="1080"/>
      <c r="S423" s="1080"/>
      <c r="W423" s="1080"/>
      <c r="X423" s="1080"/>
      <c r="AE423" s="1080"/>
      <c r="AF423" s="1080"/>
      <c r="AV423" s="1080"/>
      <c r="AW423" s="1080"/>
      <c r="AX423" s="1080"/>
      <c r="AY423" s="1080"/>
      <c r="AZ423" s="1080"/>
      <c r="BA423" s="1080"/>
      <c r="BC423" s="1080"/>
      <c r="BE423" s="1080"/>
      <c r="BF423" s="1080"/>
      <c r="BG423" s="1080"/>
    </row>
    <row r="424" spans="18:59" x14ac:dyDescent="0.3">
      <c r="R424" s="1080"/>
      <c r="S424" s="1080"/>
      <c r="W424" s="1080"/>
      <c r="X424" s="1080"/>
      <c r="AE424" s="1080"/>
      <c r="AF424" s="1080"/>
      <c r="AV424" s="1080"/>
      <c r="AW424" s="1080"/>
      <c r="AX424" s="1080"/>
      <c r="AY424" s="1080"/>
      <c r="AZ424" s="1080"/>
      <c r="BA424" s="1080"/>
      <c r="BC424" s="1080"/>
      <c r="BE424" s="1080"/>
      <c r="BF424" s="1080"/>
      <c r="BG424" s="1080"/>
    </row>
    <row r="425" spans="18:59" x14ac:dyDescent="0.3">
      <c r="R425" s="1080"/>
      <c r="S425" s="1080"/>
      <c r="W425" s="1080"/>
      <c r="X425" s="1080"/>
      <c r="AE425" s="1080"/>
      <c r="AF425" s="1080"/>
      <c r="AV425" s="1080"/>
      <c r="AW425" s="1080"/>
      <c r="AX425" s="1080"/>
      <c r="AY425" s="1080"/>
      <c r="AZ425" s="1080"/>
      <c r="BA425" s="1080"/>
      <c r="BC425" s="1080"/>
      <c r="BE425" s="1080"/>
      <c r="BF425" s="1080"/>
      <c r="BG425" s="1080"/>
    </row>
    <row r="426" spans="18:59" x14ac:dyDescent="0.3">
      <c r="R426" s="1080"/>
      <c r="S426" s="1080"/>
      <c r="W426" s="1080"/>
      <c r="X426" s="1080"/>
      <c r="AE426" s="1080"/>
      <c r="AF426" s="1080"/>
      <c r="AV426" s="1080"/>
      <c r="AW426" s="1080"/>
      <c r="AX426" s="1080"/>
      <c r="AY426" s="1080"/>
      <c r="AZ426" s="1080"/>
      <c r="BA426" s="1080"/>
      <c r="BC426" s="1080"/>
      <c r="BE426" s="1080"/>
      <c r="BF426" s="1080"/>
      <c r="BG426" s="1080"/>
    </row>
    <row r="427" spans="18:59" x14ac:dyDescent="0.3">
      <c r="R427" s="1080"/>
      <c r="S427" s="1080"/>
      <c r="W427" s="1080"/>
      <c r="X427" s="1080"/>
      <c r="AE427" s="1080"/>
      <c r="AF427" s="1080"/>
      <c r="AV427" s="1080"/>
      <c r="AW427" s="1080"/>
      <c r="AX427" s="1080"/>
      <c r="AY427" s="1080"/>
      <c r="AZ427" s="1080"/>
      <c r="BA427" s="1080"/>
      <c r="BC427" s="1080"/>
      <c r="BE427" s="1080"/>
      <c r="BF427" s="1080"/>
      <c r="BG427" s="1080"/>
    </row>
    <row r="428" spans="18:59" x14ac:dyDescent="0.3">
      <c r="R428" s="1080"/>
      <c r="S428" s="1080"/>
      <c r="W428" s="1080"/>
      <c r="X428" s="1080"/>
      <c r="AE428" s="1080"/>
      <c r="AF428" s="1080"/>
      <c r="AV428" s="1080"/>
      <c r="AW428" s="1080"/>
      <c r="AX428" s="1080"/>
      <c r="AY428" s="1080"/>
      <c r="AZ428" s="1080"/>
      <c r="BA428" s="1080"/>
      <c r="BC428" s="1080"/>
      <c r="BE428" s="1080"/>
      <c r="BF428" s="1080"/>
      <c r="BG428" s="1080"/>
    </row>
    <row r="429" spans="18:59" x14ac:dyDescent="0.3">
      <c r="R429" s="1080"/>
      <c r="S429" s="1080"/>
      <c r="W429" s="1080"/>
      <c r="X429" s="1080"/>
      <c r="AE429" s="1080"/>
      <c r="AF429" s="1080"/>
      <c r="AV429" s="1080"/>
      <c r="AW429" s="1080"/>
      <c r="AX429" s="1080"/>
      <c r="AY429" s="1080"/>
      <c r="AZ429" s="1080"/>
      <c r="BA429" s="1080"/>
      <c r="BC429" s="1080"/>
      <c r="BE429" s="1080"/>
      <c r="BF429" s="1080"/>
      <c r="BG429" s="1080"/>
    </row>
    <row r="430" spans="18:59" x14ac:dyDescent="0.3">
      <c r="R430" s="1080"/>
      <c r="S430" s="1080"/>
      <c r="W430" s="1080"/>
      <c r="X430" s="1080"/>
      <c r="AE430" s="1080"/>
      <c r="AF430" s="1080"/>
      <c r="AV430" s="1080"/>
      <c r="AW430" s="1080"/>
      <c r="AX430" s="1080"/>
      <c r="AY430" s="1080"/>
      <c r="AZ430" s="1080"/>
      <c r="BA430" s="1080"/>
      <c r="BC430" s="1080"/>
      <c r="BE430" s="1080"/>
      <c r="BF430" s="1080"/>
      <c r="BG430" s="1080"/>
    </row>
    <row r="431" spans="18:59" x14ac:dyDescent="0.3">
      <c r="R431" s="1080"/>
      <c r="S431" s="1080"/>
      <c r="W431" s="1080"/>
      <c r="X431" s="1080"/>
      <c r="AE431" s="1080"/>
      <c r="AF431" s="1080"/>
      <c r="AV431" s="1080"/>
      <c r="AW431" s="1080"/>
      <c r="AX431" s="1080"/>
      <c r="AY431" s="1080"/>
      <c r="AZ431" s="1080"/>
      <c r="BA431" s="1080"/>
      <c r="BC431" s="1080"/>
      <c r="BE431" s="1080"/>
      <c r="BF431" s="1080"/>
      <c r="BG431" s="1080"/>
    </row>
    <row r="432" spans="18:59" x14ac:dyDescent="0.3">
      <c r="R432" s="1080"/>
      <c r="S432" s="1080"/>
      <c r="W432" s="1080"/>
      <c r="X432" s="1080"/>
      <c r="AE432" s="1080"/>
      <c r="AF432" s="1080"/>
      <c r="AV432" s="1080"/>
      <c r="AW432" s="1080"/>
      <c r="AX432" s="1080"/>
      <c r="AY432" s="1080"/>
      <c r="AZ432" s="1080"/>
      <c r="BA432" s="1080"/>
      <c r="BC432" s="1080"/>
      <c r="BE432" s="1080"/>
      <c r="BF432" s="1080"/>
      <c r="BG432" s="1080"/>
    </row>
    <row r="433" spans="18:59" x14ac:dyDescent="0.3">
      <c r="R433" s="1080"/>
      <c r="S433" s="1080"/>
      <c r="W433" s="1080"/>
      <c r="X433" s="1080"/>
      <c r="AE433" s="1080"/>
      <c r="AF433" s="1080"/>
      <c r="AV433" s="1080"/>
      <c r="AW433" s="1080"/>
      <c r="AX433" s="1080"/>
      <c r="AY433" s="1080"/>
      <c r="AZ433" s="1080"/>
      <c r="BA433" s="1080"/>
      <c r="BC433" s="1080"/>
      <c r="BE433" s="1080"/>
      <c r="BF433" s="1080"/>
      <c r="BG433" s="1080"/>
    </row>
    <row r="434" spans="18:59" x14ac:dyDescent="0.3">
      <c r="R434" s="1080"/>
      <c r="S434" s="1080"/>
      <c r="W434" s="1080"/>
      <c r="X434" s="1080"/>
      <c r="AE434" s="1080"/>
      <c r="AF434" s="1080"/>
      <c r="AV434" s="1080"/>
      <c r="AW434" s="1080"/>
      <c r="AX434" s="1080"/>
      <c r="AY434" s="1080"/>
      <c r="AZ434" s="1080"/>
      <c r="BA434" s="1080"/>
      <c r="BC434" s="1080"/>
      <c r="BE434" s="1080"/>
      <c r="BF434" s="1080"/>
      <c r="BG434" s="1080"/>
    </row>
    <row r="435" spans="18:59" x14ac:dyDescent="0.3">
      <c r="R435" s="1080"/>
      <c r="S435" s="1080"/>
      <c r="W435" s="1080"/>
      <c r="X435" s="1080"/>
      <c r="AE435" s="1080"/>
      <c r="AF435" s="1080"/>
      <c r="AV435" s="1080"/>
      <c r="AW435" s="1080"/>
      <c r="AX435" s="1080"/>
      <c r="AY435" s="1080"/>
      <c r="AZ435" s="1080"/>
      <c r="BA435" s="1080"/>
      <c r="BC435" s="1080"/>
      <c r="BE435" s="1080"/>
      <c r="BF435" s="1080"/>
      <c r="BG435" s="1080"/>
    </row>
    <row r="436" spans="18:59" x14ac:dyDescent="0.3">
      <c r="R436" s="1080"/>
      <c r="S436" s="1080"/>
      <c r="W436" s="1080"/>
      <c r="X436" s="1080"/>
      <c r="AE436" s="1080"/>
      <c r="AF436" s="1080"/>
      <c r="AV436" s="1080"/>
      <c r="AW436" s="1080"/>
      <c r="AX436" s="1080"/>
      <c r="AY436" s="1080"/>
      <c r="AZ436" s="1080"/>
      <c r="BA436" s="1080"/>
      <c r="BC436" s="1080"/>
      <c r="BE436" s="1080"/>
      <c r="BF436" s="1080"/>
      <c r="BG436" s="1080"/>
    </row>
    <row r="437" spans="18:59" x14ac:dyDescent="0.3">
      <c r="R437" s="1080"/>
      <c r="S437" s="1080"/>
      <c r="W437" s="1080"/>
      <c r="X437" s="1080"/>
      <c r="AE437" s="1080"/>
      <c r="AF437" s="1080"/>
      <c r="AV437" s="1080"/>
      <c r="AW437" s="1080"/>
      <c r="AX437" s="1080"/>
      <c r="AY437" s="1080"/>
      <c r="AZ437" s="1080"/>
      <c r="BA437" s="1080"/>
      <c r="BC437" s="1080"/>
      <c r="BE437" s="1080"/>
      <c r="BF437" s="1080"/>
      <c r="BG437" s="1080"/>
    </row>
    <row r="438" spans="18:59" x14ac:dyDescent="0.3">
      <c r="R438" s="1080"/>
      <c r="S438" s="1080"/>
      <c r="W438" s="1080"/>
      <c r="X438" s="1080"/>
      <c r="AE438" s="1080"/>
      <c r="AF438" s="1080"/>
      <c r="AV438" s="1080"/>
      <c r="AW438" s="1080"/>
      <c r="AX438" s="1080"/>
      <c r="AY438" s="1080"/>
      <c r="AZ438" s="1080"/>
      <c r="BA438" s="1080"/>
      <c r="BC438" s="1080"/>
      <c r="BE438" s="1080"/>
      <c r="BF438" s="1080"/>
      <c r="BG438" s="1080"/>
    </row>
    <row r="439" spans="18:59" x14ac:dyDescent="0.3">
      <c r="R439" s="1080"/>
      <c r="S439" s="1080"/>
      <c r="W439" s="1080"/>
      <c r="X439" s="1080"/>
      <c r="AE439" s="1080"/>
      <c r="AF439" s="1080"/>
      <c r="AV439" s="1080"/>
      <c r="AW439" s="1080"/>
      <c r="AX439" s="1080"/>
      <c r="AY439" s="1080"/>
      <c r="AZ439" s="1080"/>
      <c r="BA439" s="1080"/>
      <c r="BC439" s="1080"/>
      <c r="BE439" s="1080"/>
      <c r="BF439" s="1080"/>
      <c r="BG439" s="1080"/>
    </row>
    <row r="440" spans="18:59" x14ac:dyDescent="0.3">
      <c r="R440" s="1080"/>
      <c r="S440" s="1080"/>
      <c r="W440" s="1080"/>
      <c r="X440" s="1080"/>
      <c r="AE440" s="1080"/>
      <c r="AF440" s="1080"/>
      <c r="AV440" s="1080"/>
      <c r="AW440" s="1080"/>
      <c r="AX440" s="1080"/>
      <c r="AY440" s="1080"/>
      <c r="AZ440" s="1080"/>
      <c r="BA440" s="1080"/>
      <c r="BC440" s="1080"/>
      <c r="BE440" s="1080"/>
      <c r="BF440" s="1080"/>
      <c r="BG440" s="1080"/>
    </row>
    <row r="441" spans="18:59" x14ac:dyDescent="0.3">
      <c r="R441" s="1080"/>
      <c r="S441" s="1080"/>
      <c r="W441" s="1080"/>
      <c r="X441" s="1080"/>
      <c r="AE441" s="1080"/>
      <c r="AF441" s="1080"/>
      <c r="AV441" s="1080"/>
      <c r="AW441" s="1080"/>
      <c r="AX441" s="1080"/>
      <c r="AY441" s="1080"/>
      <c r="AZ441" s="1080"/>
      <c r="BA441" s="1080"/>
      <c r="BC441" s="1080"/>
      <c r="BE441" s="1080"/>
      <c r="BF441" s="1080"/>
      <c r="BG441" s="1080"/>
    </row>
    <row r="442" spans="18:59" x14ac:dyDescent="0.3">
      <c r="R442" s="1080"/>
      <c r="S442" s="1080"/>
      <c r="W442" s="1080"/>
      <c r="X442" s="1080"/>
      <c r="AE442" s="1080"/>
      <c r="AF442" s="1080"/>
      <c r="AV442" s="1080"/>
      <c r="AW442" s="1080"/>
      <c r="AX442" s="1080"/>
      <c r="AY442" s="1080"/>
      <c r="AZ442" s="1080"/>
      <c r="BA442" s="1080"/>
      <c r="BC442" s="1080"/>
      <c r="BE442" s="1080"/>
      <c r="BF442" s="1080"/>
      <c r="BG442" s="1080"/>
    </row>
    <row r="443" spans="18:59" x14ac:dyDescent="0.3">
      <c r="R443" s="1080"/>
      <c r="S443" s="1080"/>
      <c r="W443" s="1080"/>
      <c r="X443" s="1080"/>
      <c r="AE443" s="1080"/>
      <c r="AF443" s="1080"/>
      <c r="AV443" s="1080"/>
      <c r="AW443" s="1080"/>
      <c r="AX443" s="1080"/>
      <c r="AY443" s="1080"/>
      <c r="AZ443" s="1080"/>
      <c r="BA443" s="1080"/>
      <c r="BC443" s="1080"/>
      <c r="BE443" s="1080"/>
      <c r="BF443" s="1080"/>
      <c r="BG443" s="1080"/>
    </row>
    <row r="444" spans="18:59" x14ac:dyDescent="0.3">
      <c r="R444" s="1080"/>
      <c r="S444" s="1080"/>
      <c r="W444" s="1080"/>
      <c r="X444" s="1080"/>
      <c r="AE444" s="1080"/>
      <c r="AF444" s="1080"/>
      <c r="AV444" s="1080"/>
      <c r="AW444" s="1080"/>
      <c r="AX444" s="1080"/>
      <c r="AY444" s="1080"/>
      <c r="AZ444" s="1080"/>
      <c r="BA444" s="1080"/>
      <c r="BC444" s="1080"/>
      <c r="BE444" s="1080"/>
      <c r="BF444" s="1080"/>
      <c r="BG444" s="1080"/>
    </row>
    <row r="445" spans="18:59" x14ac:dyDescent="0.3">
      <c r="R445" s="1080"/>
      <c r="S445" s="1080"/>
      <c r="W445" s="1080"/>
      <c r="X445" s="1080"/>
      <c r="AE445" s="1080"/>
      <c r="AF445" s="1080"/>
      <c r="AV445" s="1080"/>
      <c r="AW445" s="1080"/>
      <c r="AX445" s="1080"/>
      <c r="AY445" s="1080"/>
      <c r="AZ445" s="1080"/>
      <c r="BA445" s="1080"/>
      <c r="BC445" s="1080"/>
      <c r="BE445" s="1080"/>
      <c r="BF445" s="1080"/>
      <c r="BG445" s="1080"/>
    </row>
    <row r="446" spans="18:59" x14ac:dyDescent="0.3">
      <c r="R446" s="1080"/>
      <c r="S446" s="1080"/>
      <c r="W446" s="1080"/>
      <c r="X446" s="1080"/>
      <c r="AE446" s="1080"/>
      <c r="AF446" s="1080"/>
      <c r="AV446" s="1080"/>
      <c r="AW446" s="1080"/>
      <c r="AX446" s="1080"/>
      <c r="AY446" s="1080"/>
      <c r="AZ446" s="1080"/>
      <c r="BA446" s="1080"/>
      <c r="BC446" s="1080"/>
      <c r="BE446" s="1080"/>
      <c r="BF446" s="1080"/>
      <c r="BG446" s="1080"/>
    </row>
    <row r="447" spans="18:59" x14ac:dyDescent="0.3">
      <c r="R447" s="1080"/>
      <c r="S447" s="1080"/>
      <c r="W447" s="1080"/>
      <c r="X447" s="1080"/>
      <c r="AE447" s="1080"/>
      <c r="AF447" s="1080"/>
      <c r="AV447" s="1080"/>
      <c r="AW447" s="1080"/>
      <c r="AX447" s="1080"/>
      <c r="AY447" s="1080"/>
      <c r="AZ447" s="1080"/>
      <c r="BA447" s="1080"/>
      <c r="BC447" s="1080"/>
      <c r="BE447" s="1080"/>
      <c r="BF447" s="1080"/>
      <c r="BG447" s="1080"/>
    </row>
    <row r="448" spans="18:59" x14ac:dyDescent="0.3">
      <c r="R448" s="1080"/>
      <c r="S448" s="1080"/>
      <c r="W448" s="1080"/>
      <c r="X448" s="1080"/>
      <c r="AE448" s="1080"/>
      <c r="AF448" s="1080"/>
      <c r="AV448" s="1080"/>
      <c r="AW448" s="1080"/>
      <c r="AX448" s="1080"/>
      <c r="AY448" s="1080"/>
      <c r="AZ448" s="1080"/>
      <c r="BA448" s="1080"/>
      <c r="BC448" s="1080"/>
      <c r="BE448" s="1080"/>
      <c r="BF448" s="1080"/>
      <c r="BG448" s="1080"/>
    </row>
    <row r="449" spans="18:59" x14ac:dyDescent="0.3">
      <c r="R449" s="1080"/>
      <c r="S449" s="1080"/>
      <c r="W449" s="1080"/>
      <c r="X449" s="1080"/>
      <c r="AE449" s="1080"/>
      <c r="AF449" s="1080"/>
      <c r="AV449" s="1080"/>
      <c r="AW449" s="1080"/>
      <c r="AX449" s="1080"/>
      <c r="AY449" s="1080"/>
      <c r="AZ449" s="1080"/>
      <c r="BA449" s="1080"/>
      <c r="BC449" s="1080"/>
      <c r="BE449" s="1080"/>
      <c r="BF449" s="1080"/>
      <c r="BG449" s="1080"/>
    </row>
    <row r="450" spans="18:59" x14ac:dyDescent="0.3">
      <c r="R450" s="1080"/>
      <c r="S450" s="1080"/>
      <c r="W450" s="1080"/>
      <c r="X450" s="1080"/>
      <c r="AE450" s="1080"/>
      <c r="AF450" s="1080"/>
      <c r="AV450" s="1080"/>
      <c r="AW450" s="1080"/>
      <c r="AX450" s="1080"/>
      <c r="AY450" s="1080"/>
      <c r="AZ450" s="1080"/>
      <c r="BA450" s="1080"/>
      <c r="BC450" s="1080"/>
      <c r="BE450" s="1080"/>
      <c r="BF450" s="1080"/>
      <c r="BG450" s="1080"/>
    </row>
    <row r="451" spans="18:59" x14ac:dyDescent="0.3">
      <c r="R451" s="1080"/>
      <c r="S451" s="1080"/>
      <c r="W451" s="1080"/>
      <c r="X451" s="1080"/>
      <c r="AE451" s="1080"/>
      <c r="AF451" s="1080"/>
      <c r="AV451" s="1080"/>
      <c r="AW451" s="1080"/>
      <c r="AX451" s="1080"/>
      <c r="AY451" s="1080"/>
      <c r="AZ451" s="1080"/>
      <c r="BA451" s="1080"/>
      <c r="BC451" s="1080"/>
      <c r="BE451" s="1080"/>
      <c r="BF451" s="1080"/>
      <c r="BG451" s="1080"/>
    </row>
    <row r="452" spans="18:59" x14ac:dyDescent="0.3">
      <c r="R452" s="1080"/>
      <c r="S452" s="1080"/>
      <c r="W452" s="1080"/>
      <c r="X452" s="1080"/>
      <c r="AE452" s="1080"/>
      <c r="AF452" s="1080"/>
      <c r="AV452" s="1080"/>
      <c r="AW452" s="1080"/>
      <c r="AX452" s="1080"/>
      <c r="AY452" s="1080"/>
      <c r="AZ452" s="1080"/>
      <c r="BA452" s="1080"/>
      <c r="BC452" s="1080"/>
      <c r="BE452" s="1080"/>
      <c r="BF452" s="1080"/>
      <c r="BG452" s="1080"/>
    </row>
    <row r="453" spans="18:59" x14ac:dyDescent="0.3">
      <c r="R453" s="1080"/>
      <c r="S453" s="1080"/>
      <c r="W453" s="1080"/>
      <c r="X453" s="1080"/>
      <c r="AE453" s="1080"/>
      <c r="AF453" s="1080"/>
      <c r="AV453" s="1080"/>
      <c r="AW453" s="1080"/>
      <c r="AX453" s="1080"/>
      <c r="AY453" s="1080"/>
      <c r="AZ453" s="1080"/>
      <c r="BA453" s="1080"/>
      <c r="BC453" s="1080"/>
      <c r="BE453" s="1080"/>
      <c r="BF453" s="1080"/>
      <c r="BG453" s="1080"/>
    </row>
    <row r="454" spans="18:59" x14ac:dyDescent="0.3">
      <c r="R454" s="1080"/>
      <c r="S454" s="1080"/>
      <c r="W454" s="1080"/>
      <c r="X454" s="1080"/>
      <c r="AE454" s="1080"/>
      <c r="AF454" s="1080"/>
      <c r="AV454" s="1080"/>
      <c r="AW454" s="1080"/>
      <c r="AX454" s="1080"/>
      <c r="AY454" s="1080"/>
      <c r="AZ454" s="1080"/>
      <c r="BA454" s="1080"/>
      <c r="BC454" s="1080"/>
      <c r="BE454" s="1080"/>
      <c r="BF454" s="1080"/>
      <c r="BG454" s="1080"/>
    </row>
    <row r="455" spans="18:59" x14ac:dyDescent="0.3">
      <c r="R455" s="1080"/>
      <c r="S455" s="1080"/>
      <c r="W455" s="1080"/>
      <c r="X455" s="1080"/>
      <c r="AE455" s="1080"/>
      <c r="AF455" s="1080"/>
      <c r="AV455" s="1080"/>
      <c r="AW455" s="1080"/>
      <c r="AX455" s="1080"/>
      <c r="AY455" s="1080"/>
      <c r="AZ455" s="1080"/>
      <c r="BA455" s="1080"/>
      <c r="BC455" s="1080"/>
      <c r="BE455" s="1080"/>
      <c r="BF455" s="1080"/>
      <c r="BG455" s="1080"/>
    </row>
    <row r="456" spans="18:59" x14ac:dyDescent="0.3">
      <c r="R456" s="1080"/>
      <c r="S456" s="1080"/>
      <c r="W456" s="1080"/>
      <c r="X456" s="1080"/>
      <c r="AE456" s="1080"/>
      <c r="AF456" s="1080"/>
      <c r="AV456" s="1080"/>
      <c r="AW456" s="1080"/>
      <c r="AX456" s="1080"/>
      <c r="AY456" s="1080"/>
      <c r="AZ456" s="1080"/>
      <c r="BA456" s="1080"/>
      <c r="BC456" s="1080"/>
      <c r="BE456" s="1080"/>
      <c r="BF456" s="1080"/>
      <c r="BG456" s="1080"/>
    </row>
    <row r="457" spans="18:59" x14ac:dyDescent="0.3">
      <c r="R457" s="1080"/>
      <c r="S457" s="1080"/>
      <c r="W457" s="1080"/>
      <c r="X457" s="1080"/>
      <c r="AE457" s="1080"/>
      <c r="AF457" s="1080"/>
      <c r="AV457" s="1080"/>
      <c r="AW457" s="1080"/>
      <c r="AX457" s="1080"/>
      <c r="AY457" s="1080"/>
      <c r="AZ457" s="1080"/>
      <c r="BA457" s="1080"/>
      <c r="BC457" s="1080"/>
      <c r="BE457" s="1080"/>
      <c r="BF457" s="1080"/>
      <c r="BG457" s="1080"/>
    </row>
    <row r="458" spans="18:59" x14ac:dyDescent="0.3">
      <c r="R458" s="1080"/>
      <c r="S458" s="1080"/>
      <c r="W458" s="1080"/>
      <c r="X458" s="1080"/>
      <c r="AE458" s="1080"/>
      <c r="AF458" s="1080"/>
      <c r="AV458" s="1080"/>
      <c r="AW458" s="1080"/>
      <c r="AX458" s="1080"/>
      <c r="AY458" s="1080"/>
      <c r="AZ458" s="1080"/>
      <c r="BA458" s="1080"/>
      <c r="BC458" s="1080"/>
      <c r="BE458" s="1080"/>
      <c r="BF458" s="1080"/>
      <c r="BG458" s="1080"/>
    </row>
    <row r="459" spans="18:59" x14ac:dyDescent="0.3">
      <c r="R459" s="1080"/>
      <c r="S459" s="1080"/>
      <c r="W459" s="1080"/>
      <c r="X459" s="1080"/>
      <c r="AE459" s="1080"/>
      <c r="AF459" s="1080"/>
      <c r="AV459" s="1080"/>
      <c r="AW459" s="1080"/>
      <c r="AX459" s="1080"/>
      <c r="AY459" s="1080"/>
      <c r="AZ459" s="1080"/>
      <c r="BA459" s="1080"/>
      <c r="BC459" s="1080"/>
      <c r="BE459" s="1080"/>
      <c r="BF459" s="1080"/>
      <c r="BG459" s="1080"/>
    </row>
    <row r="460" spans="18:59" x14ac:dyDescent="0.3">
      <c r="R460" s="1080"/>
      <c r="S460" s="1080"/>
      <c r="W460" s="1080"/>
      <c r="X460" s="1080"/>
      <c r="AE460" s="1080"/>
      <c r="AF460" s="1080"/>
      <c r="AV460" s="1080"/>
      <c r="AW460" s="1080"/>
      <c r="AX460" s="1080"/>
      <c r="AY460" s="1080"/>
      <c r="AZ460" s="1080"/>
      <c r="BA460" s="1080"/>
      <c r="BC460" s="1080"/>
      <c r="BE460" s="1080"/>
      <c r="BF460" s="1080"/>
      <c r="BG460" s="1080"/>
    </row>
    <row r="461" spans="18:59" x14ac:dyDescent="0.3">
      <c r="R461" s="1080"/>
      <c r="S461" s="1080"/>
      <c r="W461" s="1080"/>
      <c r="X461" s="1080"/>
      <c r="AE461" s="1080"/>
      <c r="AF461" s="1080"/>
      <c r="AV461" s="1080"/>
      <c r="AW461" s="1080"/>
      <c r="AX461" s="1080"/>
      <c r="AY461" s="1080"/>
      <c r="AZ461" s="1080"/>
      <c r="BA461" s="1080"/>
      <c r="BC461" s="1080"/>
      <c r="BE461" s="1080"/>
      <c r="BF461" s="1080"/>
      <c r="BG461" s="1080"/>
    </row>
    <row r="462" spans="18:59" x14ac:dyDescent="0.3">
      <c r="R462" s="1080"/>
      <c r="S462" s="1080"/>
      <c r="W462" s="1080"/>
      <c r="X462" s="1080"/>
      <c r="AE462" s="1080"/>
      <c r="AF462" s="1080"/>
      <c r="AV462" s="1080"/>
      <c r="AW462" s="1080"/>
      <c r="AX462" s="1080"/>
      <c r="AY462" s="1080"/>
      <c r="AZ462" s="1080"/>
      <c r="BA462" s="1080"/>
      <c r="BC462" s="1080"/>
      <c r="BE462" s="1080"/>
      <c r="BF462" s="1080"/>
      <c r="BG462" s="1080"/>
    </row>
    <row r="463" spans="18:59" x14ac:dyDescent="0.3">
      <c r="R463" s="1080"/>
      <c r="S463" s="1080"/>
      <c r="W463" s="1080"/>
      <c r="X463" s="1080"/>
      <c r="AE463" s="1080"/>
      <c r="AF463" s="1080"/>
      <c r="AV463" s="1080"/>
      <c r="AW463" s="1080"/>
      <c r="AX463" s="1080"/>
      <c r="AY463" s="1080"/>
      <c r="AZ463" s="1080"/>
      <c r="BA463" s="1080"/>
      <c r="BC463" s="1080"/>
      <c r="BE463" s="1080"/>
      <c r="BF463" s="1080"/>
      <c r="BG463" s="1080"/>
    </row>
    <row r="464" spans="18:59" x14ac:dyDescent="0.3">
      <c r="R464" s="1080"/>
      <c r="S464" s="1080"/>
      <c r="W464" s="1080"/>
      <c r="X464" s="1080"/>
      <c r="AE464" s="1080"/>
      <c r="AF464" s="1080"/>
      <c r="AV464" s="1080"/>
      <c r="AW464" s="1080"/>
      <c r="AX464" s="1080"/>
      <c r="AY464" s="1080"/>
      <c r="AZ464" s="1080"/>
      <c r="BA464" s="1080"/>
      <c r="BC464" s="1080"/>
      <c r="BE464" s="1080"/>
      <c r="BF464" s="1080"/>
      <c r="BG464" s="1080"/>
    </row>
    <row r="465" spans="18:59" x14ac:dyDescent="0.3">
      <c r="R465" s="1080"/>
      <c r="S465" s="1080"/>
      <c r="W465" s="1080"/>
      <c r="X465" s="1080"/>
      <c r="AE465" s="1080"/>
      <c r="AF465" s="1080"/>
      <c r="AV465" s="1080"/>
      <c r="AW465" s="1080"/>
      <c r="AX465" s="1080"/>
      <c r="AY465" s="1080"/>
      <c r="AZ465" s="1080"/>
      <c r="BA465" s="1080"/>
      <c r="BC465" s="1080"/>
      <c r="BE465" s="1080"/>
      <c r="BF465" s="1080"/>
      <c r="BG465" s="1080"/>
    </row>
    <row r="466" spans="18:59" x14ac:dyDescent="0.3">
      <c r="R466" s="1080"/>
      <c r="S466" s="1080"/>
      <c r="W466" s="1080"/>
      <c r="X466" s="1080"/>
      <c r="AE466" s="1080"/>
      <c r="AF466" s="1080"/>
      <c r="AV466" s="1080"/>
      <c r="AW466" s="1080"/>
      <c r="AX466" s="1080"/>
      <c r="AY466" s="1080"/>
      <c r="AZ466" s="1080"/>
      <c r="BA466" s="1080"/>
      <c r="BC466" s="1080"/>
      <c r="BE466" s="1080"/>
      <c r="BF466" s="1080"/>
      <c r="BG466" s="1080"/>
    </row>
    <row r="467" spans="18:59" x14ac:dyDescent="0.3">
      <c r="R467" s="1080"/>
      <c r="S467" s="1080"/>
      <c r="W467" s="1080"/>
      <c r="X467" s="1080"/>
      <c r="AE467" s="1080"/>
      <c r="AF467" s="1080"/>
      <c r="AV467" s="1080"/>
      <c r="AW467" s="1080"/>
      <c r="AX467" s="1080"/>
      <c r="AY467" s="1080"/>
      <c r="AZ467" s="1080"/>
      <c r="BA467" s="1080"/>
      <c r="BC467" s="1080"/>
      <c r="BE467" s="1080"/>
      <c r="BF467" s="1080"/>
      <c r="BG467" s="1080"/>
    </row>
    <row r="468" spans="18:59" x14ac:dyDescent="0.3">
      <c r="R468" s="1080"/>
      <c r="S468" s="1080"/>
      <c r="W468" s="1080"/>
      <c r="X468" s="1080"/>
      <c r="AE468" s="1080"/>
      <c r="AF468" s="1080"/>
      <c r="AV468" s="1080"/>
      <c r="AW468" s="1080"/>
      <c r="AX468" s="1080"/>
      <c r="AY468" s="1080"/>
      <c r="AZ468" s="1080"/>
      <c r="BA468" s="1080"/>
      <c r="BC468" s="1080"/>
      <c r="BE468" s="1080"/>
      <c r="BF468" s="1080"/>
      <c r="BG468" s="1080"/>
    </row>
    <row r="469" spans="18:59" x14ac:dyDescent="0.3">
      <c r="R469" s="1080"/>
      <c r="S469" s="1080"/>
      <c r="W469" s="1080"/>
      <c r="X469" s="1080"/>
      <c r="AE469" s="1080"/>
      <c r="AF469" s="1080"/>
      <c r="AV469" s="1080"/>
      <c r="AW469" s="1080"/>
      <c r="AX469" s="1080"/>
      <c r="AY469" s="1080"/>
      <c r="AZ469" s="1080"/>
      <c r="BA469" s="1080"/>
      <c r="BC469" s="1080"/>
      <c r="BE469" s="1080"/>
      <c r="BF469" s="1080"/>
      <c r="BG469" s="1080"/>
    </row>
    <row r="470" spans="18:59" x14ac:dyDescent="0.3">
      <c r="R470" s="1080"/>
      <c r="S470" s="1080"/>
      <c r="W470" s="1080"/>
      <c r="X470" s="1080"/>
      <c r="AE470" s="1080"/>
      <c r="AF470" s="1080"/>
      <c r="AV470" s="1080"/>
      <c r="AW470" s="1080"/>
      <c r="AX470" s="1080"/>
      <c r="AY470" s="1080"/>
      <c r="AZ470" s="1080"/>
      <c r="BA470" s="1080"/>
      <c r="BC470" s="1080"/>
      <c r="BE470" s="1080"/>
      <c r="BF470" s="1080"/>
      <c r="BG470" s="1080"/>
    </row>
    <row r="471" spans="18:59" x14ac:dyDescent="0.3">
      <c r="R471" s="1080"/>
      <c r="S471" s="1080"/>
      <c r="W471" s="1080"/>
      <c r="X471" s="1080"/>
      <c r="AE471" s="1080"/>
      <c r="AF471" s="1080"/>
      <c r="AV471" s="1080"/>
      <c r="AW471" s="1080"/>
      <c r="AX471" s="1080"/>
      <c r="AY471" s="1080"/>
      <c r="AZ471" s="1080"/>
      <c r="BA471" s="1080"/>
      <c r="BC471" s="1080"/>
      <c r="BE471" s="1080"/>
      <c r="BF471" s="1080"/>
      <c r="BG471" s="1080"/>
    </row>
    <row r="472" spans="18:59" x14ac:dyDescent="0.3">
      <c r="R472" s="1080"/>
      <c r="S472" s="1080"/>
      <c r="W472" s="1080"/>
      <c r="X472" s="1080"/>
      <c r="AE472" s="1080"/>
      <c r="AF472" s="1080"/>
      <c r="AV472" s="1080"/>
      <c r="AW472" s="1080"/>
      <c r="AX472" s="1080"/>
      <c r="AY472" s="1080"/>
      <c r="AZ472" s="1080"/>
      <c r="BA472" s="1080"/>
      <c r="BC472" s="1080"/>
      <c r="BE472" s="1080"/>
      <c r="BF472" s="1080"/>
      <c r="BG472" s="1080"/>
    </row>
    <row r="473" spans="18:59" x14ac:dyDescent="0.3">
      <c r="R473" s="1080"/>
      <c r="S473" s="1080"/>
      <c r="W473" s="1080"/>
      <c r="X473" s="1080"/>
      <c r="AE473" s="1080"/>
      <c r="AF473" s="1080"/>
      <c r="AV473" s="1080"/>
      <c r="AW473" s="1080"/>
      <c r="AX473" s="1080"/>
      <c r="AY473" s="1080"/>
      <c r="AZ473" s="1080"/>
      <c r="BA473" s="1080"/>
      <c r="BC473" s="1080"/>
      <c r="BE473" s="1080"/>
      <c r="BF473" s="1080"/>
      <c r="BG473" s="1080"/>
    </row>
    <row r="474" spans="18:59" x14ac:dyDescent="0.3">
      <c r="R474" s="1080"/>
      <c r="S474" s="1080"/>
      <c r="W474" s="1080"/>
      <c r="X474" s="1080"/>
      <c r="AE474" s="1080"/>
      <c r="AF474" s="1080"/>
      <c r="AV474" s="1080"/>
      <c r="AW474" s="1080"/>
      <c r="AX474" s="1080"/>
      <c r="AY474" s="1080"/>
      <c r="AZ474" s="1080"/>
      <c r="BA474" s="1080"/>
      <c r="BC474" s="1080"/>
      <c r="BE474" s="1080"/>
      <c r="BF474" s="1080"/>
      <c r="BG474" s="1080"/>
    </row>
    <row r="475" spans="18:59" x14ac:dyDescent="0.3">
      <c r="R475" s="1080"/>
      <c r="S475" s="1080"/>
      <c r="W475" s="1080"/>
      <c r="X475" s="1080"/>
      <c r="AE475" s="1080"/>
      <c r="AF475" s="1080"/>
      <c r="AV475" s="1080"/>
      <c r="AW475" s="1080"/>
      <c r="AX475" s="1080"/>
      <c r="AY475" s="1080"/>
      <c r="AZ475" s="1080"/>
      <c r="BA475" s="1080"/>
      <c r="BC475" s="1080"/>
      <c r="BE475" s="1080"/>
      <c r="BF475" s="1080"/>
      <c r="BG475" s="1080"/>
    </row>
    <row r="476" spans="18:59" x14ac:dyDescent="0.3">
      <c r="R476" s="1080"/>
      <c r="S476" s="1080"/>
      <c r="W476" s="1080"/>
      <c r="X476" s="1080"/>
      <c r="AE476" s="1080"/>
      <c r="AF476" s="1080"/>
      <c r="AV476" s="1080"/>
      <c r="AW476" s="1080"/>
      <c r="AX476" s="1080"/>
      <c r="AY476" s="1080"/>
      <c r="AZ476" s="1080"/>
      <c r="BA476" s="1080"/>
      <c r="BC476" s="1080"/>
      <c r="BE476" s="1080"/>
      <c r="BF476" s="1080"/>
      <c r="BG476" s="1080"/>
    </row>
    <row r="477" spans="18:59" x14ac:dyDescent="0.3">
      <c r="R477" s="1080"/>
      <c r="S477" s="1080"/>
      <c r="W477" s="1080"/>
      <c r="X477" s="1080"/>
      <c r="AE477" s="1080"/>
      <c r="AF477" s="1080"/>
      <c r="AV477" s="1080"/>
      <c r="AW477" s="1080"/>
      <c r="AX477" s="1080"/>
      <c r="AY477" s="1080"/>
      <c r="AZ477" s="1080"/>
      <c r="BA477" s="1080"/>
      <c r="BC477" s="1080"/>
      <c r="BE477" s="1080"/>
      <c r="BF477" s="1080"/>
      <c r="BG477" s="1080"/>
    </row>
    <row r="478" spans="18:59" x14ac:dyDescent="0.3">
      <c r="R478" s="1080"/>
      <c r="S478" s="1080"/>
      <c r="W478" s="1080"/>
      <c r="X478" s="1080"/>
      <c r="AE478" s="1080"/>
      <c r="AF478" s="1080"/>
      <c r="AV478" s="1080"/>
      <c r="AW478" s="1080"/>
      <c r="AX478" s="1080"/>
      <c r="AY478" s="1080"/>
      <c r="AZ478" s="1080"/>
      <c r="BA478" s="1080"/>
      <c r="BC478" s="1080"/>
      <c r="BE478" s="1080"/>
      <c r="BF478" s="1080"/>
      <c r="BG478" s="1080"/>
    </row>
    <row r="479" spans="18:59" x14ac:dyDescent="0.3">
      <c r="R479" s="1080"/>
      <c r="S479" s="1080"/>
      <c r="W479" s="1080"/>
      <c r="X479" s="1080"/>
      <c r="AE479" s="1080"/>
      <c r="AF479" s="1080"/>
      <c r="AV479" s="1080"/>
      <c r="AW479" s="1080"/>
      <c r="AX479" s="1080"/>
      <c r="AY479" s="1080"/>
      <c r="AZ479" s="1080"/>
      <c r="BA479" s="1080"/>
      <c r="BC479" s="1080"/>
      <c r="BE479" s="1080"/>
      <c r="BF479" s="1080"/>
      <c r="BG479" s="1080"/>
    </row>
    <row r="480" spans="18:59" x14ac:dyDescent="0.3">
      <c r="R480" s="1080"/>
      <c r="S480" s="1080"/>
      <c r="W480" s="1080"/>
      <c r="X480" s="1080"/>
      <c r="AE480" s="1080"/>
      <c r="AF480" s="1080"/>
      <c r="AV480" s="1080"/>
      <c r="AW480" s="1080"/>
      <c r="AX480" s="1080"/>
      <c r="AY480" s="1080"/>
      <c r="AZ480" s="1080"/>
      <c r="BA480" s="1080"/>
      <c r="BC480" s="1080"/>
      <c r="BE480" s="1080"/>
      <c r="BF480" s="1080"/>
      <c r="BG480" s="1080"/>
    </row>
    <row r="481" spans="18:59" x14ac:dyDescent="0.3">
      <c r="R481" s="1080"/>
      <c r="S481" s="1080"/>
      <c r="W481" s="1080"/>
      <c r="X481" s="1080"/>
      <c r="AE481" s="1080"/>
      <c r="AF481" s="1080"/>
      <c r="AV481" s="1080"/>
      <c r="AW481" s="1080"/>
      <c r="AX481" s="1080"/>
      <c r="AY481" s="1080"/>
      <c r="AZ481" s="1080"/>
      <c r="BA481" s="1080"/>
      <c r="BC481" s="1080"/>
      <c r="BE481" s="1080"/>
      <c r="BF481" s="1080"/>
      <c r="BG481" s="1080"/>
    </row>
    <row r="482" spans="18:59" x14ac:dyDescent="0.3">
      <c r="R482" s="1080"/>
      <c r="S482" s="1080"/>
      <c r="W482" s="1080"/>
      <c r="X482" s="1080"/>
      <c r="AE482" s="1080"/>
      <c r="AF482" s="1080"/>
      <c r="AV482" s="1080"/>
      <c r="AW482" s="1080"/>
      <c r="AX482" s="1080"/>
      <c r="AY482" s="1080"/>
      <c r="AZ482" s="1080"/>
      <c r="BA482" s="1080"/>
      <c r="BC482" s="1080"/>
      <c r="BE482" s="1080"/>
      <c r="BF482" s="1080"/>
      <c r="BG482" s="1080"/>
    </row>
    <row r="483" spans="18:59" x14ac:dyDescent="0.3">
      <c r="R483" s="1080"/>
      <c r="S483" s="1080"/>
      <c r="W483" s="1080"/>
      <c r="X483" s="1080"/>
      <c r="AE483" s="1080"/>
      <c r="AF483" s="1080"/>
      <c r="AV483" s="1080"/>
      <c r="AW483" s="1080"/>
      <c r="AX483" s="1080"/>
      <c r="AY483" s="1080"/>
      <c r="AZ483" s="1080"/>
      <c r="BA483" s="1080"/>
      <c r="BC483" s="1080"/>
      <c r="BE483" s="1080"/>
      <c r="BF483" s="1080"/>
      <c r="BG483" s="1080"/>
    </row>
    <row r="484" spans="18:59" x14ac:dyDescent="0.3">
      <c r="R484" s="1080"/>
      <c r="S484" s="1080"/>
      <c r="W484" s="1080"/>
      <c r="X484" s="1080"/>
      <c r="AE484" s="1080"/>
      <c r="AF484" s="1080"/>
      <c r="AV484" s="1080"/>
      <c r="AW484" s="1080"/>
      <c r="AX484" s="1080"/>
      <c r="AY484" s="1080"/>
      <c r="AZ484" s="1080"/>
      <c r="BA484" s="1080"/>
      <c r="BC484" s="1080"/>
      <c r="BE484" s="1080"/>
      <c r="BF484" s="1080"/>
      <c r="BG484" s="1080"/>
    </row>
    <row r="485" spans="18:59" x14ac:dyDescent="0.3">
      <c r="R485" s="1080"/>
      <c r="S485" s="1080"/>
      <c r="W485" s="1080"/>
      <c r="X485" s="1080"/>
      <c r="AE485" s="1080"/>
      <c r="AF485" s="1080"/>
      <c r="AV485" s="1080"/>
      <c r="AW485" s="1080"/>
      <c r="AX485" s="1080"/>
      <c r="AY485" s="1080"/>
      <c r="AZ485" s="1080"/>
      <c r="BA485" s="1080"/>
      <c r="BC485" s="1080"/>
      <c r="BE485" s="1080"/>
      <c r="BF485" s="1080"/>
      <c r="BG485" s="1080"/>
    </row>
    <row r="486" spans="18:59" x14ac:dyDescent="0.3">
      <c r="R486" s="1080"/>
      <c r="S486" s="1080"/>
      <c r="W486" s="1080"/>
      <c r="X486" s="1080"/>
      <c r="AE486" s="1080"/>
      <c r="AF486" s="1080"/>
      <c r="AV486" s="1080"/>
      <c r="AW486" s="1080"/>
      <c r="AX486" s="1080"/>
      <c r="AY486" s="1080"/>
      <c r="AZ486" s="1080"/>
      <c r="BA486" s="1080"/>
      <c r="BC486" s="1080"/>
      <c r="BE486" s="1080"/>
      <c r="BF486" s="1080"/>
      <c r="BG486" s="1080"/>
    </row>
    <row r="487" spans="18:59" x14ac:dyDescent="0.3">
      <c r="R487" s="1080"/>
      <c r="S487" s="1080"/>
      <c r="W487" s="1080"/>
      <c r="X487" s="1080"/>
      <c r="AE487" s="1080"/>
      <c r="AF487" s="1080"/>
      <c r="AV487" s="1080"/>
      <c r="AW487" s="1080"/>
      <c r="AX487" s="1080"/>
      <c r="AY487" s="1080"/>
      <c r="AZ487" s="1080"/>
      <c r="BA487" s="1080"/>
      <c r="BC487" s="1080"/>
      <c r="BE487" s="1080"/>
      <c r="BF487" s="1080"/>
      <c r="BG487" s="1080"/>
    </row>
    <row r="488" spans="18:59" x14ac:dyDescent="0.3">
      <c r="R488" s="1080"/>
      <c r="S488" s="1080"/>
      <c r="W488" s="1080"/>
      <c r="X488" s="1080"/>
      <c r="AE488" s="1080"/>
      <c r="AF488" s="1080"/>
      <c r="AV488" s="1080"/>
      <c r="AW488" s="1080"/>
      <c r="AX488" s="1080"/>
      <c r="AY488" s="1080"/>
      <c r="AZ488" s="1080"/>
      <c r="BA488" s="1080"/>
      <c r="BC488" s="1080"/>
      <c r="BE488" s="1080"/>
      <c r="BF488" s="1080"/>
      <c r="BG488" s="1080"/>
    </row>
    <row r="489" spans="18:59" x14ac:dyDescent="0.3">
      <c r="R489" s="1080"/>
      <c r="S489" s="1080"/>
      <c r="W489" s="1080"/>
      <c r="X489" s="1080"/>
      <c r="AE489" s="1080"/>
      <c r="AF489" s="1080"/>
      <c r="AV489" s="1080"/>
      <c r="AW489" s="1080"/>
      <c r="AX489" s="1080"/>
      <c r="AY489" s="1080"/>
      <c r="AZ489" s="1080"/>
      <c r="BA489" s="1080"/>
      <c r="BC489" s="1080"/>
      <c r="BE489" s="1080"/>
      <c r="BF489" s="1080"/>
      <c r="BG489" s="1080"/>
    </row>
    <row r="490" spans="18:59" x14ac:dyDescent="0.3">
      <c r="R490" s="1080"/>
      <c r="S490" s="1080"/>
      <c r="W490" s="1080"/>
      <c r="X490" s="1080"/>
      <c r="AE490" s="1080"/>
      <c r="AF490" s="1080"/>
      <c r="AV490" s="1080"/>
      <c r="AW490" s="1080"/>
      <c r="AX490" s="1080"/>
      <c r="AY490" s="1080"/>
      <c r="AZ490" s="1080"/>
      <c r="BA490" s="1080"/>
      <c r="BC490" s="1080"/>
      <c r="BE490" s="1080"/>
      <c r="BF490" s="1080"/>
      <c r="BG490" s="1080"/>
    </row>
    <row r="491" spans="18:59" x14ac:dyDescent="0.3">
      <c r="R491" s="1080"/>
      <c r="S491" s="1080"/>
      <c r="W491" s="1080"/>
      <c r="X491" s="1080"/>
      <c r="AE491" s="1080"/>
      <c r="AF491" s="1080"/>
      <c r="AV491" s="1080"/>
      <c r="AW491" s="1080"/>
      <c r="AX491" s="1080"/>
      <c r="AY491" s="1080"/>
      <c r="AZ491" s="1080"/>
      <c r="BA491" s="1080"/>
      <c r="BC491" s="1080"/>
      <c r="BE491" s="1080"/>
      <c r="BF491" s="1080"/>
      <c r="BG491" s="1080"/>
    </row>
    <row r="492" spans="18:59" x14ac:dyDescent="0.3">
      <c r="R492" s="1080"/>
      <c r="S492" s="1080"/>
      <c r="W492" s="1080"/>
      <c r="X492" s="1080"/>
      <c r="AE492" s="1080"/>
      <c r="AF492" s="1080"/>
      <c r="AV492" s="1080"/>
      <c r="AW492" s="1080"/>
      <c r="AX492" s="1080"/>
      <c r="AY492" s="1080"/>
      <c r="AZ492" s="1080"/>
      <c r="BA492" s="1080"/>
      <c r="BC492" s="1080"/>
      <c r="BE492" s="1080"/>
      <c r="BF492" s="1080"/>
      <c r="BG492" s="1080"/>
    </row>
    <row r="493" spans="18:59" x14ac:dyDescent="0.3">
      <c r="R493" s="1080"/>
      <c r="S493" s="1080"/>
      <c r="W493" s="1080"/>
      <c r="X493" s="1080"/>
      <c r="AE493" s="1080"/>
      <c r="AF493" s="1080"/>
      <c r="AV493" s="1080"/>
      <c r="AW493" s="1080"/>
      <c r="AX493" s="1080"/>
      <c r="AY493" s="1080"/>
      <c r="AZ493" s="1080"/>
      <c r="BA493" s="1080"/>
      <c r="BC493" s="1080"/>
      <c r="BE493" s="1080"/>
      <c r="BF493" s="1080"/>
      <c r="BG493" s="1080"/>
    </row>
    <row r="494" spans="18:59" x14ac:dyDescent="0.3">
      <c r="R494" s="1080"/>
      <c r="S494" s="1080"/>
      <c r="W494" s="1080"/>
      <c r="X494" s="1080"/>
      <c r="AE494" s="1080"/>
      <c r="AF494" s="1080"/>
      <c r="AV494" s="1080"/>
      <c r="AW494" s="1080"/>
      <c r="AX494" s="1080"/>
      <c r="AY494" s="1080"/>
      <c r="AZ494" s="1080"/>
      <c r="BA494" s="1080"/>
      <c r="BC494" s="1080"/>
      <c r="BE494" s="1080"/>
      <c r="BF494" s="1080"/>
      <c r="BG494" s="1080"/>
    </row>
    <row r="495" spans="18:59" x14ac:dyDescent="0.3">
      <c r="R495" s="1080"/>
      <c r="S495" s="1080"/>
      <c r="W495" s="1080"/>
      <c r="X495" s="1080"/>
      <c r="AE495" s="1080"/>
      <c r="AF495" s="1080"/>
      <c r="AV495" s="1080"/>
      <c r="AW495" s="1080"/>
      <c r="AX495" s="1080"/>
      <c r="AY495" s="1080"/>
      <c r="AZ495" s="1080"/>
      <c r="BA495" s="1080"/>
      <c r="BC495" s="1080"/>
      <c r="BE495" s="1080"/>
      <c r="BF495" s="1080"/>
      <c r="BG495" s="1080"/>
    </row>
    <row r="496" spans="18:59" x14ac:dyDescent="0.3">
      <c r="R496" s="1080"/>
      <c r="S496" s="1080"/>
      <c r="W496" s="1080"/>
      <c r="X496" s="1080"/>
      <c r="AE496" s="1080"/>
      <c r="AF496" s="1080"/>
      <c r="AV496" s="1080"/>
      <c r="AW496" s="1080"/>
      <c r="AX496" s="1080"/>
      <c r="AY496" s="1080"/>
      <c r="AZ496" s="1080"/>
      <c r="BA496" s="1080"/>
      <c r="BC496" s="1080"/>
      <c r="BE496" s="1080"/>
      <c r="BF496" s="1080"/>
      <c r="BG496" s="1080"/>
    </row>
    <row r="497" spans="18:59" x14ac:dyDescent="0.3">
      <c r="R497" s="1080"/>
      <c r="S497" s="1080"/>
      <c r="W497" s="1080"/>
      <c r="X497" s="1080"/>
      <c r="AE497" s="1080"/>
      <c r="AF497" s="1080"/>
      <c r="AV497" s="1080"/>
      <c r="AW497" s="1080"/>
      <c r="AX497" s="1080"/>
      <c r="AY497" s="1080"/>
      <c r="AZ497" s="1080"/>
      <c r="BA497" s="1080"/>
      <c r="BC497" s="1080"/>
      <c r="BE497" s="1080"/>
      <c r="BF497" s="1080"/>
      <c r="BG497" s="1080"/>
    </row>
    <row r="498" spans="18:59" x14ac:dyDescent="0.3">
      <c r="R498" s="1080"/>
      <c r="S498" s="1080"/>
      <c r="W498" s="1080"/>
      <c r="X498" s="1080"/>
      <c r="AE498" s="1080"/>
      <c r="AF498" s="1080"/>
      <c r="AV498" s="1080"/>
      <c r="AW498" s="1080"/>
      <c r="AX498" s="1080"/>
      <c r="AY498" s="1080"/>
      <c r="AZ498" s="1080"/>
      <c r="BA498" s="1080"/>
      <c r="BC498" s="1080"/>
      <c r="BE498" s="1080"/>
      <c r="BF498" s="1080"/>
      <c r="BG498" s="1080"/>
    </row>
    <row r="499" spans="18:59" x14ac:dyDescent="0.3">
      <c r="R499" s="1080"/>
      <c r="S499" s="1080"/>
      <c r="W499" s="1080"/>
      <c r="X499" s="1080"/>
      <c r="AE499" s="1080"/>
      <c r="AF499" s="1080"/>
      <c r="AV499" s="1080"/>
      <c r="AW499" s="1080"/>
      <c r="AX499" s="1080"/>
      <c r="AY499" s="1080"/>
      <c r="AZ499" s="1080"/>
      <c r="BA499" s="1080"/>
      <c r="BC499" s="1080"/>
      <c r="BE499" s="1080"/>
      <c r="BF499" s="1080"/>
      <c r="BG499" s="1080"/>
    </row>
    <row r="500" spans="18:59" x14ac:dyDescent="0.3">
      <c r="R500" s="1080"/>
      <c r="S500" s="1080"/>
      <c r="W500" s="1080"/>
      <c r="X500" s="1080"/>
      <c r="AE500" s="1080"/>
      <c r="AF500" s="1080"/>
      <c r="AV500" s="1080"/>
      <c r="AW500" s="1080"/>
      <c r="AX500" s="1080"/>
      <c r="AY500" s="1080"/>
      <c r="AZ500" s="1080"/>
      <c r="BA500" s="1080"/>
      <c r="BC500" s="1080"/>
      <c r="BE500" s="1080"/>
      <c r="BF500" s="1080"/>
      <c r="BG500" s="1080"/>
    </row>
    <row r="501" spans="18:59" x14ac:dyDescent="0.3">
      <c r="R501" s="1080"/>
      <c r="S501" s="1080"/>
      <c r="W501" s="1080"/>
      <c r="X501" s="1080"/>
      <c r="AE501" s="1080"/>
      <c r="AF501" s="1080"/>
      <c r="AV501" s="1080"/>
      <c r="AW501" s="1080"/>
      <c r="AX501" s="1080"/>
      <c r="AY501" s="1080"/>
      <c r="AZ501" s="1080"/>
      <c r="BA501" s="1080"/>
      <c r="BC501" s="1080"/>
      <c r="BE501" s="1080"/>
      <c r="BF501" s="1080"/>
      <c r="BG501" s="1080"/>
    </row>
    <row r="502" spans="18:59" x14ac:dyDescent="0.3">
      <c r="R502" s="1080"/>
      <c r="S502" s="1080"/>
      <c r="W502" s="1080"/>
      <c r="X502" s="1080"/>
      <c r="AE502" s="1080"/>
      <c r="AF502" s="1080"/>
      <c r="AV502" s="1080"/>
      <c r="AW502" s="1080"/>
      <c r="AX502" s="1080"/>
      <c r="AY502" s="1080"/>
      <c r="AZ502" s="1080"/>
      <c r="BA502" s="1080"/>
      <c r="BC502" s="1080"/>
      <c r="BE502" s="1080"/>
      <c r="BF502" s="1080"/>
      <c r="BG502" s="108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85" t="s">
        <v>732</v>
      </c>
      <c r="B1" s="1085"/>
      <c r="C1" s="1085"/>
      <c r="D1" s="1085"/>
    </row>
    <row r="2" spans="1:22" x14ac:dyDescent="0.3">
      <c r="A2" t="s">
        <v>733</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
      <c r="A3" s="897" t="s">
        <v>734</v>
      </c>
      <c r="B3" s="900" t="s">
        <v>735</v>
      </c>
      <c r="C3" s="900" t="s">
        <v>736</v>
      </c>
      <c r="D3" s="900" t="s">
        <v>737</v>
      </c>
      <c r="E3" s="900" t="s">
        <v>738</v>
      </c>
      <c r="F3" s="900" t="s">
        <v>739</v>
      </c>
      <c r="G3" s="900" t="s">
        <v>740</v>
      </c>
      <c r="H3" s="900" t="s">
        <v>741</v>
      </c>
      <c r="I3" s="900" t="s">
        <v>742</v>
      </c>
      <c r="J3" s="900" t="s">
        <v>743</v>
      </c>
      <c r="K3" s="900" t="s">
        <v>744</v>
      </c>
      <c r="L3" s="900" t="s">
        <v>745</v>
      </c>
      <c r="M3" s="900" t="s">
        <v>746</v>
      </c>
      <c r="N3" s="900" t="s">
        <v>747</v>
      </c>
      <c r="O3" s="900" t="s">
        <v>748</v>
      </c>
      <c r="P3" s="900" t="s">
        <v>749</v>
      </c>
      <c r="Q3" s="900" t="s">
        <v>750</v>
      </c>
      <c r="R3" s="900" t="s">
        <v>751</v>
      </c>
      <c r="S3" s="900" t="s">
        <v>752</v>
      </c>
      <c r="T3" s="900" t="s">
        <v>753</v>
      </c>
      <c r="U3" s="900" t="s">
        <v>754</v>
      </c>
    </row>
    <row r="4" spans="1:22" x14ac:dyDescent="0.3">
      <c r="A4" s="897" t="s">
        <v>755</v>
      </c>
      <c r="B4" s="900"/>
      <c r="C4" s="900"/>
      <c r="D4" s="900">
        <v>0</v>
      </c>
      <c r="E4" s="900">
        <v>0</v>
      </c>
      <c r="F4" s="900">
        <v>0.5</v>
      </c>
      <c r="G4" s="900">
        <v>0.5</v>
      </c>
      <c r="H4" s="900">
        <v>0</v>
      </c>
      <c r="I4" s="900">
        <v>0</v>
      </c>
      <c r="J4" s="900">
        <v>0</v>
      </c>
      <c r="K4" s="900">
        <v>0</v>
      </c>
      <c r="L4" s="900">
        <v>0</v>
      </c>
      <c r="M4" s="900">
        <v>0</v>
      </c>
      <c r="N4" s="900">
        <v>0</v>
      </c>
      <c r="O4" s="900">
        <v>0</v>
      </c>
      <c r="P4" s="900">
        <v>0</v>
      </c>
      <c r="Q4" s="900">
        <v>0</v>
      </c>
      <c r="R4" s="900">
        <v>0</v>
      </c>
      <c r="S4" s="900">
        <v>0</v>
      </c>
      <c r="T4" s="900">
        <v>0</v>
      </c>
      <c r="U4" s="900">
        <v>0</v>
      </c>
    </row>
    <row r="5" spans="1:22" x14ac:dyDescent="0.3">
      <c r="A5" s="897" t="s">
        <v>756</v>
      </c>
      <c r="B5" s="900">
        <v>0.04</v>
      </c>
      <c r="C5" s="900">
        <v>0.48</v>
      </c>
      <c r="D5" s="900">
        <v>0.48</v>
      </c>
      <c r="E5" s="900">
        <v>0</v>
      </c>
      <c r="F5" s="900">
        <v>0</v>
      </c>
      <c r="G5" s="900">
        <v>0</v>
      </c>
      <c r="H5" s="900">
        <v>0</v>
      </c>
      <c r="I5" s="900">
        <v>0</v>
      </c>
      <c r="J5" s="900">
        <v>0</v>
      </c>
      <c r="K5" s="900">
        <v>0</v>
      </c>
      <c r="L5" s="900">
        <v>0</v>
      </c>
      <c r="M5" s="900">
        <v>0</v>
      </c>
      <c r="N5" s="900">
        <v>0</v>
      </c>
      <c r="O5" s="900">
        <v>0</v>
      </c>
      <c r="P5" s="900">
        <v>0</v>
      </c>
      <c r="Q5" s="900">
        <v>0</v>
      </c>
      <c r="R5" s="900">
        <v>0</v>
      </c>
      <c r="S5" s="900">
        <v>0</v>
      </c>
      <c r="T5" s="900">
        <v>0</v>
      </c>
      <c r="U5" s="900">
        <v>0</v>
      </c>
    </row>
    <row r="6" spans="1:22" x14ac:dyDescent="0.3">
      <c r="A6" s="897" t="s">
        <v>757</v>
      </c>
      <c r="B6" s="900">
        <f>B8</f>
        <v>0</v>
      </c>
      <c r="C6" s="900">
        <f>C8</f>
        <v>0.43</v>
      </c>
      <c r="D6" s="900">
        <f t="shared" ref="D6:U6" si="0">D8</f>
        <v>0.56999999999999995</v>
      </c>
      <c r="E6" s="900">
        <f t="shared" si="0"/>
        <v>0.25</v>
      </c>
      <c r="F6" s="900">
        <f t="shared" si="0"/>
        <v>0.25</v>
      </c>
      <c r="G6" s="900">
        <f t="shared" si="0"/>
        <v>0.25</v>
      </c>
      <c r="H6" s="900">
        <f t="shared" si="0"/>
        <v>0.25</v>
      </c>
      <c r="I6" s="900">
        <f t="shared" si="0"/>
        <v>0.25</v>
      </c>
      <c r="J6" s="900">
        <f t="shared" si="0"/>
        <v>0.25</v>
      </c>
      <c r="K6" s="900">
        <f t="shared" si="0"/>
        <v>0.25</v>
      </c>
      <c r="L6" s="900">
        <f t="shared" si="0"/>
        <v>0.25</v>
      </c>
      <c r="M6" s="900">
        <f t="shared" si="0"/>
        <v>0.25</v>
      </c>
      <c r="N6" s="900">
        <f t="shared" si="0"/>
        <v>0.25</v>
      </c>
      <c r="O6" s="900">
        <f t="shared" si="0"/>
        <v>0.25</v>
      </c>
      <c r="P6" s="900">
        <f t="shared" si="0"/>
        <v>0.25</v>
      </c>
      <c r="Q6" s="900">
        <f t="shared" si="0"/>
        <v>0.25</v>
      </c>
      <c r="R6" s="900">
        <f t="shared" si="0"/>
        <v>0.25</v>
      </c>
      <c r="S6" s="900">
        <f t="shared" si="0"/>
        <v>0.25</v>
      </c>
      <c r="T6" s="900">
        <f t="shared" si="0"/>
        <v>0.25</v>
      </c>
      <c r="U6" s="900">
        <f t="shared" si="0"/>
        <v>0.25</v>
      </c>
    </row>
    <row r="7" spans="1:22" x14ac:dyDescent="0.3">
      <c r="A7" s="897" t="s">
        <v>758</v>
      </c>
      <c r="B7" s="900">
        <v>0</v>
      </c>
      <c r="C7" s="900">
        <v>0</v>
      </c>
      <c r="D7" s="900">
        <v>1</v>
      </c>
      <c r="E7" s="900">
        <v>0.25</v>
      </c>
      <c r="F7" s="900">
        <v>0.25</v>
      </c>
      <c r="G7" s="900">
        <v>0.25</v>
      </c>
      <c r="H7" s="900">
        <v>0.25</v>
      </c>
      <c r="I7" s="900">
        <v>0.25</v>
      </c>
      <c r="J7" s="900">
        <v>0.25</v>
      </c>
      <c r="K7" s="900">
        <v>0.25</v>
      </c>
      <c r="L7" s="900">
        <v>0.25</v>
      </c>
      <c r="M7" s="900">
        <v>0.25</v>
      </c>
      <c r="N7" s="900">
        <v>0.25</v>
      </c>
      <c r="O7" s="900">
        <v>0.25</v>
      </c>
      <c r="P7" s="900">
        <v>0.25</v>
      </c>
      <c r="Q7" s="900">
        <v>0.25</v>
      </c>
      <c r="R7" s="900">
        <v>0.25</v>
      </c>
      <c r="S7" s="900">
        <v>0.25</v>
      </c>
      <c r="T7" s="900">
        <v>0.25</v>
      </c>
      <c r="U7" s="900">
        <v>0.25</v>
      </c>
    </row>
    <row r="8" spans="1:22" x14ac:dyDescent="0.3">
      <c r="A8" s="897" t="s">
        <v>759</v>
      </c>
      <c r="B8" s="900">
        <v>0</v>
      </c>
      <c r="C8" s="900">
        <v>0.43</v>
      </c>
      <c r="D8" s="900">
        <v>0.56999999999999995</v>
      </c>
      <c r="E8" s="900">
        <v>0.25</v>
      </c>
      <c r="F8" s="900">
        <v>0.25</v>
      </c>
      <c r="G8" s="900">
        <v>0.25</v>
      </c>
      <c r="H8" s="900">
        <v>0.25</v>
      </c>
      <c r="I8" s="900">
        <v>0.25</v>
      </c>
      <c r="J8" s="900">
        <v>0.25</v>
      </c>
      <c r="K8" s="900">
        <v>0.25</v>
      </c>
      <c r="L8" s="900">
        <v>0.25</v>
      </c>
      <c r="M8" s="900">
        <v>0.25</v>
      </c>
      <c r="N8" s="900">
        <v>0.25</v>
      </c>
      <c r="O8" s="900">
        <v>0.25</v>
      </c>
      <c r="P8" s="900">
        <v>0.25</v>
      </c>
      <c r="Q8" s="900">
        <v>0.25</v>
      </c>
      <c r="R8" s="900">
        <v>0.25</v>
      </c>
      <c r="S8" s="900">
        <v>0.25</v>
      </c>
      <c r="T8" s="900">
        <v>0.25</v>
      </c>
      <c r="U8" s="900">
        <v>0.25</v>
      </c>
    </row>
    <row r="9" spans="1:22" ht="27" customHeight="1" x14ac:dyDescent="0.3">
      <c r="A9" s="897" t="s">
        <v>760</v>
      </c>
      <c r="B9" s="900">
        <v>0</v>
      </c>
      <c r="C9" s="900">
        <f>0.18</f>
        <v>0.18</v>
      </c>
      <c r="D9" s="900">
        <f>1-C9</f>
        <v>0.82000000000000006</v>
      </c>
      <c r="E9" s="900">
        <v>0.25</v>
      </c>
      <c r="F9" s="900">
        <v>0.25</v>
      </c>
      <c r="G9" s="900">
        <v>0.25</v>
      </c>
      <c r="H9" s="900">
        <v>0.25</v>
      </c>
      <c r="I9" s="900">
        <v>0.25</v>
      </c>
      <c r="J9" s="900">
        <v>0.25</v>
      </c>
      <c r="K9" s="900">
        <v>0.25</v>
      </c>
      <c r="L9" s="900">
        <v>0.25</v>
      </c>
      <c r="M9" s="900">
        <v>0.25</v>
      </c>
      <c r="N9" s="900">
        <v>0.25</v>
      </c>
      <c r="O9" s="900">
        <v>0.25</v>
      </c>
      <c r="P9" s="900">
        <v>0.25</v>
      </c>
      <c r="Q9" s="900">
        <v>0.25</v>
      </c>
      <c r="R9" s="900">
        <v>0.25</v>
      </c>
      <c r="S9" s="900">
        <v>0.25</v>
      </c>
      <c r="T9" s="900">
        <v>0.25</v>
      </c>
      <c r="U9" s="900">
        <v>0.25</v>
      </c>
    </row>
    <row r="10" spans="1:22" x14ac:dyDescent="0.3">
      <c r="A10" s="897" t="s">
        <v>761</v>
      </c>
      <c r="B10" s="900">
        <v>0</v>
      </c>
      <c r="C10" s="900">
        <v>0.5</v>
      </c>
      <c r="D10" s="900">
        <v>0.5</v>
      </c>
      <c r="E10" s="900">
        <v>0.25</v>
      </c>
      <c r="F10" s="900">
        <v>0.25</v>
      </c>
      <c r="G10" s="900">
        <v>0.25</v>
      </c>
      <c r="H10" s="900">
        <v>0.25</v>
      </c>
      <c r="I10" s="900">
        <v>0.25</v>
      </c>
      <c r="J10" s="900">
        <v>0.25</v>
      </c>
      <c r="K10" s="900">
        <v>0.25</v>
      </c>
      <c r="L10" s="900">
        <v>0.25</v>
      </c>
      <c r="M10" s="900">
        <v>0.25</v>
      </c>
      <c r="N10" s="900">
        <v>0.25</v>
      </c>
      <c r="O10" s="900">
        <v>0.25</v>
      </c>
      <c r="P10" s="900">
        <v>0.25</v>
      </c>
      <c r="Q10" s="900">
        <v>0.25</v>
      </c>
      <c r="R10" s="900">
        <v>0.25</v>
      </c>
      <c r="S10" s="900">
        <v>0.25</v>
      </c>
      <c r="T10" s="900">
        <v>0.25</v>
      </c>
      <c r="U10" s="900">
        <v>0.25</v>
      </c>
    </row>
    <row r="11" spans="1:22" x14ac:dyDescent="0.3">
      <c r="A11" s="897" t="s">
        <v>762</v>
      </c>
      <c r="B11" s="900">
        <v>0</v>
      </c>
      <c r="C11" s="900">
        <v>0.5</v>
      </c>
      <c r="D11" s="900">
        <v>0.5</v>
      </c>
      <c r="E11" s="900">
        <v>0.25</v>
      </c>
      <c r="F11" s="900">
        <v>0.25</v>
      </c>
      <c r="G11" s="900">
        <v>0.25</v>
      </c>
      <c r="H11" s="900">
        <v>0.25</v>
      </c>
      <c r="I11" s="900">
        <v>0.25</v>
      </c>
      <c r="J11" s="900">
        <v>0.25</v>
      </c>
      <c r="K11" s="900">
        <v>0.25</v>
      </c>
      <c r="L11" s="900">
        <v>0.25</v>
      </c>
      <c r="M11" s="900">
        <v>0.25</v>
      </c>
      <c r="N11" s="900">
        <v>0.25</v>
      </c>
      <c r="O11" s="900">
        <v>0.25</v>
      </c>
      <c r="P11" s="900">
        <v>0.25</v>
      </c>
      <c r="Q11" s="900">
        <v>0.25</v>
      </c>
      <c r="R11" s="900">
        <v>0.25</v>
      </c>
      <c r="S11" s="900">
        <v>0.25</v>
      </c>
      <c r="T11" s="900">
        <v>0.25</v>
      </c>
      <c r="U11" s="900">
        <v>0.25</v>
      </c>
    </row>
    <row r="12" spans="1:22" ht="14.25" customHeight="1" x14ac:dyDescent="0.3">
      <c r="A12" s="897" t="s">
        <v>763</v>
      </c>
      <c r="B12" s="900">
        <v>1</v>
      </c>
      <c r="C12" s="900"/>
      <c r="D12" s="900"/>
      <c r="E12" s="900"/>
      <c r="F12" s="900"/>
      <c r="G12" s="900"/>
      <c r="H12" s="900"/>
      <c r="I12" s="900"/>
      <c r="J12" s="900"/>
      <c r="K12" s="900"/>
      <c r="L12" s="900"/>
      <c r="M12" s="900"/>
      <c r="N12" s="900"/>
      <c r="O12" s="900"/>
      <c r="P12" s="900"/>
      <c r="Q12" s="900"/>
      <c r="R12" s="900"/>
      <c r="S12" s="900"/>
      <c r="T12" s="900"/>
      <c r="U12" s="900"/>
    </row>
    <row r="13" spans="1:22" x14ac:dyDescent="0.3">
      <c r="A13" s="897" t="s">
        <v>764</v>
      </c>
      <c r="B13" s="900">
        <v>0</v>
      </c>
      <c r="C13" s="900">
        <v>0.4</v>
      </c>
      <c r="D13" s="900">
        <v>0.6</v>
      </c>
      <c r="E13" s="900">
        <v>0.4</v>
      </c>
      <c r="F13" s="900">
        <v>0.3</v>
      </c>
      <c r="G13" s="900">
        <v>0.2</v>
      </c>
      <c r="H13" s="900">
        <v>0.1</v>
      </c>
      <c r="I13" s="900">
        <v>0.25</v>
      </c>
      <c r="J13" s="900">
        <v>0.25</v>
      </c>
      <c r="K13" s="900">
        <v>0.25</v>
      </c>
      <c r="L13" s="900">
        <v>0.25</v>
      </c>
      <c r="M13" s="900">
        <v>0.25</v>
      </c>
      <c r="N13" s="900">
        <v>0.25</v>
      </c>
      <c r="O13" s="900">
        <v>0.25</v>
      </c>
      <c r="P13" s="900">
        <v>0.25</v>
      </c>
      <c r="Q13" s="900">
        <v>0.25</v>
      </c>
      <c r="R13" s="900">
        <v>0.25</v>
      </c>
      <c r="S13" s="900">
        <v>0.25</v>
      </c>
      <c r="T13" s="900">
        <v>0.25</v>
      </c>
      <c r="U13" s="900">
        <v>0.25</v>
      </c>
    </row>
    <row r="14" spans="1:22" x14ac:dyDescent="0.3">
      <c r="A14" s="897"/>
      <c r="B14" s="900"/>
      <c r="C14" s="900"/>
      <c r="D14" s="900"/>
      <c r="E14" s="900"/>
      <c r="F14" s="900"/>
      <c r="G14" s="900"/>
      <c r="H14" s="900"/>
      <c r="I14" s="900"/>
      <c r="J14" s="900"/>
      <c r="K14" s="900"/>
      <c r="L14" s="900"/>
      <c r="M14" s="900"/>
      <c r="N14" s="900"/>
      <c r="O14" s="900"/>
      <c r="P14" s="900"/>
      <c r="Q14" s="900"/>
      <c r="R14" s="900"/>
      <c r="S14" s="900"/>
      <c r="T14" s="900"/>
      <c r="U14" s="900"/>
    </row>
    <row r="15" spans="1:22" ht="27" customHeight="1" x14ac:dyDescent="0.3">
      <c r="A15" s="1084" t="s">
        <v>765</v>
      </c>
      <c r="B15" s="900">
        <v>1</v>
      </c>
      <c r="C15" s="900">
        <v>2</v>
      </c>
      <c r="D15" s="900">
        <v>3</v>
      </c>
      <c r="E15" s="900">
        <v>4</v>
      </c>
      <c r="F15" s="900">
        <v>5</v>
      </c>
      <c r="G15" s="900">
        <v>6</v>
      </c>
      <c r="H15" s="900">
        <v>7</v>
      </c>
      <c r="I15" s="900">
        <v>8</v>
      </c>
      <c r="J15" s="900">
        <v>9</v>
      </c>
      <c r="K15" s="900">
        <v>10</v>
      </c>
      <c r="L15" s="900">
        <v>11</v>
      </c>
      <c r="M15" s="900">
        <v>12</v>
      </c>
      <c r="N15" s="900">
        <v>13</v>
      </c>
      <c r="O15" s="900">
        <v>14</v>
      </c>
      <c r="P15" s="900">
        <v>15</v>
      </c>
      <c r="Q15" s="900">
        <v>16</v>
      </c>
      <c r="R15" s="900">
        <v>17</v>
      </c>
      <c r="S15" s="900">
        <v>18</v>
      </c>
      <c r="T15" s="900">
        <v>19</v>
      </c>
      <c r="U15" s="900">
        <v>20</v>
      </c>
    </row>
    <row r="16" spans="1:22" x14ac:dyDescent="0.3">
      <c r="A16" s="897" t="s">
        <v>766</v>
      </c>
      <c r="B16" s="900">
        <v>7.0000000000000007E-2</v>
      </c>
      <c r="C16" s="900">
        <v>7.0000000000000007E-2</v>
      </c>
      <c r="D16" s="900">
        <v>4.9000000000000002E-2</v>
      </c>
      <c r="E16" s="900">
        <v>4.9000000000000002E-2</v>
      </c>
      <c r="F16" s="900">
        <v>4.9000000000000002E-2</v>
      </c>
      <c r="G16" s="900">
        <v>4.9000000000000002E-2</v>
      </c>
      <c r="H16" s="900">
        <v>4.9000000000000002E-2</v>
      </c>
      <c r="I16" s="900">
        <v>4.9000000000000002E-2</v>
      </c>
      <c r="J16" s="900">
        <v>4.9000000000000002E-2</v>
      </c>
      <c r="K16" s="900">
        <v>4.9000000000000002E-2</v>
      </c>
      <c r="L16" s="900">
        <v>4.9000000000000002E-2</v>
      </c>
      <c r="M16" s="900">
        <v>4.9000000000000002E-2</v>
      </c>
      <c r="N16" s="900">
        <f t="shared" ref="N16:T16" si="1">0.0475</f>
        <v>4.7500000000000001E-2</v>
      </c>
      <c r="O16" s="900">
        <f t="shared" si="1"/>
        <v>4.7500000000000001E-2</v>
      </c>
      <c r="P16" s="900">
        <f t="shared" si="1"/>
        <v>4.7500000000000001E-2</v>
      </c>
      <c r="Q16" s="900">
        <f t="shared" si="1"/>
        <v>4.7500000000000001E-2</v>
      </c>
      <c r="R16" s="900">
        <f t="shared" si="1"/>
        <v>4.7500000000000001E-2</v>
      </c>
      <c r="S16" s="900">
        <f t="shared" si="1"/>
        <v>4.7500000000000001E-2</v>
      </c>
      <c r="T16" s="900">
        <f t="shared" si="1"/>
        <v>4.7500000000000001E-2</v>
      </c>
      <c r="U16" s="900">
        <f>0.0375</f>
        <v>3.7499999999999999E-2</v>
      </c>
      <c r="V16" s="900">
        <f>SUM(B16:U16)</f>
        <v>0.99999999999999989</v>
      </c>
    </row>
    <row r="17" spans="1:23" ht="27" customHeight="1" x14ac:dyDescent="0.3">
      <c r="A17" s="897" t="s">
        <v>767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00">
        <f>SUM(B17:U17)</f>
        <v>0.94000000000000006</v>
      </c>
      <c r="W17" t="s">
        <v>768</v>
      </c>
    </row>
    <row r="19" spans="1:23" x14ac:dyDescent="0.3">
      <c r="B19" s="1083" t="e">
        <f>'Federal and State Purchases'!#REF!</f>
        <v>#REF!</v>
      </c>
      <c r="C19" s="1083"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43" t="s">
        <v>769</v>
      </c>
      <c r="B1" s="1043" t="s">
        <v>679</v>
      </c>
      <c r="C1" s="1086">
        <v>2021</v>
      </c>
      <c r="D1" s="1086">
        <f>C1</f>
        <v>2021</v>
      </c>
      <c r="E1" s="1086">
        <f>D1</f>
        <v>2021</v>
      </c>
      <c r="F1" s="1086">
        <v>2022</v>
      </c>
      <c r="G1" s="1086">
        <v>2022</v>
      </c>
      <c r="H1" s="1086">
        <v>2022</v>
      </c>
      <c r="I1" s="1086">
        <v>2022</v>
      </c>
      <c r="J1" s="1086">
        <v>2023</v>
      </c>
      <c r="K1" s="1086">
        <v>2023</v>
      </c>
      <c r="L1" s="1086">
        <v>2023</v>
      </c>
      <c r="M1" s="1086">
        <v>2023</v>
      </c>
      <c r="N1" s="1086">
        <v>2024</v>
      </c>
      <c r="O1" s="1086">
        <v>2024</v>
      </c>
      <c r="P1" s="1086">
        <v>2024</v>
      </c>
      <c r="Q1" s="1086">
        <v>2024</v>
      </c>
      <c r="R1" s="1086">
        <v>2025</v>
      </c>
      <c r="S1" s="1086">
        <v>2025</v>
      </c>
      <c r="T1" s="1086">
        <v>2025</v>
      </c>
      <c r="U1" s="1086">
        <v>2025</v>
      </c>
      <c r="V1" s="1086">
        <v>2026</v>
      </c>
    </row>
    <row r="2" spans="1:23" x14ac:dyDescent="0.3">
      <c r="B2" s="1043" t="s">
        <v>770</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771</v>
      </c>
      <c r="U2" s="109" t="s">
        <v>772</v>
      </c>
      <c r="V2" s="109" t="s">
        <v>773</v>
      </c>
    </row>
    <row r="3" spans="1:23" x14ac:dyDescent="0.3">
      <c r="A3" s="1043">
        <v>3</v>
      </c>
      <c r="B3" s="1043" t="s">
        <v>534</v>
      </c>
      <c r="C3" s="1087">
        <f>4*'ARP Timing'!B6*VLOOKUP(C$1,'ARP Score'!$A$5:$M14,$A3)</f>
        <v>0</v>
      </c>
      <c r="D3" s="1087">
        <f>4*'ARP Timing'!C6*VLOOKUP(D$1,'ARP Score'!$A$5:$M14,$A3)</f>
        <v>336.60399999999998</v>
      </c>
      <c r="E3" s="1087">
        <f>4*'ARP Timing'!D6*VLOOKUP(E$1,'ARP Score'!$A$5:$M14,$A3)</f>
        <v>446.19599999999991</v>
      </c>
      <c r="F3" s="1087">
        <f>4*'ARP Timing'!E6*VLOOKUP(F$1,'ARP Score'!$A$5:$M14,$A3)</f>
        <v>10.1</v>
      </c>
      <c r="G3" s="1087">
        <f>4*'ARP Timing'!F6*VLOOKUP(G$1,'ARP Score'!$A$5:$M14,$A3)</f>
        <v>10.1</v>
      </c>
      <c r="H3" s="1087">
        <f>4*'ARP Timing'!G6*VLOOKUP(H$1,'ARP Score'!$A$5:$M14,$A3)</f>
        <v>10.1</v>
      </c>
      <c r="I3" s="1087">
        <f>4*'ARP Timing'!H6*VLOOKUP(I$1,'ARP Score'!$A$5:$M14,$A3)</f>
        <v>10.1</v>
      </c>
      <c r="J3" s="1087">
        <f>4*'ARP Timing'!I6*VLOOKUP(J$1,'ARP Score'!$A$5:$M14,$A3)</f>
        <v>0</v>
      </c>
      <c r="K3" s="1087">
        <f>4*'ARP Timing'!J6*VLOOKUP(K$1,'ARP Score'!$A$5:$M14,$A3)</f>
        <v>0</v>
      </c>
      <c r="L3" s="1087">
        <f>4*'ARP Timing'!K6*VLOOKUP(L$1,'ARP Score'!$A$5:$M14,$A3)</f>
        <v>0</v>
      </c>
      <c r="M3" s="1087">
        <f>4*'ARP Timing'!L6*VLOOKUP(M$1,'ARP Score'!$A$5:$M14,$A3)</f>
        <v>0</v>
      </c>
      <c r="N3" s="1087">
        <f>4*'ARP Timing'!M6*VLOOKUP(N$1,'ARP Score'!$A$5:$M14,$A3)</f>
        <v>0</v>
      </c>
      <c r="O3" s="1087">
        <f>4*'ARP Timing'!N6*VLOOKUP(O$1,'ARP Score'!$A$5:$M14,$A3)</f>
        <v>0</v>
      </c>
      <c r="P3" s="1087">
        <f>4*'ARP Timing'!O6*VLOOKUP(P$1,'ARP Score'!$A$5:$M14,$A3)</f>
        <v>0</v>
      </c>
      <c r="Q3" s="1087">
        <f>4*'ARP Timing'!P6*VLOOKUP(Q$1,'ARP Score'!$A$5:$M14,$A3)</f>
        <v>0</v>
      </c>
      <c r="R3" s="1087">
        <f>4*'ARP Timing'!Q6*VLOOKUP(R$1,'ARP Score'!$A$5:$M14,$A3)</f>
        <v>0</v>
      </c>
      <c r="S3" s="1087">
        <f>4*'ARP Timing'!R6*VLOOKUP(S$1,'ARP Score'!$A$5:$M14,$A3)</f>
        <v>0</v>
      </c>
      <c r="T3" s="1087">
        <f>4*'ARP Timing'!S6*VLOOKUP(T$1,'ARP Score'!$A$5:$M14,$A3)</f>
        <v>0</v>
      </c>
      <c r="U3" s="1087">
        <f>4*'ARP Timing'!T6*VLOOKUP(U$1,'ARP Score'!$A$5:$M14,$A3)</f>
        <v>0</v>
      </c>
      <c r="V3" s="1087">
        <f>4*'ARP Timing'!U6*VLOOKUP(V$1,'ARP Score'!$A$5:$M14,$A3)</f>
        <v>0</v>
      </c>
      <c r="W3" s="1087">
        <f>SUM(C3:U3)/4</f>
        <v>205.8</v>
      </c>
    </row>
    <row r="4" spans="1:23" x14ac:dyDescent="0.3">
      <c r="A4" s="1043">
        <v>5</v>
      </c>
      <c r="B4" s="33" t="s">
        <v>681</v>
      </c>
      <c r="C4" s="1087">
        <f>4*'ARP Timing'!B7*VLOOKUP(C$1,'ARP Score'!$A$5:$M15,$A4)</f>
        <v>0</v>
      </c>
      <c r="D4" s="1087">
        <f>4*'ARP Timing'!C7*VLOOKUP(D$1,'ARP Score'!$A$5:$M15,$A4)</f>
        <v>0</v>
      </c>
      <c r="E4" s="1087">
        <f>4*'ARP Timing'!D7*VLOOKUP(E$1,'ARP Score'!$A$5:$M15,$A4)</f>
        <v>3.1040000000000418</v>
      </c>
      <c r="F4" s="1087">
        <f>4*'ARP Timing'!E7*VLOOKUP(F$1,'ARP Score'!$A$5:$M15,$A4)</f>
        <v>19.719000000000005</v>
      </c>
      <c r="G4" s="1087">
        <f>4*'ARP Timing'!F7*VLOOKUP(G$1,'ARP Score'!$A$5:$M15,$A4)</f>
        <v>19.719000000000005</v>
      </c>
      <c r="H4" s="1087">
        <f>4*'ARP Timing'!G7*VLOOKUP(H$1,'ARP Score'!$A$5:$M15,$A4)</f>
        <v>19.719000000000005</v>
      </c>
      <c r="I4" s="1087">
        <f>4*'ARP Timing'!H7*VLOOKUP(I$1,'ARP Score'!$A$5:$M15,$A4)</f>
        <v>19.719000000000005</v>
      </c>
      <c r="J4" s="1087">
        <f>4*'ARP Timing'!I7*VLOOKUP(J$1,'ARP Score'!$A$5:$M15,$A4)</f>
        <v>1.4159999999999999</v>
      </c>
      <c r="K4" s="1087">
        <f>4*'ARP Timing'!J7*VLOOKUP(K$1,'ARP Score'!$A$5:$M15,$A4)</f>
        <v>1.4159999999999999</v>
      </c>
      <c r="L4" s="1087">
        <f>4*'ARP Timing'!K7*VLOOKUP(L$1,'ARP Score'!$A$5:$M15,$A4)</f>
        <v>1.4159999999999999</v>
      </c>
      <c r="M4" s="1087">
        <f>4*'ARP Timing'!L7*VLOOKUP(M$1,'ARP Score'!$A$5:$M15,$A4)</f>
        <v>1.4159999999999999</v>
      </c>
      <c r="N4" s="1087">
        <f>4*'ARP Timing'!M7*VLOOKUP(N$1,'ARP Score'!$A$5:$M15,$A4)</f>
        <v>1.4790000000000001</v>
      </c>
      <c r="O4" s="1087">
        <f>4*'ARP Timing'!N7*VLOOKUP(O$1,'ARP Score'!$A$5:$M15,$A4)</f>
        <v>1.4790000000000001</v>
      </c>
      <c r="P4" s="1087">
        <f>4*'ARP Timing'!O7*VLOOKUP(P$1,'ARP Score'!$A$5:$M15,$A4)</f>
        <v>1.4790000000000001</v>
      </c>
      <c r="Q4" s="1087">
        <f>4*'ARP Timing'!P7*VLOOKUP(Q$1,'ARP Score'!$A$5:$M15,$A4)</f>
        <v>1.4790000000000001</v>
      </c>
      <c r="R4" s="1087">
        <f>4*'ARP Timing'!Q7*VLOOKUP(R$1,'ARP Score'!$A$5:$M15,$A4)</f>
        <v>1.63</v>
      </c>
      <c r="S4" s="1087">
        <f>4*'ARP Timing'!R7*VLOOKUP(S$1,'ARP Score'!$A$5:$M15,$A4)</f>
        <v>1.63</v>
      </c>
      <c r="T4" s="1087">
        <f>4*'ARP Timing'!S7*VLOOKUP(T$1,'ARP Score'!$A$5:$M15,$A4)</f>
        <v>1.63</v>
      </c>
      <c r="U4" s="1087">
        <f>4*'ARP Timing'!T7*VLOOKUP(U$1,'ARP Score'!$A$5:$M15,$A4)</f>
        <v>1.63</v>
      </c>
      <c r="V4" s="1087">
        <f>4*'ARP Timing'!U7*VLOOKUP(V$1,'ARP Score'!$A$5:$M15,$A4)</f>
        <v>1.671</v>
      </c>
      <c r="W4" s="1087">
        <f>SUM(C4:U4)/4</f>
        <v>25.020000000000007</v>
      </c>
    </row>
    <row r="5" spans="1:23" x14ac:dyDescent="0.3">
      <c r="A5" s="1043">
        <v>6</v>
      </c>
      <c r="B5" s="33" t="s">
        <v>682</v>
      </c>
      <c r="C5" s="1087">
        <f>4*'ARP Timing'!B8*VLOOKUP(C$1,'ARP Score'!$A$5:$M16,$A5)</f>
        <v>0</v>
      </c>
      <c r="D5" s="1087">
        <f>4*'ARP Timing'!C8*VLOOKUP(D$1,'ARP Score'!$A$5:$M16,$A5)</f>
        <v>33.921840000000024</v>
      </c>
      <c r="E5" s="1087">
        <f>4*'ARP Timing'!D8*VLOOKUP(E$1,'ARP Score'!$A$5:$M16,$A5)</f>
        <v>44.966160000000031</v>
      </c>
      <c r="F5" s="1087">
        <f>4*'ARP Timing'!E8*VLOOKUP(F$1,'ARP Score'!$A$5:$M16,$A5)</f>
        <v>52.756999999999998</v>
      </c>
      <c r="G5" s="1087">
        <f>4*'ARP Timing'!F8*VLOOKUP(G$1,'ARP Score'!$A$5:$M16,$A5)</f>
        <v>52.756999999999998</v>
      </c>
      <c r="H5" s="1087">
        <f>4*'ARP Timing'!G8*VLOOKUP(H$1,'ARP Score'!$A$5:$M16,$A5)</f>
        <v>52.756999999999998</v>
      </c>
      <c r="I5" s="1087">
        <f>4*'ARP Timing'!H8*VLOOKUP(I$1,'ARP Score'!$A$5:$M16,$A5)</f>
        <v>52.756999999999998</v>
      </c>
      <c r="J5" s="1087">
        <f>4*'ARP Timing'!I8*VLOOKUP(J$1,'ARP Score'!$A$5:$M16,$A5)</f>
        <v>12</v>
      </c>
      <c r="K5" s="1087">
        <f>4*'ARP Timing'!J8*VLOOKUP(K$1,'ARP Score'!$A$5:$M16,$A5)</f>
        <v>12</v>
      </c>
      <c r="L5" s="1087">
        <f>4*'ARP Timing'!K8*VLOOKUP(L$1,'ARP Score'!$A$5:$M16,$A5)</f>
        <v>12</v>
      </c>
      <c r="M5" s="1087">
        <f>4*'ARP Timing'!L8*VLOOKUP(M$1,'ARP Score'!$A$5:$M16,$A5)</f>
        <v>12</v>
      </c>
      <c r="N5" s="1087">
        <f>4*'ARP Timing'!M8*VLOOKUP(N$1,'ARP Score'!$A$5:$M16,$A5)</f>
        <v>4.2219999999999995</v>
      </c>
      <c r="O5" s="1087">
        <f>4*'ARP Timing'!N8*VLOOKUP(O$1,'ARP Score'!$A$5:$M16,$A5)</f>
        <v>4.2219999999999995</v>
      </c>
      <c r="P5" s="1087">
        <f>4*'ARP Timing'!O8*VLOOKUP(P$1,'ARP Score'!$A$5:$M16,$A5)</f>
        <v>4.2219999999999995</v>
      </c>
      <c r="Q5" s="1087">
        <f>4*'ARP Timing'!P8*VLOOKUP(Q$1,'ARP Score'!$A$5:$M16,$A5)</f>
        <v>4.2219999999999995</v>
      </c>
      <c r="R5" s="1087">
        <f>4*'ARP Timing'!Q8*VLOOKUP(R$1,'ARP Score'!$A$5:$M16,$A5)</f>
        <v>2.3719999999999999</v>
      </c>
      <c r="S5" s="1087">
        <f>4*'ARP Timing'!R8*VLOOKUP(S$1,'ARP Score'!$A$5:$M16,$A5)</f>
        <v>2.3719999999999999</v>
      </c>
      <c r="T5" s="1087">
        <f>4*'ARP Timing'!S8*VLOOKUP(T$1,'ARP Score'!$A$5:$M16,$A5)</f>
        <v>2.3719999999999999</v>
      </c>
      <c r="U5" s="1087">
        <f>4*'ARP Timing'!T8*VLOOKUP(U$1,'ARP Score'!$A$5:$M16,$A5)</f>
        <v>2.3719999999999999</v>
      </c>
      <c r="V5" s="1087">
        <f>4*'ARP Timing'!U8*VLOOKUP(V$1,'ARP Score'!$A$5:$M16,$A5)</f>
        <v>0.49</v>
      </c>
      <c r="W5" s="1087">
        <f t="shared" ref="W5:W15" si="0">SUM(C5:U5)/4</f>
        <v>91.073000000000008</v>
      </c>
    </row>
    <row r="6" spans="1:23" x14ac:dyDescent="0.3">
      <c r="A6" s="1043">
        <v>7</v>
      </c>
      <c r="B6" s="33" t="s">
        <v>774</v>
      </c>
      <c r="C6" s="1087">
        <f>4*'ARP Timing'!B9*VLOOKUP(C$1,'ARP Score'!$A$5:$M17,$A6)</f>
        <v>0</v>
      </c>
      <c r="D6" s="1087">
        <f>4*'ARP Timing'!C9*VLOOKUP(D$1,'ARP Score'!$A$5:$M17,$A6)</f>
        <v>58.782959999999989</v>
      </c>
      <c r="E6" s="1087">
        <f>4*'ARP Timing'!D9*VLOOKUP(E$1,'ARP Score'!$A$5:$M17,$A6)</f>
        <v>267.78904</v>
      </c>
      <c r="F6" s="1087">
        <f>4*'ARP Timing'!E9*VLOOKUP(F$1,'ARP Score'!$A$5:$M17,$A6)</f>
        <v>110.24799999999999</v>
      </c>
      <c r="G6" s="1087">
        <f>4*'ARP Timing'!F9*VLOOKUP(G$1,'ARP Score'!$A$5:$M17,$A6)</f>
        <v>110.24799999999999</v>
      </c>
      <c r="H6" s="1087">
        <f>4*'ARP Timing'!G9*VLOOKUP(H$1,'ARP Score'!$A$5:$M17,$A6)</f>
        <v>110.24799999999999</v>
      </c>
      <c r="I6" s="1087">
        <f>4*'ARP Timing'!H9*VLOOKUP(I$1,'ARP Score'!$A$5:$M17,$A6)</f>
        <v>110.24799999999999</v>
      </c>
      <c r="J6" s="1087">
        <f>4*'ARP Timing'!I9*VLOOKUP(J$1,'ARP Score'!$A$5:$M17,$A6)</f>
        <v>12.726000000000001</v>
      </c>
      <c r="K6" s="1087">
        <f>4*'ARP Timing'!J9*VLOOKUP(K$1,'ARP Score'!$A$5:$M17,$A6)</f>
        <v>12.726000000000001</v>
      </c>
      <c r="L6" s="1087">
        <f>4*'ARP Timing'!K9*VLOOKUP(L$1,'ARP Score'!$A$5:$M17,$A6)</f>
        <v>12.726000000000001</v>
      </c>
      <c r="M6" s="1087">
        <f>4*'ARP Timing'!L9*VLOOKUP(M$1,'ARP Score'!$A$5:$M17,$A6)</f>
        <v>12.726000000000001</v>
      </c>
      <c r="N6" s="1087">
        <f>4*'ARP Timing'!M9*VLOOKUP(N$1,'ARP Score'!$A$5:$M17,$A6)</f>
        <v>1.365</v>
      </c>
      <c r="O6" s="1087">
        <f>4*'ARP Timing'!N9*VLOOKUP(O$1,'ARP Score'!$A$5:$M17,$A6)</f>
        <v>1.365</v>
      </c>
      <c r="P6" s="1087">
        <f>4*'ARP Timing'!O9*VLOOKUP(P$1,'ARP Score'!$A$5:$M17,$A6)</f>
        <v>1.365</v>
      </c>
      <c r="Q6" s="1087">
        <f>4*'ARP Timing'!P9*VLOOKUP(Q$1,'ARP Score'!$A$5:$M17,$A6)</f>
        <v>1.365</v>
      </c>
      <c r="R6" s="1087">
        <f>4*'ARP Timing'!Q9*VLOOKUP(R$1,'ARP Score'!$A$5:$M17,$A6)</f>
        <v>-0.90100000000000025</v>
      </c>
      <c r="S6" s="1087">
        <f>4*'ARP Timing'!R9*VLOOKUP(S$1,'ARP Score'!$A$5:$M17,$A6)</f>
        <v>-0.90100000000000025</v>
      </c>
      <c r="T6" s="1087">
        <f>4*'ARP Timing'!S9*VLOOKUP(T$1,'ARP Score'!$A$5:$M17,$A6)</f>
        <v>-0.90100000000000025</v>
      </c>
      <c r="U6" s="1087">
        <f>4*'ARP Timing'!T9*VLOOKUP(U$1,'ARP Score'!$A$5:$M17,$A6)</f>
        <v>-0.90100000000000025</v>
      </c>
      <c r="V6" s="1087">
        <f>4*'ARP Timing'!U9*VLOOKUP(V$1,'ARP Score'!$A$5:$M17,$A6)</f>
        <v>-2.1500000000000004</v>
      </c>
      <c r="W6" s="1087">
        <f t="shared" si="0"/>
        <v>205.08100000000007</v>
      </c>
    </row>
    <row r="7" spans="1:23" x14ac:dyDescent="0.3">
      <c r="A7" s="1043">
        <v>8</v>
      </c>
      <c r="B7" s="33" t="s">
        <v>131</v>
      </c>
      <c r="C7" s="1087">
        <f>4*'ARP Timing'!B10*VLOOKUP(C$1,'ARP Score'!$A$5:$M18,$A7)</f>
        <v>0</v>
      </c>
      <c r="D7" s="1087">
        <f>4*'ARP Timing'!C10*VLOOKUP(D$1,'ARP Score'!$A$5:$M18,$A7)</f>
        <v>15.596</v>
      </c>
      <c r="E7" s="1087">
        <f>4*'ARP Timing'!D10*VLOOKUP(E$1,'ARP Score'!$A$5:$M18,$A7)</f>
        <v>15.596</v>
      </c>
      <c r="F7" s="1087">
        <f>4*'ARP Timing'!E10*VLOOKUP(F$1,'ARP Score'!$A$5:$M18,$A7)</f>
        <v>7.9489999999999998</v>
      </c>
      <c r="G7" s="1087">
        <f>4*'ARP Timing'!F10*VLOOKUP(G$1,'ARP Score'!$A$5:$M18,$A7)</f>
        <v>7.9489999999999998</v>
      </c>
      <c r="H7" s="1087">
        <f>4*'ARP Timing'!G10*VLOOKUP(H$1,'ARP Score'!$A$5:$M18,$A7)</f>
        <v>7.9489999999999998</v>
      </c>
      <c r="I7" s="1087">
        <f>4*'ARP Timing'!H10*VLOOKUP(I$1,'ARP Score'!$A$5:$M18,$A7)</f>
        <v>7.9489999999999998</v>
      </c>
      <c r="J7" s="1087">
        <f>4*'ARP Timing'!I10*VLOOKUP(J$1,'ARP Score'!$A$5:$M18,$A7)</f>
        <v>4.7519999999999998</v>
      </c>
      <c r="K7" s="1087">
        <f>4*'ARP Timing'!J10*VLOOKUP(K$1,'ARP Score'!$A$5:$M18,$A7)</f>
        <v>4.7519999999999998</v>
      </c>
      <c r="L7" s="1087">
        <f>4*'ARP Timing'!K10*VLOOKUP(L$1,'ARP Score'!$A$5:$M18,$A7)</f>
        <v>4.7519999999999998</v>
      </c>
      <c r="M7" s="1087">
        <f>4*'ARP Timing'!L10*VLOOKUP(M$1,'ARP Score'!$A$5:$M18,$A7)</f>
        <v>4.7519999999999998</v>
      </c>
      <c r="N7" s="1087">
        <f>4*'ARP Timing'!M10*VLOOKUP(N$1,'ARP Score'!$A$5:$M18,$A7)</f>
        <v>4.637999999999999</v>
      </c>
      <c r="O7" s="1087">
        <f>4*'ARP Timing'!N10*VLOOKUP(O$1,'ARP Score'!$A$5:$M18,$A7)</f>
        <v>4.637999999999999</v>
      </c>
      <c r="P7" s="1087">
        <f>4*'ARP Timing'!O10*VLOOKUP(P$1,'ARP Score'!$A$5:$M18,$A7)</f>
        <v>4.637999999999999</v>
      </c>
      <c r="Q7" s="1087">
        <f>4*'ARP Timing'!P10*VLOOKUP(Q$1,'ARP Score'!$A$5:$M18,$A7)</f>
        <v>4.637999999999999</v>
      </c>
      <c r="R7" s="1087">
        <f>4*'ARP Timing'!Q10*VLOOKUP(R$1,'ARP Score'!$A$5:$M18,$A7)</f>
        <v>1.8800000000000001</v>
      </c>
      <c r="S7" s="1087">
        <f>4*'ARP Timing'!R10*VLOOKUP(S$1,'ARP Score'!$A$5:$M18,$A7)</f>
        <v>1.8800000000000001</v>
      </c>
      <c r="T7" s="1087">
        <f>4*'ARP Timing'!S10*VLOOKUP(T$1,'ARP Score'!$A$5:$M18,$A7)</f>
        <v>1.8800000000000001</v>
      </c>
      <c r="U7" s="1087">
        <f>4*'ARP Timing'!T10*VLOOKUP(U$1,'ARP Score'!$A$5:$M18,$A7)</f>
        <v>1.8800000000000001</v>
      </c>
      <c r="V7" s="1087">
        <f>4*'ARP Timing'!U10*VLOOKUP(V$1,'ARP Score'!$A$5:$M18,$A7)</f>
        <v>1.446</v>
      </c>
      <c r="W7" s="1087">
        <f t="shared" si="0"/>
        <v>27.016999999999996</v>
      </c>
    </row>
    <row r="8" spans="1:23" x14ac:dyDescent="0.3">
      <c r="A8" s="1043">
        <v>9</v>
      </c>
      <c r="B8" s="1089" t="s">
        <v>348</v>
      </c>
      <c r="C8" s="1087">
        <f>4*'ARP Timing'!B$11*VLOOKUP(C$1,'ARP Score'!$A$5:$M19,$A8)</f>
        <v>0</v>
      </c>
      <c r="D8" s="1087">
        <f>0.6*SUM('ARP Score'!B5:B7)*4</f>
        <v>989.16719999999987</v>
      </c>
      <c r="E8" s="1086">
        <v>0</v>
      </c>
      <c r="F8" s="1087">
        <v>0</v>
      </c>
      <c r="G8" s="1087">
        <v>0</v>
      </c>
      <c r="H8" s="1087">
        <f>D8*0.4/0.6</f>
        <v>659.44479999999999</v>
      </c>
      <c r="I8" s="1087">
        <v>0</v>
      </c>
      <c r="J8" s="1043">
        <v>0</v>
      </c>
      <c r="K8" s="1087">
        <v>0</v>
      </c>
      <c r="L8" s="1087">
        <v>0</v>
      </c>
      <c r="M8" s="1087">
        <v>0</v>
      </c>
      <c r="N8" s="1087">
        <v>0</v>
      </c>
      <c r="O8" s="1087">
        <v>0</v>
      </c>
      <c r="P8" s="1087">
        <v>0</v>
      </c>
      <c r="Q8" s="1087">
        <v>0</v>
      </c>
      <c r="R8" s="1087">
        <v>0</v>
      </c>
      <c r="S8" s="1087">
        <v>0</v>
      </c>
      <c r="T8" s="1087">
        <v>0</v>
      </c>
      <c r="U8" s="1087">
        <v>0</v>
      </c>
      <c r="V8" s="1087">
        <v>0</v>
      </c>
      <c r="W8" s="1087">
        <f t="shared" si="0"/>
        <v>412.15299999999996</v>
      </c>
    </row>
    <row r="9" spans="1:23" x14ac:dyDescent="0.3">
      <c r="A9" s="1043">
        <v>10</v>
      </c>
      <c r="B9" s="1089" t="s">
        <v>150</v>
      </c>
      <c r="C9" s="1087">
        <f>4*'ARP Timing'!B$11*VLOOKUP(C$1,'ARP Score'!$A$5:$M20,$A9)</f>
        <v>0</v>
      </c>
      <c r="D9" s="1087">
        <f>4*'ARP Timing'!C$11*VLOOKUP(D$1,'ARP Score'!$A$5:$M20,$A9)</f>
        <v>24.693999999999999</v>
      </c>
      <c r="E9" s="1087">
        <f>4*'ARP Timing'!D$11*VLOOKUP(E$1,'ARP Score'!$A$5:$M20,$A9)</f>
        <v>24.693999999999999</v>
      </c>
      <c r="F9" s="1087">
        <f>4*'ARP Timing'!E$11*VLOOKUP(F$1,'ARP Score'!$A$5:$M20,$A9)</f>
        <v>46.79</v>
      </c>
      <c r="G9" s="1087">
        <f>4*'ARP Timing'!F$11*VLOOKUP(G$1,'ARP Score'!$A$5:$M20,$A9)</f>
        <v>46.79</v>
      </c>
      <c r="H9" s="1087">
        <f>4*'ARP Timing'!G$11*VLOOKUP(H$1,'ARP Score'!$A$5:$M20,$A9)</f>
        <v>46.79</v>
      </c>
      <c r="I9" s="1087">
        <f>4*'ARP Timing'!H$11*VLOOKUP(I$1,'ARP Score'!$A$5:$M20,$A9)</f>
        <v>46.79</v>
      </c>
      <c r="J9" s="1087">
        <f>4*'ARP Timing'!I$11*VLOOKUP(J$1,'ARP Score'!$A$5:$M20,$A9)</f>
        <v>38.595999999999997</v>
      </c>
      <c r="K9" s="1087">
        <f>4*'ARP Timing'!J$11*VLOOKUP(K$1,'ARP Score'!$A$5:$M20,$A9)</f>
        <v>38.595999999999997</v>
      </c>
      <c r="L9" s="1087">
        <f>4*'ARP Timing'!K$11*VLOOKUP(L$1,'ARP Score'!$A$5:$M20,$A9)</f>
        <v>38.595999999999997</v>
      </c>
      <c r="M9" s="1087">
        <f>4*'ARP Timing'!L$11*VLOOKUP(M$1,'ARP Score'!$A$5:$M20,$A9)</f>
        <v>38.595999999999997</v>
      </c>
      <c r="N9" s="1087">
        <f>4*'ARP Timing'!M$11*VLOOKUP(N$1,'ARP Score'!$A$5:$M20,$A9)</f>
        <v>31.911000000000001</v>
      </c>
      <c r="O9" s="1087">
        <f>4*'ARP Timing'!N$11*VLOOKUP(O$1,'ARP Score'!$A$5:$M20,$A9)</f>
        <v>31.911000000000001</v>
      </c>
      <c r="P9" s="1087">
        <f>4*'ARP Timing'!O$11*VLOOKUP(P$1,'ARP Score'!$A$5:$M20,$A9)</f>
        <v>31.911000000000001</v>
      </c>
      <c r="Q9" s="1087">
        <f>4*'ARP Timing'!P$11*VLOOKUP(Q$1,'ARP Score'!$A$5:$M20,$A9)</f>
        <v>31.911000000000001</v>
      </c>
      <c r="R9" s="1087">
        <f>4*'ARP Timing'!Q$11*VLOOKUP(R$1,'ARP Score'!$A$5:$M20,$A9)</f>
        <v>23.099</v>
      </c>
      <c r="S9" s="1087">
        <f>4*'ARP Timing'!R$11*VLOOKUP(S$1,'ARP Score'!$A$5:$M20,$A9)</f>
        <v>23.099</v>
      </c>
      <c r="T9" s="1087">
        <f>4*'ARP Timing'!S$11*VLOOKUP(T$1,'ARP Score'!$A$5:$M20,$A9)</f>
        <v>23.099</v>
      </c>
      <c r="U9" s="1087">
        <f>4*'ARP Timing'!T$11*VLOOKUP(U$1,'ARP Score'!$A$5:$M20,$A9)</f>
        <v>23.099</v>
      </c>
      <c r="V9" s="1087">
        <f>4*'ARP Timing'!U$11*VLOOKUP(V$1,'ARP Score'!$A$5:$M20,$A9)</f>
        <v>10.766999999999999</v>
      </c>
      <c r="W9" s="1087">
        <f t="shared" si="0"/>
        <v>152.74300000000005</v>
      </c>
    </row>
    <row r="10" spans="1:23" x14ac:dyDescent="0.3">
      <c r="A10" s="1093">
        <v>11</v>
      </c>
      <c r="B10" s="1089" t="s">
        <v>364</v>
      </c>
      <c r="C10" s="1087">
        <f>4*'ARP Timing'!B$11*VLOOKUP(C$1,'ARP Score'!$A$5:$M22,$A10)</f>
        <v>0</v>
      </c>
      <c r="D10" s="1087">
        <f>4*'ARP Timing'!C$11*VLOOKUP(D$1,'ARP Score'!$A$5:$M22,$A10)</f>
        <v>59.256</v>
      </c>
      <c r="E10" s="1087">
        <f>4*'ARP Timing'!D$11*VLOOKUP(E$1,'ARP Score'!$A$5:$M22,$A10)</f>
        <v>59.256</v>
      </c>
      <c r="F10" s="1087">
        <f>4*'ARP Timing'!E$11*VLOOKUP(F$1,'ARP Score'!$A$5:$M22,$A10)</f>
        <v>35.671000000000006</v>
      </c>
      <c r="G10" s="1087">
        <f>4*'ARP Timing'!F$11*VLOOKUP(G$1,'ARP Score'!$A$5:$M22,$A10)</f>
        <v>35.671000000000006</v>
      </c>
      <c r="H10" s="1087">
        <f>4*'ARP Timing'!G$11*VLOOKUP(H$1,'ARP Score'!$A$5:$M22,$A10)</f>
        <v>35.671000000000006</v>
      </c>
      <c r="I10" s="1087">
        <f>4*'ARP Timing'!H$11*VLOOKUP(I$1,'ARP Score'!$A$5:$M22,$A10)</f>
        <v>35.671000000000006</v>
      </c>
      <c r="J10" s="1087">
        <f>4*'ARP Timing'!I$11*VLOOKUP(J$1,'ARP Score'!$A$5:$M22,$A10)</f>
        <v>24.216000000000001</v>
      </c>
      <c r="K10" s="1087">
        <f>4*'ARP Timing'!J$11*VLOOKUP(K$1,'ARP Score'!$A$5:$M22,$A10)</f>
        <v>24.216000000000001</v>
      </c>
      <c r="L10" s="1087">
        <f>4*'ARP Timing'!K$11*VLOOKUP(L$1,'ARP Score'!$A$5:$M22,$A10)</f>
        <v>24.216000000000001</v>
      </c>
      <c r="M10" s="1087">
        <f>4*'ARP Timing'!L$11*VLOOKUP(M$1,'ARP Score'!$A$5:$M22,$A10)</f>
        <v>24.216000000000001</v>
      </c>
      <c r="N10" s="1087">
        <f>4*'ARP Timing'!M$11*VLOOKUP(N$1,'ARP Score'!$A$5:$M22,$A10)</f>
        <v>9.6430000000000007</v>
      </c>
      <c r="O10" s="1087">
        <f>4*'ARP Timing'!N$11*VLOOKUP(O$1,'ARP Score'!$A$5:$M22,$A10)</f>
        <v>9.6430000000000007</v>
      </c>
      <c r="P10" s="1087">
        <f>4*'ARP Timing'!O$11*VLOOKUP(P$1,'ARP Score'!$A$5:$M22,$A10)</f>
        <v>9.6430000000000007</v>
      </c>
      <c r="Q10" s="1087">
        <f>4*'ARP Timing'!P$11*VLOOKUP(Q$1,'ARP Score'!$A$5:$M22,$A10)</f>
        <v>9.6430000000000007</v>
      </c>
      <c r="R10" s="1087">
        <f>4*'ARP Timing'!Q$11*VLOOKUP(R$1,'ARP Score'!$A$5:$M22,$A10)</f>
        <v>4.5789999999999997</v>
      </c>
      <c r="S10" s="1087">
        <f>4*'ARP Timing'!R$11*VLOOKUP(S$1,'ARP Score'!$A$5:$M22,$A10)</f>
        <v>4.5789999999999997</v>
      </c>
      <c r="T10" s="1087">
        <f>4*'ARP Timing'!S$11*VLOOKUP(T$1,'ARP Score'!$A$5:$M22,$A10)</f>
        <v>4.5789999999999997</v>
      </c>
      <c r="U10" s="1087">
        <f>4*'ARP Timing'!T$11*VLOOKUP(U$1,'ARP Score'!$A$5:$M22,$A10)</f>
        <v>4.5789999999999997</v>
      </c>
      <c r="V10" s="1087">
        <f>4*'ARP Timing'!U$11*VLOOKUP(V$1,'ARP Score'!$A$5:$M22,$A10)</f>
        <v>2.9130000000000003</v>
      </c>
      <c r="W10" s="1087">
        <f t="shared" si="0"/>
        <v>103.73700000000002</v>
      </c>
    </row>
    <row r="11" spans="1:23" x14ac:dyDescent="0.3">
      <c r="A11" s="1043">
        <v>12</v>
      </c>
      <c r="B11" s="14" t="s">
        <v>159</v>
      </c>
      <c r="C11" s="1087">
        <f>4*'ARP Timing'!B12*VLOOKUP(C$1,'ARP Score'!$A$5:$M20,$A11)</f>
        <v>103</v>
      </c>
      <c r="D11" s="1087">
        <f>4*'ARP Timing'!C12*VLOOKUP(D$1,'ARP Score'!$A$5:$M20,$A11)</f>
        <v>0</v>
      </c>
      <c r="E11" s="1087">
        <f>4*'ARP Timing'!D12*VLOOKUP(E$1,'ARP Score'!$A$5:$M20,$A11)</f>
        <v>0</v>
      </c>
      <c r="F11" s="1087">
        <f>4*'ARP Timing'!E12*VLOOKUP(F$1,'ARP Score'!$A$5:$M20,$A11)</f>
        <v>0</v>
      </c>
      <c r="G11" s="1087">
        <f>4*'ARP Timing'!F12*VLOOKUP(G$1,'ARP Score'!$A$5:$M20,$A11)</f>
        <v>0</v>
      </c>
      <c r="H11" s="1087">
        <f>4*'ARP Timing'!G12*VLOOKUP(H$1,'ARP Score'!$A$5:$M20,$A11)</f>
        <v>0</v>
      </c>
      <c r="I11" s="1087">
        <f>4*'ARP Timing'!H12*VLOOKUP(I$1,'ARP Score'!$A$5:$M20,$A11)</f>
        <v>0</v>
      </c>
      <c r="J11" s="1087">
        <f>4*'ARP Timing'!I12*VLOOKUP(J$1,'ARP Score'!$A$5:$M20,$A11)</f>
        <v>0</v>
      </c>
      <c r="K11" s="1087">
        <f>4*'ARP Timing'!J12*VLOOKUP(K$1,'ARP Score'!$A$5:$M20,$A11)</f>
        <v>0</v>
      </c>
      <c r="L11" s="1087">
        <f>4*'ARP Timing'!K12*VLOOKUP(L$1,'ARP Score'!$A$5:$M20,$A11)</f>
        <v>0</v>
      </c>
      <c r="M11" s="1087">
        <f>4*'ARP Timing'!L12*VLOOKUP(M$1,'ARP Score'!$A$5:$M20,$A11)</f>
        <v>0</v>
      </c>
      <c r="N11" s="1087">
        <f>4*'ARP Timing'!M12*VLOOKUP(N$1,'ARP Score'!$A$5:$M20,$A11)</f>
        <v>0</v>
      </c>
      <c r="O11" s="1087">
        <f>4*'ARP Timing'!N12*VLOOKUP(O$1,'ARP Score'!$A$5:$M20,$A11)</f>
        <v>0</v>
      </c>
      <c r="P11" s="1087">
        <f>4*'ARP Timing'!O12*VLOOKUP(P$1,'ARP Score'!$A$5:$M20,$A11)</f>
        <v>0</v>
      </c>
      <c r="Q11" s="1087">
        <f>4*'ARP Timing'!P12*VLOOKUP(Q$1,'ARP Score'!$A$5:$M20,$A11)</f>
        <v>0</v>
      </c>
      <c r="R11" s="1087">
        <f>4*'ARP Timing'!Q12*VLOOKUP(R$1,'ARP Score'!$A$5:$M20,$A11)</f>
        <v>0</v>
      </c>
      <c r="S11" s="1087">
        <f>4*'ARP Timing'!R12*VLOOKUP(S$1,'ARP Score'!$A$5:$M20,$A11)</f>
        <v>0</v>
      </c>
      <c r="T11" s="1087">
        <f>4*'ARP Timing'!S12*VLOOKUP(T$1,'ARP Score'!$A$5:$M20,$A11)</f>
        <v>0</v>
      </c>
      <c r="U11" s="1087">
        <f>4*'ARP Timing'!T12*VLOOKUP(U$1,'ARP Score'!$A$5:$M20,$A11)</f>
        <v>0</v>
      </c>
      <c r="V11" s="1087">
        <f>4*'ARP Timing'!U12*VLOOKUP(V$1,'ARP Score'!$A$5:$M20,$A11)</f>
        <v>0</v>
      </c>
      <c r="W11" s="1087">
        <f t="shared" si="0"/>
        <v>25.75</v>
      </c>
    </row>
    <row r="12" spans="1:23" x14ac:dyDescent="0.3">
      <c r="A12" s="1043">
        <v>13</v>
      </c>
      <c r="B12" s="33" t="s">
        <v>109</v>
      </c>
      <c r="C12" s="1087">
        <f>4*'ARP Timing'!B13*VLOOKUP(C$1,'ARP Score'!$A$5:$M21,$A12)</f>
        <v>0</v>
      </c>
      <c r="D12" s="1087">
        <f>4*'ARP Timing'!C13*VLOOKUP(D$1,'ARP Score'!$A$5:$M21,$A12)</f>
        <v>51.102400000000003</v>
      </c>
      <c r="E12" s="1087">
        <f>4*'ARP Timing'!D13*VLOOKUP(E$1,'ARP Score'!$A$5:$M21,$A12)</f>
        <v>76.653599999999997</v>
      </c>
      <c r="F12" s="1087">
        <f>4*'ARP Timing'!E13*VLOOKUP(F$1,'ARP Score'!$A$5:$M21,$A12)</f>
        <v>90.260800000000003</v>
      </c>
      <c r="G12" s="1087">
        <f>4*'ARP Timing'!F13*VLOOKUP(G$1,'ARP Score'!$A$5:$M21,$A12)</f>
        <v>67.695599999999999</v>
      </c>
      <c r="H12" s="1087">
        <f>4*'ARP Timing'!G13*VLOOKUP(H$1,'ARP Score'!$A$5:$M21,$A12)</f>
        <v>45.130400000000002</v>
      </c>
      <c r="I12" s="1087">
        <f>4*'ARP Timing'!H13*VLOOKUP(I$1,'ARP Score'!$A$5:$M21,$A12)</f>
        <v>22.565200000000001</v>
      </c>
      <c r="J12" s="1087">
        <f>4*'ARP Timing'!I13*VLOOKUP(J$1,'ARP Score'!$A$5:$M21,$A12)</f>
        <v>15.652999999999999</v>
      </c>
      <c r="K12" s="1087">
        <f>4*'ARP Timing'!J13*VLOOKUP(K$1,'ARP Score'!$A$5:$M21,$A12)</f>
        <v>15.652999999999999</v>
      </c>
      <c r="L12" s="1087">
        <f>4*'ARP Timing'!K13*VLOOKUP(L$1,'ARP Score'!$A$5:$M21,$A12)</f>
        <v>15.652999999999999</v>
      </c>
      <c r="M12" s="1087">
        <f>4*'ARP Timing'!L13*VLOOKUP(M$1,'ARP Score'!$A$5:$M21,$A12)</f>
        <v>15.652999999999999</v>
      </c>
      <c r="N12" s="1087">
        <f>4*'ARP Timing'!M13*VLOOKUP(N$1,'ARP Score'!$A$5:$M21,$A12)</f>
        <v>3.9320000000000004</v>
      </c>
      <c r="O12" s="1087">
        <f>4*'ARP Timing'!N13*VLOOKUP(O$1,'ARP Score'!$A$5:$M21,$A12)</f>
        <v>3.9320000000000004</v>
      </c>
      <c r="P12" s="1087">
        <f>4*'ARP Timing'!O13*VLOOKUP(P$1,'ARP Score'!$A$5:$M21,$A12)</f>
        <v>3.9320000000000004</v>
      </c>
      <c r="Q12" s="1087">
        <f>4*'ARP Timing'!P13*VLOOKUP(Q$1,'ARP Score'!$A$5:$M21,$A12)</f>
        <v>3.9320000000000004</v>
      </c>
      <c r="R12" s="1087">
        <f>4*'ARP Timing'!Q13*VLOOKUP(R$1,'ARP Score'!$A$5:$M21,$A12)</f>
        <v>-0.74299999999999988</v>
      </c>
      <c r="S12" s="1087">
        <f>4*'ARP Timing'!R13*VLOOKUP(S$1,'ARP Score'!$A$5:$M21,$A12)</f>
        <v>-0.74299999999999988</v>
      </c>
      <c r="T12" s="1087">
        <f>4*'ARP Timing'!S13*VLOOKUP(T$1,'ARP Score'!$A$5:$M21,$A12)</f>
        <v>-0.74299999999999988</v>
      </c>
      <c r="U12" s="1087">
        <f>4*'ARP Timing'!T13*VLOOKUP(U$1,'ARP Score'!$A$5:$M21,$A12)</f>
        <v>-0.74299999999999988</v>
      </c>
      <c r="V12" s="1087">
        <f>4*'ARP Timing'!U13*VLOOKUP(V$1,'ARP Score'!$A$5:$M21,$A12)</f>
        <v>-21.606000000000002</v>
      </c>
      <c r="W12" s="1087">
        <f t="shared" si="0"/>
        <v>107.19400000000005</v>
      </c>
    </row>
    <row r="13" spans="1:23" x14ac:dyDescent="0.3">
      <c r="A13" s="1043">
        <v>15</v>
      </c>
      <c r="B13" s="1043" t="s">
        <v>775</v>
      </c>
      <c r="C13" s="1087">
        <f>0.3*'ARP Score'!$N5*4*'ARP Timing'!B6</f>
        <v>0</v>
      </c>
      <c r="D13" s="1087">
        <f>0.3*'ARP Score'!$N5*4*'ARP Timing'!C6</f>
        <v>1.7544</v>
      </c>
      <c r="E13" s="1087">
        <f>0.3*'ARP Score'!$N5*4*'ARP Timing'!D6</f>
        <v>2.3255999999999997</v>
      </c>
      <c r="F13" s="1087">
        <f>0.3*'ARP Score'!$N6*4*'ARP Timing'!E6</f>
        <v>1.5299999999999998</v>
      </c>
      <c r="G13" s="1087">
        <f>0.3*'ARP Score'!$N6*4*'ARP Timing'!F6</f>
        <v>1.5299999999999998</v>
      </c>
      <c r="H13" s="1087">
        <f>0.3*'ARP Score'!$N6*4*'ARP Timing'!G6</f>
        <v>1.5299999999999998</v>
      </c>
      <c r="I13" s="1087">
        <f>0.3*'ARP Score'!$N6*4*'ARP Timing'!H6</f>
        <v>1.5299999999999998</v>
      </c>
      <c r="J13" s="1087">
        <f>0.3*'ARP Score'!$N7*4*'ARP Timing'!I6</f>
        <v>0</v>
      </c>
      <c r="K13" s="1087">
        <f>0.3*'ARP Score'!$N7*4*'ARP Timing'!J6</f>
        <v>0</v>
      </c>
      <c r="L13" s="1087">
        <f>0.3*'ARP Score'!$N7*4*'ARP Timing'!K6</f>
        <v>0</v>
      </c>
      <c r="M13" s="1087">
        <f>0.3*'ARP Score'!$N7*4*'ARP Timing'!L6</f>
        <v>0</v>
      </c>
      <c r="N13" s="1087">
        <f>0.3*'ARP Score'!$N7*4*'ARP Timing'!M6</f>
        <v>0</v>
      </c>
      <c r="O13" s="1087">
        <f>0.3*'ARP Score'!$N7*4*'ARP Timing'!N6</f>
        <v>0</v>
      </c>
      <c r="P13" s="1087">
        <f>0.3*'ARP Score'!$N7*4*'ARP Timing'!O6</f>
        <v>0</v>
      </c>
      <c r="Q13" s="1087">
        <f>0.3*'ARP Score'!$N7*4*'ARP Timing'!P6</f>
        <v>0</v>
      </c>
      <c r="R13" s="1087">
        <f>0.3*'ARP Score'!$N7*4*'ARP Timing'!Q6</f>
        <v>0</v>
      </c>
      <c r="S13" s="1087">
        <f>0.3*'ARP Score'!$N7*4*'ARP Timing'!R6</f>
        <v>0</v>
      </c>
      <c r="T13" s="1087">
        <f>0.3*'ARP Score'!$N7*4*'ARP Timing'!S6</f>
        <v>0</v>
      </c>
      <c r="U13" s="1087">
        <f>0.3*'ARP Score'!$N7*4*'ARP Timing'!T6</f>
        <v>0</v>
      </c>
      <c r="V13" s="1087">
        <f>0.3*'ARP Score'!$N7*4*'ARP Timing'!U6</f>
        <v>0</v>
      </c>
      <c r="W13" s="1087">
        <f t="shared" si="0"/>
        <v>2.5499999999999994</v>
      </c>
    </row>
    <row r="14" spans="1:23" x14ac:dyDescent="0.3">
      <c r="A14" s="1043">
        <v>14</v>
      </c>
      <c r="B14" s="1043" t="s">
        <v>776</v>
      </c>
      <c r="C14" s="1087">
        <f>C13/0.3*0.2</f>
        <v>0</v>
      </c>
      <c r="D14" s="1087">
        <f t="shared" ref="D14:F14" si="1">D13/0.3*0.2</f>
        <v>1.1696</v>
      </c>
      <c r="E14" s="1087">
        <f t="shared" si="1"/>
        <v>1.5503999999999998</v>
      </c>
      <c r="F14" s="1087">
        <f t="shared" si="1"/>
        <v>1.02</v>
      </c>
      <c r="G14" s="1087">
        <f t="shared" ref="G14" si="2">G13/0.3*0.2</f>
        <v>1.02</v>
      </c>
      <c r="H14" s="1087">
        <f t="shared" ref="H14" si="3">H13/0.3*0.2</f>
        <v>1.02</v>
      </c>
      <c r="I14" s="1087">
        <f t="shared" ref="I14" si="4">I13/0.3*0.2</f>
        <v>1.02</v>
      </c>
      <c r="J14" s="1087">
        <f t="shared" ref="J14" si="5">J13/0.3*0.2</f>
        <v>0</v>
      </c>
      <c r="K14" s="1087">
        <f t="shared" ref="K14" si="6">K13/0.3*0.2</f>
        <v>0</v>
      </c>
      <c r="L14" s="1087">
        <f t="shared" ref="L14" si="7">L13/0.3*0.2</f>
        <v>0</v>
      </c>
      <c r="M14" s="1087">
        <f t="shared" ref="M14" si="8">M13/0.3*0.2</f>
        <v>0</v>
      </c>
      <c r="N14" s="1087">
        <f t="shared" ref="N14" si="9">N13/0.3*0.2</f>
        <v>0</v>
      </c>
      <c r="O14" s="1087">
        <f t="shared" ref="O14" si="10">O13/0.3*0.2</f>
        <v>0</v>
      </c>
      <c r="P14" s="1087">
        <f t="shared" ref="P14" si="11">P13/0.3*0.2</f>
        <v>0</v>
      </c>
      <c r="Q14" s="1087">
        <f t="shared" ref="Q14" si="12">Q13/0.3*0.2</f>
        <v>0</v>
      </c>
      <c r="R14" s="1087">
        <f t="shared" ref="R14" si="13">R13/0.3*0.2</f>
        <v>0</v>
      </c>
      <c r="S14" s="1087">
        <f t="shared" ref="S14" si="14">S13/0.3*0.2</f>
        <v>0</v>
      </c>
      <c r="T14" s="1087">
        <f t="shared" ref="T14" si="15">T13/0.3*0.2</f>
        <v>0</v>
      </c>
      <c r="U14" s="1087">
        <f t="shared" ref="U14" si="16">U13/0.3*0.2</f>
        <v>0</v>
      </c>
      <c r="V14" s="1087">
        <f t="shared" ref="V14" si="17">V13/0.3*0.2</f>
        <v>0</v>
      </c>
      <c r="W14" s="1087">
        <f t="shared" si="0"/>
        <v>1.6999999999999997</v>
      </c>
    </row>
    <row r="15" spans="1:23" x14ac:dyDescent="0.3">
      <c r="A15" s="1043">
        <v>14</v>
      </c>
      <c r="B15" s="1043" t="s">
        <v>474</v>
      </c>
      <c r="C15" s="1087">
        <f>C14/0.2*0.5</f>
        <v>0</v>
      </c>
      <c r="D15" s="1087">
        <f t="shared" ref="D15:F15" si="18">D14/0.2*0.5</f>
        <v>2.9239999999999999</v>
      </c>
      <c r="E15" s="1087">
        <f t="shared" si="18"/>
        <v>3.8759999999999994</v>
      </c>
      <c r="F15" s="1087">
        <f t="shared" si="18"/>
        <v>2.5499999999999998</v>
      </c>
      <c r="G15" s="1087">
        <f t="shared" ref="G15" si="19">G14/0.2*0.5</f>
        <v>2.5499999999999998</v>
      </c>
      <c r="H15" s="1087">
        <f t="shared" ref="H15" si="20">H14/0.2*0.5</f>
        <v>2.5499999999999998</v>
      </c>
      <c r="I15" s="1087">
        <f t="shared" ref="I15" si="21">I14/0.2*0.5</f>
        <v>2.5499999999999998</v>
      </c>
      <c r="J15" s="1087">
        <f t="shared" ref="J15" si="22">J14/0.2*0.5</f>
        <v>0</v>
      </c>
      <c r="K15" s="1087">
        <f t="shared" ref="K15" si="23">K14/0.2*0.5</f>
        <v>0</v>
      </c>
      <c r="L15" s="1087">
        <f t="shared" ref="L15" si="24">L14/0.2*0.5</f>
        <v>0</v>
      </c>
      <c r="M15" s="1087">
        <f t="shared" ref="M15" si="25">M14/0.2*0.5</f>
        <v>0</v>
      </c>
      <c r="N15" s="1087">
        <f t="shared" ref="N15" si="26">N14/0.2*0.5</f>
        <v>0</v>
      </c>
      <c r="O15" s="1087">
        <f t="shared" ref="O15" si="27">O14/0.2*0.5</f>
        <v>0</v>
      </c>
      <c r="P15" s="1087">
        <f t="shared" ref="P15" si="28">P14/0.2*0.5</f>
        <v>0</v>
      </c>
      <c r="Q15" s="1087">
        <f t="shared" ref="Q15" si="29">Q14/0.2*0.5</f>
        <v>0</v>
      </c>
      <c r="R15" s="1087">
        <f t="shared" ref="R15" si="30">R14/0.2*0.5</f>
        <v>0</v>
      </c>
      <c r="S15" s="1087">
        <f t="shared" ref="S15" si="31">S14/0.2*0.5</f>
        <v>0</v>
      </c>
      <c r="T15" s="1087">
        <f t="shared" ref="T15" si="32">T14/0.2*0.5</f>
        <v>0</v>
      </c>
      <c r="U15" s="1087">
        <f t="shared" ref="U15" si="33">U14/0.2*0.5</f>
        <v>0</v>
      </c>
      <c r="V15" s="1087">
        <f t="shared" ref="V15" si="34">V14/0.2*0.5</f>
        <v>0</v>
      </c>
      <c r="W15" s="1087">
        <f t="shared" si="0"/>
        <v>4.25</v>
      </c>
    </row>
    <row r="16" spans="1:23" x14ac:dyDescent="0.3">
      <c r="C16" s="1087"/>
      <c r="D16" s="1087"/>
      <c r="E16" s="1087"/>
      <c r="F16" s="1087"/>
      <c r="G16" s="1087"/>
      <c r="H16" s="1087"/>
      <c r="I16" s="1087"/>
      <c r="J16" s="1087"/>
      <c r="K16" s="1087"/>
      <c r="L16" s="1087"/>
      <c r="M16" s="1087"/>
      <c r="N16" s="1087"/>
      <c r="O16" s="1087"/>
      <c r="P16" s="1087"/>
      <c r="Q16" s="1087"/>
      <c r="R16" s="1087"/>
      <c r="S16" s="1087"/>
      <c r="T16" s="1087"/>
      <c r="U16" s="1087"/>
      <c r="V16" s="1087"/>
      <c r="W16" s="1087"/>
    </row>
    <row r="17" spans="1:23" x14ac:dyDescent="0.3">
      <c r="A17" s="1043" t="s">
        <v>777</v>
      </c>
      <c r="C17" s="1087"/>
      <c r="D17" s="1087"/>
      <c r="E17" s="1087"/>
      <c r="F17" s="1087"/>
      <c r="G17" s="1087"/>
      <c r="H17" s="1087"/>
      <c r="I17" s="1087"/>
      <c r="J17" s="1087"/>
      <c r="K17" s="1087"/>
      <c r="L17" s="1087"/>
      <c r="M17" s="1087"/>
      <c r="N17" s="1087"/>
      <c r="O17" s="1087"/>
      <c r="P17" s="1087"/>
      <c r="Q17" s="1087"/>
      <c r="R17" s="1087"/>
      <c r="S17" s="1087"/>
      <c r="T17" s="1087"/>
      <c r="U17" s="1087"/>
      <c r="V17" s="1087"/>
      <c r="W17" s="1087"/>
    </row>
    <row r="18" spans="1:23" x14ac:dyDescent="0.3">
      <c r="B18" s="421" t="s">
        <v>143</v>
      </c>
      <c r="C18" s="1087">
        <f>'ARP Score'!$BG5/'ARP Score'!$G5*C6</f>
        <v>0</v>
      </c>
      <c r="D18" s="1087">
        <f>'ARP Score'!$BG5/'ARP Score'!$G5*D6</f>
        <v>2.2132800000000001</v>
      </c>
      <c r="E18" s="1087">
        <f>'ARP Score'!$BG5/'ARP Score'!$G5*E6</f>
        <v>10.082720000000002</v>
      </c>
      <c r="F18" s="1087">
        <f>'ARP Score'!$BG6/'ARP Score'!$G6*F6</f>
        <v>7.1439999999999992</v>
      </c>
      <c r="G18" s="1087">
        <f>'ARP Score'!$BG6/'ARP Score'!$G6*G6</f>
        <v>7.1439999999999992</v>
      </c>
      <c r="H18" s="1087">
        <f>'ARP Score'!$BG6/'ARP Score'!$G6*H6</f>
        <v>7.1439999999999992</v>
      </c>
      <c r="I18" s="1087">
        <f>'ARP Score'!$BG6/'ARP Score'!$G6*I6</f>
        <v>7.1439999999999992</v>
      </c>
      <c r="J18" s="1087">
        <f>'ARP Score'!$BG7/'ARP Score'!$G7*J6</f>
        <v>0</v>
      </c>
      <c r="K18" s="1087">
        <f>'ARP Score'!$BG7/'ARP Score'!$G7*K6</f>
        <v>0</v>
      </c>
      <c r="L18" s="1087">
        <f>'ARP Score'!$BG7/'ARP Score'!$G7*L6</f>
        <v>0</v>
      </c>
      <c r="M18" s="1087">
        <f>'ARP Score'!$BG7/'ARP Score'!$G7*M6</f>
        <v>0</v>
      </c>
      <c r="N18" s="1087"/>
      <c r="O18" s="1087"/>
      <c r="P18" s="1087"/>
      <c r="Q18" s="1087"/>
      <c r="R18" s="1087"/>
      <c r="S18" s="1087"/>
      <c r="T18" s="1087"/>
      <c r="U18" s="1087"/>
      <c r="V18" s="1087"/>
      <c r="W18" s="1087"/>
    </row>
    <row r="19" spans="1:23" x14ac:dyDescent="0.3">
      <c r="B19" s="421" t="s">
        <v>778</v>
      </c>
      <c r="C19" s="1087">
        <f>'ARP Score'!$BI5/'ARP Score'!$G5*C6</f>
        <v>0</v>
      </c>
      <c r="D19" s="1087">
        <f>'ARP Score'!$BI5/'ARP Score'!$G5*D6</f>
        <v>15.128640000000001</v>
      </c>
      <c r="E19" s="1087">
        <f>'ARP Score'!$BI5/'ARP Score'!$G5*E6</f>
        <v>68.919360000000012</v>
      </c>
      <c r="F19" s="1087">
        <f>'ARP Score'!$BI6/'ARP Score'!$G6*F6</f>
        <v>5.6120000000000001</v>
      </c>
      <c r="G19" s="1087">
        <f>'ARP Score'!$BI6/'ARP Score'!$G6*G6</f>
        <v>5.6120000000000001</v>
      </c>
      <c r="H19" s="1087">
        <f>'ARP Score'!$BI6/'ARP Score'!$G6*H6</f>
        <v>5.6120000000000001</v>
      </c>
      <c r="I19" s="1087">
        <f>'ARP Score'!$BI6/'ARP Score'!$G6*I6</f>
        <v>5.6120000000000001</v>
      </c>
      <c r="J19" s="1087">
        <f>'ARP Score'!$B7/'ARP Score'!$G7*J6</f>
        <v>0.48599999999999993</v>
      </c>
      <c r="K19" s="1087">
        <f>'ARP Score'!$B7/'ARP Score'!$G7*K6</f>
        <v>0.48599999999999993</v>
      </c>
      <c r="L19" s="1087">
        <f>'ARP Score'!$B7/'ARP Score'!$G7*L6</f>
        <v>0.48599999999999993</v>
      </c>
      <c r="M19" s="1087">
        <f>'ARP Score'!$B7/'ARP Score'!$G7*M6</f>
        <v>0.48599999999999993</v>
      </c>
      <c r="N19" s="1087">
        <f>'ARP Score'!$B8/'ARP Score'!$G8*N6</f>
        <v>0</v>
      </c>
      <c r="O19" s="1087"/>
      <c r="P19" s="1087"/>
      <c r="Q19" s="1087"/>
      <c r="R19" s="1087"/>
      <c r="S19" s="1087"/>
      <c r="T19" s="1087"/>
      <c r="U19" s="1087"/>
      <c r="V19" s="1087"/>
      <c r="W19" s="1087"/>
    </row>
    <row r="20" spans="1:23" x14ac:dyDescent="0.3">
      <c r="B20" s="421" t="s">
        <v>148</v>
      </c>
      <c r="C20" s="1087">
        <f>'ARP Score'!$BF5/'ARP Score'!$G5*C6</f>
        <v>0</v>
      </c>
      <c r="D20" s="1087">
        <f>'ARP Score'!$BF5/'ARP Score'!$G5*D6</f>
        <v>3.2479199999999997</v>
      </c>
      <c r="E20" s="1087">
        <f>'ARP Score'!$BF5/'ARP Score'!$G5*E6</f>
        <v>14.796080000000002</v>
      </c>
      <c r="F20" s="1087">
        <f>'ARP Score'!$BF6/'ARP Score'!$G6*F6</f>
        <v>1.7329999999999999</v>
      </c>
      <c r="G20" s="1087">
        <f>'ARP Score'!$BF6/'ARP Score'!$G6*G6</f>
        <v>1.7329999999999999</v>
      </c>
      <c r="H20" s="1087">
        <f>'ARP Score'!$BF6/'ARP Score'!$G6*H6</f>
        <v>1.7329999999999999</v>
      </c>
      <c r="I20" s="1087">
        <f>'ARP Score'!$BF6/'ARP Score'!$G6*I6</f>
        <v>1.7329999999999999</v>
      </c>
      <c r="J20" s="1087">
        <f>'ARP Score'!$BF7/'ARP Score'!$G7*J6</f>
        <v>0</v>
      </c>
      <c r="K20" s="1087">
        <f>'ARP Score'!$BF7/'ARP Score'!$G7*K6</f>
        <v>0</v>
      </c>
      <c r="L20" s="1087">
        <f>'ARP Score'!$BF7/'ARP Score'!$G7*L6</f>
        <v>0</v>
      </c>
      <c r="M20" s="1087">
        <f>'ARP Score'!$BF7/'ARP Score'!$G7*M6</f>
        <v>0</v>
      </c>
      <c r="N20" s="1087"/>
      <c r="O20" s="1087"/>
      <c r="P20" s="1087"/>
      <c r="Q20" s="1087"/>
      <c r="R20" s="1087"/>
      <c r="S20" s="1087"/>
      <c r="T20" s="1087"/>
      <c r="U20" s="1087"/>
      <c r="V20" s="1087"/>
      <c r="W20" s="1087"/>
    </row>
    <row r="21" spans="1:23" x14ac:dyDescent="0.3">
      <c r="B21" s="1094" t="s">
        <v>416</v>
      </c>
      <c r="C21" s="1087">
        <f>15/40*(C6*'ARP Score'!$BD5/'ARP Score'!$G5)</f>
        <v>0</v>
      </c>
      <c r="D21" s="1087">
        <f>15/40*(D6*('ARP Score'!$BD5+'ARP Score'!$BE5)/'ARP Score'!$G5)</f>
        <v>13.2921</v>
      </c>
      <c r="E21" s="1087">
        <f>15/40*(E6*('ARP Score'!$BD5+'ARP Score'!$BE5)/'ARP Score'!$G5)</f>
        <v>60.552900000000008</v>
      </c>
      <c r="F21" s="1087">
        <f>15/40*(F6*('ARP Score'!$BD6+'ARP Score'!$BE6)/'ARP Score'!$G6)</f>
        <v>1.0687500000000001</v>
      </c>
      <c r="G21" s="1087">
        <f>15/40*(G6*('ARP Score'!$BD6+'ARP Score'!$BE6)/'ARP Score'!$G6)</f>
        <v>1.0687500000000001</v>
      </c>
      <c r="H21" s="1087">
        <f>15/40*(H6*('ARP Score'!$BD6+'ARP Score'!$BE6)/'ARP Score'!$G6)</f>
        <v>1.0687500000000001</v>
      </c>
      <c r="I21" s="1087">
        <f>15/40*(I6*('ARP Score'!$BD6+'ARP Score'!$BE6)/'ARP Score'!$G6)</f>
        <v>1.0687500000000001</v>
      </c>
      <c r="J21" s="1087">
        <f>15/40*(J6*('ARP Score'!$BD7+'ARP Score'!$BE7)/'ARP Score'!$G7)</f>
        <v>0.78750000000000009</v>
      </c>
      <c r="K21" s="1087">
        <f>15/40*(K6*('ARP Score'!$BD7+'ARP Score'!$BE7)/'ARP Score'!$G7)</f>
        <v>0.78750000000000009</v>
      </c>
      <c r="L21" s="1087">
        <f>15/40*(L6*('ARP Score'!$BD7+'ARP Score'!$BE7)/'ARP Score'!$G7)</f>
        <v>0.78750000000000009</v>
      </c>
      <c r="M21" s="1087">
        <f>15/40*(M6*('ARP Score'!$BD7+'ARP Score'!$BE7)/'ARP Score'!$G7)</f>
        <v>0.78750000000000009</v>
      </c>
      <c r="N21" s="1087"/>
      <c r="O21" s="1087"/>
      <c r="P21" s="1087"/>
      <c r="Q21" s="1087"/>
      <c r="R21" s="1087"/>
      <c r="S21" s="1087"/>
      <c r="T21" s="1087"/>
      <c r="U21" s="1087"/>
      <c r="V21" s="1087"/>
      <c r="W21" s="1087"/>
    </row>
    <row r="22" spans="1:23" x14ac:dyDescent="0.3">
      <c r="B22" s="1094" t="s">
        <v>779</v>
      </c>
      <c r="C22" s="1087"/>
      <c r="D22" s="1087">
        <f>D21/15*25</f>
        <v>22.153499999999998</v>
      </c>
      <c r="E22" s="1087">
        <f>E21/15*25</f>
        <v>100.92150000000002</v>
      </c>
      <c r="F22" s="1087">
        <f>F21/15*25</f>
        <v>1.7812500000000002</v>
      </c>
      <c r="G22" s="1087">
        <f>G21/15*25</f>
        <v>1.7812500000000002</v>
      </c>
      <c r="H22" s="1087">
        <f t="shared" ref="H22:J22" si="35">H21/15*25</f>
        <v>1.7812500000000002</v>
      </c>
      <c r="I22" s="1087">
        <f t="shared" si="35"/>
        <v>1.7812500000000002</v>
      </c>
      <c r="J22" s="1087">
        <f t="shared" si="35"/>
        <v>1.3125000000000002</v>
      </c>
      <c r="K22" s="1087">
        <f t="shared" ref="K22" si="36">K21/15*25</f>
        <v>1.3125000000000002</v>
      </c>
      <c r="L22" s="1087">
        <f t="shared" ref="L22" si="37">L21/15*25</f>
        <v>1.3125000000000002</v>
      </c>
      <c r="M22" s="1087">
        <f t="shared" ref="M22" si="38">M21/15*25</f>
        <v>1.3125000000000002</v>
      </c>
      <c r="N22" s="1087"/>
      <c r="O22" s="1087"/>
      <c r="P22" s="1087"/>
      <c r="Q22" s="1087"/>
      <c r="R22" s="1087"/>
      <c r="S22" s="1087"/>
      <c r="T22" s="1087"/>
      <c r="U22" s="1087"/>
      <c r="V22" s="1087"/>
      <c r="W22" s="1087"/>
    </row>
    <row r="23" spans="1:23" x14ac:dyDescent="0.3">
      <c r="B23" s="421" t="s">
        <v>428</v>
      </c>
      <c r="C23" s="1087">
        <f>'ARP Score'!$BB5/'ARP Score'!$G5*C6</f>
        <v>0</v>
      </c>
      <c r="D23" s="1087">
        <f>'ARP Score'!$BB5/'ARP Score'!$G5*D6</f>
        <v>2.9519999999999995</v>
      </c>
      <c r="E23" s="1087">
        <f>'ARP Score'!$BB5/'ARP Score'!$G5*E6</f>
        <v>13.448</v>
      </c>
      <c r="F23" s="1087">
        <f>'ARP Score'!$BB6/'ARP Score'!$G6*F6</f>
        <v>11.3</v>
      </c>
      <c r="G23" s="1087">
        <f>'ARP Score'!$BB6/'ARP Score'!$G6*G6</f>
        <v>11.3</v>
      </c>
      <c r="H23" s="1087">
        <f>'ARP Score'!$BB6/'ARP Score'!$G6*H6</f>
        <v>11.3</v>
      </c>
      <c r="I23" s="1087">
        <f>'ARP Score'!$BB6/'ARP Score'!$G6*I6</f>
        <v>11.3</v>
      </c>
      <c r="J23" s="1087">
        <f>'ARP Score'!$BB7/'ARP Score'!$G7*J6</f>
        <v>8.4</v>
      </c>
      <c r="K23" s="1087">
        <f>'ARP Score'!$BB7/'ARP Score'!$G7*K6</f>
        <v>8.4</v>
      </c>
      <c r="L23" s="1087">
        <f>'ARP Score'!$BB7/'ARP Score'!$G7*L6</f>
        <v>8.4</v>
      </c>
      <c r="M23" s="1087">
        <f>'ARP Score'!$BB7/'ARP Score'!$G7*M6</f>
        <v>8.4</v>
      </c>
      <c r="N23" s="1087">
        <f>'ARP Score'!$BB8/'ARP Score'!$G8*N6</f>
        <v>0.2</v>
      </c>
      <c r="O23" s="1087">
        <f>'ARP Score'!$BB8/'ARP Score'!$G8*O6</f>
        <v>0.2</v>
      </c>
      <c r="P23" s="1087">
        <f>'ARP Score'!$BB8/'ARP Score'!$G8*P6</f>
        <v>0.2</v>
      </c>
      <c r="Q23" s="1087">
        <f>'ARP Score'!$BB8/'ARP Score'!$G8*Q6</f>
        <v>0.2</v>
      </c>
      <c r="R23" s="1087"/>
      <c r="S23" s="1087"/>
      <c r="T23" s="1087"/>
      <c r="U23" s="1087"/>
      <c r="V23" s="1087"/>
      <c r="W23" s="1087"/>
    </row>
    <row r="24" spans="1:23" x14ac:dyDescent="0.3">
      <c r="B24" s="421" t="s">
        <v>429</v>
      </c>
      <c r="C24" s="1087">
        <f>'ARP Score'!$BH5/'ARP Score'!$G5*C6</f>
        <v>0</v>
      </c>
      <c r="D24" s="1087">
        <f>'ARP Score'!$BH5/'ARP Score'!$G5*D6</f>
        <v>-0.20447999999999997</v>
      </c>
      <c r="E24" s="1087">
        <f>'ARP Score'!$BH5/'ARP Score'!$G5*E6</f>
        <v>-0.93152000000000001</v>
      </c>
      <c r="F24" s="1087">
        <f>'ARP Score'!$BH6/'ARP Score'!$G6*F6</f>
        <v>81.608999999999995</v>
      </c>
      <c r="G24" s="1087">
        <f>'ARP Score'!$BH6/'ARP Score'!$G6*G6</f>
        <v>81.608999999999995</v>
      </c>
      <c r="H24" s="1087">
        <f>'ARP Score'!$BH6/'ARP Score'!$G6*H6</f>
        <v>81.608999999999995</v>
      </c>
      <c r="I24" s="1087">
        <f>'ARP Score'!$BH6/'ARP Score'!$G6*I6</f>
        <v>81.608999999999995</v>
      </c>
      <c r="J24" s="1087">
        <f>'ARP Score'!$BH7/'ARP Score'!$G7*J6</f>
        <v>1.3759999999999999</v>
      </c>
      <c r="K24" s="1087">
        <f>'ARP Score'!$BH7/'ARP Score'!$G7*K6</f>
        <v>1.3759999999999999</v>
      </c>
      <c r="L24" s="1087">
        <f>'ARP Score'!$BH7/'ARP Score'!$G7*L6</f>
        <v>1.3759999999999999</v>
      </c>
      <c r="M24" s="1087">
        <f>'ARP Score'!$BH7/'ARP Score'!$G7*M6</f>
        <v>1.3759999999999999</v>
      </c>
      <c r="N24" s="1087">
        <f>'ARP Score'!$BH8/'ARP Score'!$G8*N6</f>
        <v>-0.87500000000000011</v>
      </c>
      <c r="O24" s="1087">
        <f>'ARP Score'!$BH8/'ARP Score'!$G8*O6</f>
        <v>-0.87500000000000011</v>
      </c>
      <c r="P24" s="1087">
        <f>'ARP Score'!$BH8/'ARP Score'!$G8*P6</f>
        <v>-0.87500000000000011</v>
      </c>
      <c r="Q24" s="1087">
        <f>'ARP Score'!$BH8/'ARP Score'!$G8*Q6</f>
        <v>-0.87500000000000011</v>
      </c>
      <c r="R24" s="1087"/>
      <c r="S24" s="1087"/>
      <c r="T24" s="1087"/>
      <c r="U24" s="1087"/>
      <c r="V24" s="1087"/>
      <c r="W24" s="1087"/>
    </row>
    <row r="25" spans="1:23" x14ac:dyDescent="0.3">
      <c r="B25" s="421" t="s">
        <v>312</v>
      </c>
      <c r="C25" s="1087">
        <f>SUM(C18:C24)</f>
        <v>0</v>
      </c>
      <c r="D25" s="1087">
        <f t="shared" ref="D25:Q25" si="39">SUM(D18:D24)</f>
        <v>58.782959999999996</v>
      </c>
      <c r="E25" s="1087">
        <f t="shared" si="39"/>
        <v>267.78904000000006</v>
      </c>
      <c r="F25" s="1087">
        <f t="shared" si="39"/>
        <v>110.24799999999999</v>
      </c>
      <c r="G25" s="1087">
        <f t="shared" si="39"/>
        <v>110.24799999999999</v>
      </c>
      <c r="H25" s="1087">
        <f t="shared" si="39"/>
        <v>110.24799999999999</v>
      </c>
      <c r="I25" s="1087">
        <f t="shared" si="39"/>
        <v>110.24799999999999</v>
      </c>
      <c r="J25" s="1087">
        <f t="shared" si="39"/>
        <v>12.362</v>
      </c>
      <c r="K25" s="1087">
        <f t="shared" si="39"/>
        <v>12.362</v>
      </c>
      <c r="L25" s="1087">
        <f t="shared" si="39"/>
        <v>12.362</v>
      </c>
      <c r="M25" s="1087">
        <f t="shared" si="39"/>
        <v>12.362</v>
      </c>
      <c r="N25" s="1087">
        <f t="shared" si="39"/>
        <v>-0.67500000000000004</v>
      </c>
      <c r="O25" s="1087">
        <f t="shared" si="39"/>
        <v>-0.67500000000000004</v>
      </c>
      <c r="P25" s="1087">
        <f t="shared" si="39"/>
        <v>-0.67500000000000004</v>
      </c>
      <c r="Q25" s="1087">
        <f t="shared" si="39"/>
        <v>-0.67500000000000004</v>
      </c>
      <c r="R25" s="1087"/>
      <c r="S25" s="1087"/>
      <c r="T25" s="1087"/>
      <c r="U25" s="1087"/>
      <c r="V25" s="1087"/>
      <c r="W25" s="1087"/>
    </row>
    <row r="26" spans="1:23" x14ac:dyDescent="0.3">
      <c r="D26" s="1088">
        <f>D6-D25</f>
        <v>0</v>
      </c>
      <c r="E26" s="1088">
        <f t="shared" ref="E26:M26" si="40">E6-E25</f>
        <v>0</v>
      </c>
      <c r="F26" s="1088">
        <f t="shared" si="40"/>
        <v>0</v>
      </c>
      <c r="G26" s="1088">
        <f t="shared" si="40"/>
        <v>0</v>
      </c>
      <c r="H26" s="1088">
        <f t="shared" si="40"/>
        <v>0</v>
      </c>
      <c r="I26" s="1088">
        <f t="shared" si="40"/>
        <v>0</v>
      </c>
      <c r="J26" s="1088">
        <f t="shared" si="40"/>
        <v>0.36400000000000077</v>
      </c>
      <c r="K26" s="1088">
        <f t="shared" si="40"/>
        <v>0.36400000000000077</v>
      </c>
      <c r="L26" s="1088">
        <f t="shared" si="40"/>
        <v>0.36400000000000077</v>
      </c>
      <c r="M26" s="1088">
        <f t="shared" si="40"/>
        <v>0.36400000000000077</v>
      </c>
    </row>
    <row r="27" spans="1:23" x14ac:dyDescent="0.3">
      <c r="B27" s="1043" t="s">
        <v>780</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771</v>
      </c>
      <c r="U27" s="109" t="s">
        <v>772</v>
      </c>
      <c r="V27" s="109" t="s">
        <v>773</v>
      </c>
    </row>
    <row r="28" spans="1:23" x14ac:dyDescent="0.3">
      <c r="B28" s="33"/>
      <c r="C28" s="1088" t="s">
        <v>312</v>
      </c>
      <c r="D28" s="1090">
        <f>SUM(D29:D43)</f>
        <v>5.8765000000000009</v>
      </c>
      <c r="E28" s="1090">
        <f t="shared" ref="E28:V28" si="41">SUM(E29:E43)</f>
        <v>11.753000000000002</v>
      </c>
      <c r="F28" s="1090">
        <f t="shared" si="41"/>
        <v>15.762320000000003</v>
      </c>
      <c r="G28" s="1090">
        <f t="shared" si="41"/>
        <v>19.771640000000005</v>
      </c>
      <c r="H28" s="1090">
        <f t="shared" si="41"/>
        <v>23.812229000000006</v>
      </c>
      <c r="I28" s="1090">
        <f t="shared" si="41"/>
        <v>27.852818000000006</v>
      </c>
      <c r="J28" s="1090">
        <f t="shared" si="41"/>
        <v>30.517977000000005</v>
      </c>
      <c r="K28" s="1090">
        <f t="shared" si="41"/>
        <v>33.183136000000005</v>
      </c>
      <c r="L28" s="1090">
        <f t="shared" si="41"/>
        <v>36.260924000000003</v>
      </c>
      <c r="M28" s="1090">
        <f t="shared" si="41"/>
        <v>39.338711999999994</v>
      </c>
      <c r="N28" s="1090">
        <f t="shared" si="41"/>
        <v>40.928439999999995</v>
      </c>
      <c r="O28" s="1090">
        <f t="shared" si="41"/>
        <v>42.518167999999996</v>
      </c>
      <c r="P28" s="1090">
        <f t="shared" si="41"/>
        <v>44.428388999999996</v>
      </c>
      <c r="Q28" s="1090">
        <f t="shared" si="41"/>
        <v>46.338610000000003</v>
      </c>
      <c r="R28" s="1090">
        <f t="shared" si="41"/>
        <v>47.279744500000007</v>
      </c>
      <c r="S28" s="1090">
        <f t="shared" si="41"/>
        <v>46.283419000000009</v>
      </c>
      <c r="T28" s="1090">
        <f t="shared" si="41"/>
        <v>45.578489500000011</v>
      </c>
      <c r="U28" s="1090">
        <f t="shared" si="41"/>
        <v>45.454798000000011</v>
      </c>
      <c r="V28" s="1090">
        <f t="shared" si="41"/>
        <v>45.360580000000013</v>
      </c>
    </row>
    <row r="29" spans="1:23" x14ac:dyDescent="0.3">
      <c r="A29" s="1043">
        <v>2021</v>
      </c>
      <c r="B29" s="33" t="s">
        <v>781</v>
      </c>
      <c r="C29" s="1088"/>
      <c r="D29" s="1043">
        <f>($D$9+$D$10)*'ARP Timing'!B$16</f>
        <v>5.8765000000000009</v>
      </c>
      <c r="E29" s="1043">
        <f>($D$9+$D$10)*'ARP Timing'!C$16</f>
        <v>5.8765000000000009</v>
      </c>
      <c r="F29" s="1043">
        <f>($D$9+$D$10)*'ARP Timing'!D$16</f>
        <v>4.11355</v>
      </c>
      <c r="G29" s="1043">
        <f>($D$9+$D$10)*'ARP Timing'!E$16</f>
        <v>4.11355</v>
      </c>
      <c r="H29" s="1043">
        <f>($D$9+$D$10)*'ARP Timing'!F$16</f>
        <v>4.11355</v>
      </c>
      <c r="I29" s="1043">
        <f>($D$9+$D$10)*'ARP Timing'!G$16</f>
        <v>4.11355</v>
      </c>
      <c r="J29" s="1043">
        <f>($D$9+$D$10)*'ARP Timing'!H$16</f>
        <v>4.11355</v>
      </c>
      <c r="K29" s="1043">
        <f>($D$9+$D$10)*'ARP Timing'!I$16</f>
        <v>4.11355</v>
      </c>
      <c r="L29" s="1043">
        <f>($D$9+$D$10)*'ARP Timing'!J$16</f>
        <v>4.11355</v>
      </c>
      <c r="M29" s="1043">
        <f>($D$9+$D$10)*'ARP Timing'!K$16</f>
        <v>4.11355</v>
      </c>
      <c r="N29" s="1043">
        <f>($D$9+$D$10)*'ARP Timing'!L$16</f>
        <v>4.11355</v>
      </c>
      <c r="O29" s="1043">
        <f>($D$9+$D$10)*'ARP Timing'!M$16</f>
        <v>4.11355</v>
      </c>
      <c r="P29" s="1043">
        <f>($D$9+$D$10)*'ARP Timing'!N$16</f>
        <v>3.987625</v>
      </c>
      <c r="Q29" s="1043">
        <f>($D$9+$D$10)*'ARP Timing'!O$16</f>
        <v>3.987625</v>
      </c>
      <c r="R29" s="1043">
        <f>($D$9+$D$10)*'ARP Timing'!P$16</f>
        <v>3.987625</v>
      </c>
      <c r="S29" s="1043">
        <f>($D$9+$D$10)*'ARP Timing'!Q$16</f>
        <v>3.987625</v>
      </c>
      <c r="T29" s="1043">
        <f>($D$9+$D$10)*'ARP Timing'!R$16</f>
        <v>3.987625</v>
      </c>
      <c r="U29" s="1043">
        <f>($D$9+$D$10)*'ARP Timing'!S$16</f>
        <v>3.987625</v>
      </c>
      <c r="V29" s="1043">
        <f>($D$9+$D$10)*'ARP Timing'!T$16</f>
        <v>3.987625</v>
      </c>
    </row>
    <row r="30" spans="1:23" x14ac:dyDescent="0.3">
      <c r="B30" s="33" t="s">
        <v>331</v>
      </c>
      <c r="C30" s="1088"/>
      <c r="E30" s="1043">
        <f>($E$9+$E$10)*'ARP Timing'!B$16</f>
        <v>5.8765000000000009</v>
      </c>
      <c r="F30" s="1043">
        <f>($E$9+$E$10)*'ARP Timing'!C$16</f>
        <v>5.8765000000000009</v>
      </c>
      <c r="G30" s="1043">
        <f>($E$9+$E$10)*'ARP Timing'!D$16</f>
        <v>4.11355</v>
      </c>
      <c r="H30" s="1043">
        <f>($E$9+$E$10)*'ARP Timing'!E$16</f>
        <v>4.11355</v>
      </c>
      <c r="I30" s="1043">
        <f>($E$9+$E$10)*'ARP Timing'!F$16</f>
        <v>4.11355</v>
      </c>
      <c r="J30" s="1043">
        <f>($E$9+$E$10)*'ARP Timing'!G$16</f>
        <v>4.11355</v>
      </c>
      <c r="K30" s="1043">
        <f>($E$9+$E$10)*'ARP Timing'!H$16</f>
        <v>4.11355</v>
      </c>
      <c r="L30" s="1043">
        <f>($E$9+$E$10)*'ARP Timing'!I$16</f>
        <v>4.11355</v>
      </c>
      <c r="M30" s="1043">
        <f>($E$9+$E$10)*'ARP Timing'!J$16</f>
        <v>4.11355</v>
      </c>
      <c r="N30" s="1043">
        <f>($E$9+$E$10)*'ARP Timing'!K$16</f>
        <v>4.11355</v>
      </c>
      <c r="O30" s="1043">
        <f>($E$9+$E$10)*'ARP Timing'!L$16</f>
        <v>4.11355</v>
      </c>
      <c r="P30" s="1043">
        <f>($E$9+$E$10)*'ARP Timing'!M$16</f>
        <v>4.11355</v>
      </c>
      <c r="Q30" s="1043">
        <f>($E$9+$E$10)*'ARP Timing'!N$16</f>
        <v>3.987625</v>
      </c>
      <c r="R30" s="1043">
        <f>($E$9+$E$10)*'ARP Timing'!O$16</f>
        <v>3.987625</v>
      </c>
      <c r="S30" s="1043">
        <f>($E$9+$E$10)*'ARP Timing'!P$16</f>
        <v>3.987625</v>
      </c>
      <c r="T30" s="1043">
        <f>($E$9+$E$10)*'ARP Timing'!Q$16</f>
        <v>3.987625</v>
      </c>
      <c r="U30" s="1043">
        <f>($E$9+$E$10)*'ARP Timing'!R$16</f>
        <v>3.987625</v>
      </c>
      <c r="V30" s="1043">
        <f>($E$9+$E$10)*'ARP Timing'!S$16</f>
        <v>3.987625</v>
      </c>
    </row>
    <row r="31" spans="1:23" x14ac:dyDescent="0.3">
      <c r="B31" s="33" t="s">
        <v>782</v>
      </c>
      <c r="C31" s="1088"/>
      <c r="F31" s="1043">
        <f>($F$9+$F$10)*'ARP Timing'!B$16</f>
        <v>5.7722700000000016</v>
      </c>
      <c r="G31" s="1043">
        <f>($F$9+$F$10)*'ARP Timing'!C$16</f>
        <v>5.7722700000000016</v>
      </c>
      <c r="H31" s="1043">
        <f>($F$9+$F$10)*'ARP Timing'!D$16</f>
        <v>4.0405890000000007</v>
      </c>
      <c r="I31" s="1043">
        <f>($F$9+$F$10)*'ARP Timing'!E$16</f>
        <v>4.0405890000000007</v>
      </c>
      <c r="J31" s="1043">
        <f>($F$9+$F$10)*'ARP Timing'!F$16</f>
        <v>4.0405890000000007</v>
      </c>
      <c r="K31" s="1043">
        <f>($F$9+$F$10)*'ARP Timing'!G$16</f>
        <v>4.0405890000000007</v>
      </c>
      <c r="L31" s="1043">
        <f>($F$9+$F$10)*'ARP Timing'!H$16</f>
        <v>4.0405890000000007</v>
      </c>
      <c r="M31" s="1043">
        <f>($F$9+$F$10)*'ARP Timing'!I$16</f>
        <v>4.0405890000000007</v>
      </c>
      <c r="N31" s="1043">
        <f>($F$9+$F$10)*'ARP Timing'!J$16</f>
        <v>4.0405890000000007</v>
      </c>
      <c r="O31" s="1043">
        <f>($F$9+$F$10)*'ARP Timing'!K$16</f>
        <v>4.0405890000000007</v>
      </c>
      <c r="P31" s="1043">
        <f>($F$9+$F$10)*'ARP Timing'!L$16</f>
        <v>4.0405890000000007</v>
      </c>
      <c r="Q31" s="1043">
        <f>($F$9+$F$10)*'ARP Timing'!M$16</f>
        <v>4.0405890000000007</v>
      </c>
      <c r="R31" s="1043">
        <f>($F$9+$F$10)*'ARP Timing'!N$16</f>
        <v>3.9168975000000006</v>
      </c>
      <c r="S31" s="1043">
        <f>($F$9+$F$10)*'ARP Timing'!O$16</f>
        <v>3.9168975000000006</v>
      </c>
      <c r="T31" s="1043">
        <f>($F$9+$F$10)*'ARP Timing'!P$16</f>
        <v>3.9168975000000006</v>
      </c>
      <c r="U31" s="1043">
        <f>($F$9+$F$10)*'ARP Timing'!Q$16</f>
        <v>3.9168975000000006</v>
      </c>
      <c r="V31" s="1043">
        <f>($F$9+$F$10)*'ARP Timing'!R$16</f>
        <v>3.9168975000000006</v>
      </c>
    </row>
    <row r="32" spans="1:23" x14ac:dyDescent="0.3">
      <c r="A32" s="1043">
        <v>2022</v>
      </c>
      <c r="B32" s="33" t="s">
        <v>240</v>
      </c>
      <c r="C32" s="1088"/>
      <c r="G32" s="1043">
        <f>($G$9+$G$10)*'ARP Timing'!B$16</f>
        <v>5.7722700000000016</v>
      </c>
      <c r="H32" s="1043">
        <f>($G$9+$G$10)*'ARP Timing'!C$16</f>
        <v>5.7722700000000016</v>
      </c>
      <c r="I32" s="1043">
        <f>($G$9+$G$10)*'ARP Timing'!D$16</f>
        <v>4.0405890000000007</v>
      </c>
      <c r="J32" s="1043">
        <f>($G$9+$G$10)*'ARP Timing'!E$16</f>
        <v>4.0405890000000007</v>
      </c>
      <c r="K32" s="1043">
        <f>($G$9+$G$10)*'ARP Timing'!F$16</f>
        <v>4.0405890000000007</v>
      </c>
      <c r="L32" s="1043">
        <f>($G$9+$G$10)*'ARP Timing'!G$16</f>
        <v>4.0405890000000007</v>
      </c>
      <c r="M32" s="1043">
        <f>($G$9+$G$10)*'ARP Timing'!H$16</f>
        <v>4.0405890000000007</v>
      </c>
      <c r="N32" s="1043">
        <f>($G$9+$G$10)*'ARP Timing'!I$16</f>
        <v>4.0405890000000007</v>
      </c>
      <c r="O32" s="1043">
        <f>($G$9+$G$10)*'ARP Timing'!J$16</f>
        <v>4.0405890000000007</v>
      </c>
      <c r="P32" s="1043">
        <f>($G$9+$G$10)*'ARP Timing'!K$16</f>
        <v>4.0405890000000007</v>
      </c>
      <c r="Q32" s="1043">
        <f>($G$9+$G$10)*'ARP Timing'!L$16</f>
        <v>4.0405890000000007</v>
      </c>
      <c r="R32" s="1043">
        <f>($G$9+$G$10)*'ARP Timing'!M$16</f>
        <v>4.0405890000000007</v>
      </c>
      <c r="S32" s="1043">
        <f>($G$9+$G$10)*'ARP Timing'!N$16</f>
        <v>3.9168975000000006</v>
      </c>
      <c r="T32" s="1043">
        <f>($G$9+$G$10)*'ARP Timing'!O$16</f>
        <v>3.9168975000000006</v>
      </c>
      <c r="U32" s="1043">
        <f>($G$9+$G$10)*'ARP Timing'!P$16</f>
        <v>3.9168975000000006</v>
      </c>
      <c r="V32" s="1043">
        <f>($G$9+$G$10)*'ARP Timing'!Q$16</f>
        <v>3.9168975000000006</v>
      </c>
    </row>
    <row r="33" spans="1:23" x14ac:dyDescent="0.3">
      <c r="B33" s="33" t="s">
        <v>241</v>
      </c>
      <c r="C33" s="1088"/>
      <c r="H33" s="1043">
        <f>($H$9+$H$10)*'ARP Timing'!B$16</f>
        <v>5.7722700000000016</v>
      </c>
      <c r="I33" s="1043">
        <f>($H$9+$H$10)*'ARP Timing'!C$16</f>
        <v>5.7722700000000016</v>
      </c>
      <c r="J33" s="1043">
        <f>($H$9+$H$10)*'ARP Timing'!D$16</f>
        <v>4.0405890000000007</v>
      </c>
      <c r="K33" s="1043">
        <f>($H$9+$H$10)*'ARP Timing'!E$16</f>
        <v>4.0405890000000007</v>
      </c>
      <c r="L33" s="1043">
        <f>($H$9+$H$10)*'ARP Timing'!F$16</f>
        <v>4.0405890000000007</v>
      </c>
      <c r="M33" s="1043">
        <f>($H$9+$H$10)*'ARP Timing'!G$16</f>
        <v>4.0405890000000007</v>
      </c>
      <c r="N33" s="1043">
        <f>($H$9+$H$10)*'ARP Timing'!H$16</f>
        <v>4.0405890000000007</v>
      </c>
      <c r="O33" s="1043">
        <f>($H$9+$H$10)*'ARP Timing'!I$16</f>
        <v>4.0405890000000007</v>
      </c>
      <c r="P33" s="1043">
        <f>($H$9+$H$10)*'ARP Timing'!J$16</f>
        <v>4.0405890000000007</v>
      </c>
      <c r="Q33" s="1043">
        <f>($H$9+$H$10)*'ARP Timing'!K$16</f>
        <v>4.0405890000000007</v>
      </c>
      <c r="R33" s="1043">
        <f>($H$9+$H$10)*'ARP Timing'!L$16</f>
        <v>4.0405890000000007</v>
      </c>
      <c r="S33" s="1043">
        <f>($H$9+$H$10)*'ARP Timing'!M$16</f>
        <v>4.0405890000000007</v>
      </c>
      <c r="T33" s="1043">
        <f>($H$9+$H$10)*'ARP Timing'!N$16</f>
        <v>3.9168975000000006</v>
      </c>
      <c r="U33" s="1043">
        <f>($H$9+$H$10)*'ARP Timing'!O$16</f>
        <v>3.9168975000000006</v>
      </c>
      <c r="V33" s="1043">
        <f>($H$9+$H$10)*'ARP Timing'!P$16</f>
        <v>3.9168975000000006</v>
      </c>
    </row>
    <row r="34" spans="1:23" x14ac:dyDescent="0.3">
      <c r="B34" s="33" t="s">
        <v>331</v>
      </c>
      <c r="C34" s="1088"/>
      <c r="H34" s="1088"/>
      <c r="I34" s="1043">
        <f>($I$9+$I10)*'ARP Timing'!B$16</f>
        <v>5.7722700000000016</v>
      </c>
      <c r="J34" s="1043">
        <f>($I$9+$I10)*'ARP Timing'!C$16</f>
        <v>5.7722700000000016</v>
      </c>
      <c r="K34" s="1043">
        <f>($I$9+$I10)*'ARP Timing'!D$16</f>
        <v>4.0405890000000007</v>
      </c>
      <c r="L34" s="1043">
        <f>($I$9+$I10)*'ARP Timing'!E$16</f>
        <v>4.0405890000000007</v>
      </c>
      <c r="M34" s="1043">
        <f>($I$9+$I10)*'ARP Timing'!F$16</f>
        <v>4.0405890000000007</v>
      </c>
      <c r="N34" s="1043">
        <f>($I$9+$I10)*'ARP Timing'!G$16</f>
        <v>4.0405890000000007</v>
      </c>
      <c r="O34" s="1043">
        <f>($I$9+$I10)*'ARP Timing'!H$16</f>
        <v>4.0405890000000007</v>
      </c>
      <c r="P34" s="1043">
        <f>($I$9+$I10)*'ARP Timing'!I$16</f>
        <v>4.0405890000000007</v>
      </c>
      <c r="Q34" s="1043">
        <f>($I$9+$I10)*'ARP Timing'!J$16</f>
        <v>4.0405890000000007</v>
      </c>
      <c r="R34" s="1043">
        <f>($I$9+$I10)*'ARP Timing'!K$16</f>
        <v>4.0405890000000007</v>
      </c>
      <c r="S34" s="1043">
        <f>($I$9+$I10)*'ARP Timing'!L$16</f>
        <v>4.0405890000000007</v>
      </c>
      <c r="T34" s="1043">
        <f>($I$9+$I10)*'ARP Timing'!M$16</f>
        <v>4.0405890000000007</v>
      </c>
      <c r="U34" s="1043">
        <f>($I$9+$I10)*'ARP Timing'!N$16</f>
        <v>3.9168975000000006</v>
      </c>
      <c r="V34" s="1043">
        <f>($I$9+$I10)*'ARP Timing'!O$16</f>
        <v>3.9168975000000006</v>
      </c>
    </row>
    <row r="35" spans="1:23" x14ac:dyDescent="0.3">
      <c r="B35" s="33" t="s">
        <v>782</v>
      </c>
      <c r="C35" s="1088"/>
      <c r="H35" s="1088"/>
      <c r="J35" s="1043">
        <f>($J$9+$J$10)*'ARP Timing'!B$16</f>
        <v>4.3968400000000001</v>
      </c>
      <c r="K35" s="1043">
        <f>($J$9+$J$10)*'ARP Timing'!C$16</f>
        <v>4.3968400000000001</v>
      </c>
      <c r="L35" s="1043">
        <f>($J$9+$J$10)*'ARP Timing'!D$16</f>
        <v>3.077788</v>
      </c>
      <c r="M35" s="1043">
        <f>($J$9+$J$10)*'ARP Timing'!E$16</f>
        <v>3.077788</v>
      </c>
      <c r="N35" s="1043">
        <f>($J$9+$J$10)*'ARP Timing'!F$16</f>
        <v>3.077788</v>
      </c>
      <c r="O35" s="1043">
        <f>($J$9+$J$10)*'ARP Timing'!G$16</f>
        <v>3.077788</v>
      </c>
      <c r="P35" s="1043">
        <f>($J$9+$J$10)*'ARP Timing'!H$16</f>
        <v>3.077788</v>
      </c>
      <c r="Q35" s="1043">
        <f>($J$9+$J$10)*'ARP Timing'!I$16</f>
        <v>3.077788</v>
      </c>
      <c r="R35" s="1043">
        <f>($J$9+$J$10)*'ARP Timing'!J$16</f>
        <v>3.077788</v>
      </c>
      <c r="S35" s="1043">
        <f>($J$9+$J$10)*'ARP Timing'!K$16</f>
        <v>3.077788</v>
      </c>
      <c r="T35" s="1043">
        <f>($J$9+$J$10)*'ARP Timing'!L$16</f>
        <v>3.077788</v>
      </c>
      <c r="U35" s="1043">
        <f>($J$9+$J$10)*'ARP Timing'!M$16</f>
        <v>3.077788</v>
      </c>
      <c r="V35" s="1043">
        <f>($J$9+$J$10)*'ARP Timing'!N$16</f>
        <v>2.9835699999999998</v>
      </c>
    </row>
    <row r="36" spans="1:23" x14ac:dyDescent="0.3">
      <c r="A36" s="1043">
        <v>2023</v>
      </c>
      <c r="B36" s="33" t="s">
        <v>240</v>
      </c>
      <c r="C36" s="1088"/>
      <c r="H36" s="1088"/>
      <c r="K36" s="1043">
        <f>($K$9+$K$10)*'ARP Timing'!B$16</f>
        <v>4.3968400000000001</v>
      </c>
      <c r="L36" s="1043">
        <f>($K$9+$K$10)*'ARP Timing'!C$16</f>
        <v>4.3968400000000001</v>
      </c>
      <c r="M36" s="1043">
        <f>($K$9+$K$10)*'ARP Timing'!D$16</f>
        <v>3.077788</v>
      </c>
      <c r="N36" s="1043">
        <f>($K$9+$K$10)*'ARP Timing'!E$16</f>
        <v>3.077788</v>
      </c>
      <c r="O36" s="1043">
        <f>($K$9+$K$10)*'ARP Timing'!F$16</f>
        <v>3.077788</v>
      </c>
      <c r="P36" s="1043">
        <f>($K$9+$K$10)*'ARP Timing'!G$16</f>
        <v>3.077788</v>
      </c>
      <c r="Q36" s="1043">
        <f>($K$9+$K$10)*'ARP Timing'!H$16</f>
        <v>3.077788</v>
      </c>
      <c r="R36" s="1043">
        <f>($K$9+$K$10)*'ARP Timing'!I$16</f>
        <v>3.077788</v>
      </c>
      <c r="S36" s="1043">
        <f>($K$9+$K$10)*'ARP Timing'!J$16</f>
        <v>3.077788</v>
      </c>
      <c r="T36" s="1043">
        <f>($K$9+$K$10)*'ARP Timing'!K$16</f>
        <v>3.077788</v>
      </c>
      <c r="U36" s="1043">
        <f>($K$9+$K$10)*'ARP Timing'!L$16</f>
        <v>3.077788</v>
      </c>
      <c r="V36" s="1043">
        <f>($K$9+$K$10)*'ARP Timing'!M$16</f>
        <v>3.077788</v>
      </c>
    </row>
    <row r="37" spans="1:23" x14ac:dyDescent="0.3">
      <c r="B37" s="33" t="s">
        <v>241</v>
      </c>
      <c r="C37" s="1088"/>
      <c r="H37" s="1088"/>
      <c r="L37" s="1043">
        <f>($L$9+$L$10)*'ARP Timing'!B$16</f>
        <v>4.3968400000000001</v>
      </c>
      <c r="M37" s="1043">
        <f>($L$9+$L$10)*'ARP Timing'!C$16</f>
        <v>4.3968400000000001</v>
      </c>
      <c r="N37" s="1043">
        <f>($L$9+$L$10)*'ARP Timing'!D$16</f>
        <v>3.077788</v>
      </c>
      <c r="O37" s="1043">
        <f>($L$9+$L$10)*'ARP Timing'!E$16</f>
        <v>3.077788</v>
      </c>
      <c r="P37" s="1043">
        <f>($L$9+$L$10)*'ARP Timing'!F$16</f>
        <v>3.077788</v>
      </c>
      <c r="Q37" s="1043">
        <f>($L$9+$L$10)*'ARP Timing'!G$16</f>
        <v>3.077788</v>
      </c>
      <c r="R37" s="1043">
        <f>($L$9+$L$10)*'ARP Timing'!H$16</f>
        <v>3.077788</v>
      </c>
      <c r="S37" s="1043">
        <f>($L$9+$L$10)*'ARP Timing'!I$16</f>
        <v>3.077788</v>
      </c>
      <c r="T37" s="1043">
        <f>($L$9+$L$10)*'ARP Timing'!J$16</f>
        <v>3.077788</v>
      </c>
      <c r="U37" s="1043">
        <f>($L$9+$L$10)*'ARP Timing'!K$16</f>
        <v>3.077788</v>
      </c>
      <c r="V37" s="1043">
        <f>($L$9+$L$10)*'ARP Timing'!L$16</f>
        <v>3.077788</v>
      </c>
    </row>
    <row r="38" spans="1:23" x14ac:dyDescent="0.3">
      <c r="B38" s="33" t="s">
        <v>331</v>
      </c>
      <c r="C38" s="1088"/>
      <c r="H38" s="1088"/>
      <c r="M38" s="1043">
        <f>($M$9+$M$10)*'ARP Timing'!B$16</f>
        <v>4.3968400000000001</v>
      </c>
      <c r="N38" s="1043">
        <f>($M$9+$M$10)*'ARP Timing'!C$16</f>
        <v>4.3968400000000001</v>
      </c>
      <c r="O38" s="1043">
        <f>($M$9+$M$10)*'ARP Timing'!D$16</f>
        <v>3.077788</v>
      </c>
      <c r="P38" s="1043">
        <f>($M$9+$M$10)*'ARP Timing'!E$16</f>
        <v>3.077788</v>
      </c>
      <c r="Q38" s="1043">
        <f>($M$9+$M$10)*'ARP Timing'!F$16</f>
        <v>3.077788</v>
      </c>
      <c r="R38" s="1043">
        <f>($M$9+$M$10)*'ARP Timing'!G$16</f>
        <v>3.077788</v>
      </c>
      <c r="S38" s="1043">
        <f>($M$9+$M$10)*'ARP Timing'!H$16</f>
        <v>3.077788</v>
      </c>
      <c r="T38" s="1043">
        <f>($M$9+$M$10)*'ARP Timing'!I$16</f>
        <v>3.077788</v>
      </c>
      <c r="U38" s="1043">
        <f>($M$9+$M$10)*'ARP Timing'!J$16</f>
        <v>3.077788</v>
      </c>
      <c r="V38" s="1043">
        <f>($M$9+$M$10)*'ARP Timing'!K$16</f>
        <v>3.077788</v>
      </c>
    </row>
    <row r="39" spans="1:23" x14ac:dyDescent="0.3">
      <c r="B39" s="33" t="s">
        <v>782</v>
      </c>
      <c r="C39" s="1088"/>
      <c r="H39" s="1088"/>
      <c r="N39" s="1043">
        <f>($N$9+$N$10)*'ARP Timing'!B$16</f>
        <v>2.9087800000000006</v>
      </c>
      <c r="O39" s="1043">
        <f>($N$9+$N$10)*'ARP Timing'!C$16</f>
        <v>2.9087800000000006</v>
      </c>
      <c r="P39" s="1043">
        <f>($N$9+$N$10)*'ARP Timing'!D$16</f>
        <v>2.036146</v>
      </c>
      <c r="Q39" s="1043">
        <f>($N$9+$N$10)*'ARP Timing'!E$16</f>
        <v>2.036146</v>
      </c>
      <c r="R39" s="1043">
        <f>($N$9+$N$10)*'ARP Timing'!F$16</f>
        <v>2.036146</v>
      </c>
      <c r="S39" s="1043">
        <f>($N$9+$N$10)*'ARP Timing'!G$16</f>
        <v>2.036146</v>
      </c>
      <c r="T39" s="1043">
        <f>($N$9+$N$10)*'ARP Timing'!H$16</f>
        <v>2.036146</v>
      </c>
      <c r="U39" s="1043">
        <f>($N$9+$N$10)*'ARP Timing'!I$16</f>
        <v>2.036146</v>
      </c>
      <c r="V39" s="1043">
        <f>($N$9+$N$10)*'ARP Timing'!J$16</f>
        <v>2.036146</v>
      </c>
    </row>
    <row r="40" spans="1:23" x14ac:dyDescent="0.3">
      <c r="A40" s="1043">
        <v>2024</v>
      </c>
      <c r="B40" s="33" t="s">
        <v>240</v>
      </c>
      <c r="C40" s="1088"/>
      <c r="H40" s="1088"/>
      <c r="O40" s="1043">
        <f>($O$9+$O$10)*'ARP Timing'!B$16</f>
        <v>2.9087800000000006</v>
      </c>
      <c r="P40" s="1043">
        <f>($O$9+$O$10)*'ARP Timing'!C$16</f>
        <v>2.9087800000000006</v>
      </c>
      <c r="Q40" s="1043">
        <f>($O$9+$O$10)*'ARP Timing'!D$16</f>
        <v>2.036146</v>
      </c>
      <c r="R40" s="1043">
        <f>($O$9+$O$10)*'ARP Timing'!E$16</f>
        <v>2.036146</v>
      </c>
      <c r="S40" s="1043">
        <f>($O$9+$O$10)*'ARP Timing'!F$16</f>
        <v>2.036146</v>
      </c>
      <c r="T40" s="1043">
        <f>($O$9+$O$10)*'ARP Timing'!G$16</f>
        <v>2.036146</v>
      </c>
      <c r="U40" s="1043">
        <f>($O$9+$O$10)*'ARP Timing'!H$16</f>
        <v>2.036146</v>
      </c>
      <c r="V40" s="1043">
        <f>($O$9+$O$10)*'ARP Timing'!I$16</f>
        <v>2.036146</v>
      </c>
    </row>
    <row r="41" spans="1:23" x14ac:dyDescent="0.3">
      <c r="B41" s="33" t="s">
        <v>241</v>
      </c>
      <c r="C41" s="1088"/>
      <c r="H41" s="1088"/>
      <c r="P41" s="1043">
        <f>($P$9+$P$10)*'ARP Timing'!B$16</f>
        <v>2.9087800000000006</v>
      </c>
      <c r="Q41" s="1043">
        <f>($P$9+$P$10)*'ARP Timing'!C$16</f>
        <v>2.9087800000000006</v>
      </c>
      <c r="R41" s="1043">
        <f>($P$9+$P$10)*'ARP Timing'!D$16</f>
        <v>2.036146</v>
      </c>
      <c r="S41" s="1043">
        <f>($P$9+$P$10)*'ARP Timing'!E$16</f>
        <v>2.036146</v>
      </c>
      <c r="T41" s="1043">
        <f>($P$9+$P$10)*'ARP Timing'!F$16</f>
        <v>2.036146</v>
      </c>
      <c r="U41" s="1043">
        <f>($P$9+$P$10)*'ARP Timing'!G$16</f>
        <v>2.036146</v>
      </c>
      <c r="V41" s="1043">
        <f>($P$9+$P$10)*'ARP Timing'!H$16</f>
        <v>2.036146</v>
      </c>
    </row>
    <row r="42" spans="1:23" x14ac:dyDescent="0.3">
      <c r="B42" s="33" t="s">
        <v>331</v>
      </c>
      <c r="C42" s="1088"/>
      <c r="H42" s="1088"/>
      <c r="Q42" s="1043">
        <f>($Q$9+$Q$10)*'ARP Timing'!B$16</f>
        <v>2.9087800000000006</v>
      </c>
      <c r="R42" s="1043">
        <f>($Q$9+$Q$10)*'ARP Timing'!C$16</f>
        <v>2.9087800000000006</v>
      </c>
      <c r="S42" s="1043">
        <f>($Q$9+$Q$10)*'ARP Timing'!D$16</f>
        <v>2.036146</v>
      </c>
      <c r="T42" s="1043">
        <f>($Q$9+$Q$10)*'ARP Timing'!E$16</f>
        <v>2.036146</v>
      </c>
      <c r="U42" s="1043">
        <f>($Q$9+$Q$10)*'ARP Timing'!F$16</f>
        <v>2.036146</v>
      </c>
      <c r="V42" s="1043">
        <f>($Q$9+$Q$10)*'ARP Timing'!G$16</f>
        <v>2.036146</v>
      </c>
    </row>
    <row r="43" spans="1:23" x14ac:dyDescent="0.3">
      <c r="B43" s="33" t="s">
        <v>782</v>
      </c>
      <c r="C43" s="1088"/>
      <c r="H43" s="1088"/>
      <c r="R43" s="1043">
        <f>($R$9+$R$10)*'ARP Timing'!B$16</f>
        <v>1.9374600000000002</v>
      </c>
      <c r="S43" s="1043">
        <f>($R$9+$R$10)*'ARP Timing'!C$16</f>
        <v>1.9374600000000002</v>
      </c>
      <c r="T43" s="1043">
        <f>($R$9+$R$10)*'ARP Timing'!D$16</f>
        <v>1.356222</v>
      </c>
      <c r="U43" s="1043">
        <f>($R$9+$R$10)*'ARP Timing'!E$16</f>
        <v>1.356222</v>
      </c>
      <c r="V43" s="1043">
        <f>($R$9+$R$10)*'ARP Timing'!F$16</f>
        <v>1.356222</v>
      </c>
    </row>
    <row r="44" spans="1:23" x14ac:dyDescent="0.3">
      <c r="S44" s="1043">
        <f>($S$9+$S$10)*'ARP Timing'!B$16</f>
        <v>1.9374600000000002</v>
      </c>
      <c r="T44" s="1043">
        <f>($S$9+$S$10)*'ARP Timing'!C$16</f>
        <v>1.9374600000000002</v>
      </c>
      <c r="U44" s="1043">
        <f>($S$9+$S$10)*'ARP Timing'!D$16</f>
        <v>1.356222</v>
      </c>
      <c r="V44" s="1043">
        <f>($S$9+$S$10)*'ARP Timing'!E$16</f>
        <v>1.356222</v>
      </c>
    </row>
    <row r="46" spans="1:23" x14ac:dyDescent="0.3">
      <c r="B46" s="1043" t="s">
        <v>783</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771</v>
      </c>
      <c r="U46" s="109" t="s">
        <v>772</v>
      </c>
      <c r="V46" s="109" t="s">
        <v>773</v>
      </c>
    </row>
    <row r="47" spans="1:23" x14ac:dyDescent="0.3">
      <c r="B47" s="33"/>
      <c r="C47" s="1088" t="s">
        <v>312</v>
      </c>
      <c r="D47" s="1090">
        <f t="shared" ref="D47:U47" si="42">SUM(D48:D66)</f>
        <v>0</v>
      </c>
      <c r="E47" s="1090">
        <f t="shared" si="42"/>
        <v>0</v>
      </c>
      <c r="F47" s="1090">
        <f t="shared" si="42"/>
        <v>34.620851999999999</v>
      </c>
      <c r="G47" s="1090">
        <f t="shared" si="42"/>
        <v>50.996274799999995</v>
      </c>
      <c r="H47" s="1090">
        <f t="shared" si="42"/>
        <v>69.350031999999999</v>
      </c>
      <c r="I47" s="1090">
        <f t="shared" si="42"/>
        <v>79.295867999999999</v>
      </c>
      <c r="J47" s="1090">
        <f t="shared" si="42"/>
        <v>80.538927999999999</v>
      </c>
      <c r="K47" s="1090">
        <f t="shared" si="42"/>
        <v>80.122543199999996</v>
      </c>
      <c r="L47" s="1090">
        <f t="shared" si="42"/>
        <v>88.916719999999998</v>
      </c>
      <c r="M47" s="1090">
        <f t="shared" si="42"/>
        <v>92.213943999999998</v>
      </c>
      <c r="N47" s="1090">
        <f t="shared" si="42"/>
        <v>92.213943999999998</v>
      </c>
      <c r="O47" s="1090">
        <f t="shared" si="42"/>
        <v>94.213943999999998</v>
      </c>
      <c r="P47" s="1090">
        <f t="shared" si="42"/>
        <v>98.916719999999998</v>
      </c>
      <c r="Q47" s="1090">
        <f t="shared" si="42"/>
        <v>98.916719999999998</v>
      </c>
      <c r="R47" s="1090">
        <f t="shared" si="42"/>
        <v>99.081581199999988</v>
      </c>
      <c r="S47" s="1090">
        <f t="shared" si="42"/>
        <v>93.146578000000005</v>
      </c>
      <c r="T47" s="1090">
        <f t="shared" si="42"/>
        <v>86.552129999999991</v>
      </c>
      <c r="U47" s="1090">
        <f t="shared" si="42"/>
        <v>86.552129999999991</v>
      </c>
      <c r="V47" s="1090">
        <f>SUM(V48:V66)</f>
        <v>82.265738799999994</v>
      </c>
      <c r="W47" s="1043">
        <f>SUM(G47:V47)/4</f>
        <v>343.32344900000004</v>
      </c>
    </row>
    <row r="48" spans="1:23" x14ac:dyDescent="0.3">
      <c r="A48" s="1043">
        <v>2021</v>
      </c>
      <c r="B48" s="33" t="s">
        <v>781</v>
      </c>
      <c r="C48" s="1088"/>
      <c r="D48" s="1043">
        <f>($D$8)*'ARP Timing'!B17</f>
        <v>0</v>
      </c>
      <c r="E48" s="1043">
        <f>($D$8)*'ARP Timing'!C17</f>
        <v>0</v>
      </c>
      <c r="F48" s="1043">
        <f>($D$8)*'ARP Timing'!D17</f>
        <v>34.620851999999999</v>
      </c>
      <c r="G48" s="1043">
        <f>($D$8)*'ARP Timing'!E17</f>
        <v>45.996274799999995</v>
      </c>
      <c r="H48" s="1043">
        <f>($D$8)*'ARP Timing'!F17</f>
        <v>59.350031999999992</v>
      </c>
      <c r="I48" s="1043">
        <f>($D$8)*'ARP Timing'!G17</f>
        <v>64.295867999999999</v>
      </c>
      <c r="J48" s="1043">
        <f>($D$8)*'ARP Timing'!H17</f>
        <v>49.458359999999999</v>
      </c>
      <c r="K48" s="1043">
        <f>($D$8)*'ARP Timing'!I17</f>
        <v>49.458359999999999</v>
      </c>
      <c r="L48" s="1043">
        <f>($D$8)*'ARP Timing'!J17</f>
        <v>59.350031999999992</v>
      </c>
      <c r="M48" s="1043">
        <f>($D$8)*'ARP Timing'!K17</f>
        <v>59.350031999999992</v>
      </c>
      <c r="N48" s="1043">
        <f>($D$8)*'ARP Timing'!L17</f>
        <v>69.241703999999999</v>
      </c>
      <c r="O48" s="1043">
        <f>($D$8)*'ARP Timing'!M17</f>
        <v>69.241703999999999</v>
      </c>
      <c r="P48" s="1043">
        <f>($D$8)*'ARP Timing'!N17</f>
        <v>59.350031999999992</v>
      </c>
      <c r="Q48" s="1043">
        <f>($D$8)*'ARP Timing'!O17</f>
        <v>59.350031999999992</v>
      </c>
      <c r="R48" s="1043">
        <f>($D$8)*'ARP Timing'!P17</f>
        <v>52.920445199999989</v>
      </c>
      <c r="S48" s="1043">
        <f>($D$8)*'ARP Timing'!Q17</f>
        <v>46.985441999999992</v>
      </c>
      <c r="T48" s="1043">
        <f>($D$8)*'ARP Timing'!R17</f>
        <v>46.985441999999992</v>
      </c>
      <c r="U48" s="1043">
        <f>($D$8)*'ARP Timing'!S17</f>
        <v>46.985441999999992</v>
      </c>
      <c r="V48" s="1043">
        <f>($D$8)*'ARP Timing'!T17</f>
        <v>46.985441999999992</v>
      </c>
    </row>
    <row r="49" spans="1:22" x14ac:dyDescent="0.3">
      <c r="B49" s="33" t="s">
        <v>331</v>
      </c>
      <c r="C49" s="1088"/>
      <c r="E49" s="1043">
        <f>($E$8)*'ARP Timing'!B$17</f>
        <v>0</v>
      </c>
      <c r="F49" s="1043">
        <f>($E$8)*'ARP Timing'!C$16</f>
        <v>0</v>
      </c>
      <c r="G49" s="1043">
        <f>($E$8)*'ARP Timing'!D$16</f>
        <v>0</v>
      </c>
      <c r="H49" s="1043">
        <f>($E$8)*'ARP Timing'!E$16</f>
        <v>0</v>
      </c>
      <c r="I49" s="1043">
        <f>($E$8)*'ARP Timing'!F$16</f>
        <v>0</v>
      </c>
      <c r="J49" s="1043">
        <f>($E$8)*'ARP Timing'!G$16</f>
        <v>0</v>
      </c>
      <c r="K49" s="1043">
        <f>($E$8)*'ARP Timing'!H$16</f>
        <v>0</v>
      </c>
      <c r="L49" s="1043">
        <f>($E$8)*'ARP Timing'!I$16</f>
        <v>0</v>
      </c>
      <c r="M49" s="1043">
        <f>($E$8)*'ARP Timing'!J$16</f>
        <v>0</v>
      </c>
      <c r="N49" s="1043">
        <f>($E$8)*'ARP Timing'!K$16</f>
        <v>0</v>
      </c>
      <c r="O49" s="1043">
        <f>($E$8)*'ARP Timing'!L$16</f>
        <v>0</v>
      </c>
      <c r="P49" s="1043">
        <f>($E$8)*'ARP Timing'!M$16</f>
        <v>0</v>
      </c>
      <c r="Q49" s="1043">
        <f>($E$8)*'ARP Timing'!N$16</f>
        <v>0</v>
      </c>
      <c r="R49" s="1043">
        <f>($E$8)*'ARP Timing'!O$16</f>
        <v>0</v>
      </c>
      <c r="S49" s="1043">
        <f>($E$8)*'ARP Timing'!P$16</f>
        <v>0</v>
      </c>
      <c r="T49" s="1043">
        <f>($E$8)*'ARP Timing'!Q$16</f>
        <v>0</v>
      </c>
      <c r="U49" s="1043">
        <f>($E$8)*'ARP Timing'!R$16</f>
        <v>0</v>
      </c>
      <c r="V49" s="1043">
        <f>($E$8)*'ARP Timing'!S$16</f>
        <v>0</v>
      </c>
    </row>
    <row r="50" spans="1:22" x14ac:dyDescent="0.3">
      <c r="B50" s="33" t="s">
        <v>782</v>
      </c>
      <c r="C50" s="1088"/>
      <c r="F50" s="1043">
        <f>($F$8)*'ARP Timing'!C$17</f>
        <v>0</v>
      </c>
      <c r="G50" s="1043">
        <f>($F$8)*'ARP Timing'!D$17</f>
        <v>0</v>
      </c>
      <c r="H50" s="1043">
        <f>($F$8)*'ARP Timing'!E$17</f>
        <v>0</v>
      </c>
      <c r="I50" s="1043">
        <f>($F$8)*'ARP Timing'!F$17</f>
        <v>0</v>
      </c>
      <c r="J50" s="1043">
        <f>($F$8)*'ARP Timing'!G$17</f>
        <v>0</v>
      </c>
      <c r="K50" s="1043">
        <f>($F$8)*'ARP Timing'!H$17</f>
        <v>0</v>
      </c>
      <c r="L50" s="1043">
        <f>($F$8)*'ARP Timing'!I$17</f>
        <v>0</v>
      </c>
      <c r="M50" s="1043">
        <f>($F$8)*'ARP Timing'!J$17</f>
        <v>0</v>
      </c>
      <c r="N50" s="1043">
        <f>($F$8)*'ARP Timing'!K$17</f>
        <v>0</v>
      </c>
      <c r="O50" s="1043">
        <f>($F$8)*'ARP Timing'!L$17</f>
        <v>0</v>
      </c>
      <c r="P50" s="1043">
        <f>($F$8)*'ARP Timing'!M$17</f>
        <v>0</v>
      </c>
      <c r="Q50" s="1043">
        <f>($F$8)*'ARP Timing'!N$17</f>
        <v>0</v>
      </c>
      <c r="R50" s="1043">
        <f>($F$8)*'ARP Timing'!O$17</f>
        <v>0</v>
      </c>
      <c r="S50" s="1043">
        <f>($F$8)*'ARP Timing'!P$17</f>
        <v>0</v>
      </c>
      <c r="T50" s="1043">
        <f>($F$8)*'ARP Timing'!Q$17</f>
        <v>0</v>
      </c>
      <c r="U50" s="1043">
        <f>($F$8)*'ARP Timing'!R$17</f>
        <v>0</v>
      </c>
      <c r="V50" s="1043">
        <f>($F$8)*'ARP Timing'!S$17</f>
        <v>0</v>
      </c>
    </row>
    <row r="51" spans="1:22" x14ac:dyDescent="0.3">
      <c r="A51" s="1043">
        <v>2022</v>
      </c>
      <c r="B51" s="33" t="s">
        <v>240</v>
      </c>
      <c r="C51" s="1088"/>
      <c r="G51" s="1043">
        <f>($G$8)*'ARP Timing'!D$17</f>
        <v>0</v>
      </c>
      <c r="H51" s="1043">
        <f>($G$8)*'ARP Timing'!E$17</f>
        <v>0</v>
      </c>
      <c r="I51" s="1043">
        <f>($G$8)*'ARP Timing'!F$17</f>
        <v>0</v>
      </c>
      <c r="J51" s="1043">
        <f>($G$8)*'ARP Timing'!G$17</f>
        <v>0</v>
      </c>
      <c r="K51" s="1043">
        <f>($G$8)*'ARP Timing'!H$17</f>
        <v>0</v>
      </c>
      <c r="L51" s="1043">
        <f>($G$8)*'ARP Timing'!I$17</f>
        <v>0</v>
      </c>
      <c r="M51" s="1043">
        <f>($G$8)*'ARP Timing'!J$17</f>
        <v>0</v>
      </c>
      <c r="N51" s="1043">
        <f>($G$8)*'ARP Timing'!K$17</f>
        <v>0</v>
      </c>
      <c r="O51" s="1043">
        <f>($G$8)*'ARP Timing'!L$17</f>
        <v>0</v>
      </c>
      <c r="P51" s="1043">
        <f>($G$8)*'ARP Timing'!M$17</f>
        <v>0</v>
      </c>
      <c r="Q51" s="1043">
        <f>($G$8)*'ARP Timing'!N$17</f>
        <v>0</v>
      </c>
      <c r="R51" s="1043">
        <f>($G$8)*'ARP Timing'!O$17</f>
        <v>0</v>
      </c>
      <c r="S51" s="1043">
        <f>($G$8)*'ARP Timing'!P$17</f>
        <v>0</v>
      </c>
      <c r="T51" s="1043">
        <f>($G$8)*'ARP Timing'!Q$17</f>
        <v>0</v>
      </c>
      <c r="U51" s="1043">
        <f>($G$8)*'ARP Timing'!R$17</f>
        <v>0</v>
      </c>
      <c r="V51" s="1043">
        <f>($G$8)*'ARP Timing'!S$17</f>
        <v>0</v>
      </c>
    </row>
    <row r="52" spans="1:22" x14ac:dyDescent="0.3">
      <c r="B52" s="33" t="s">
        <v>241</v>
      </c>
      <c r="C52" s="1088"/>
      <c r="H52" s="1043">
        <f>($H$8)*'ARP Timing'!B$17</f>
        <v>0</v>
      </c>
      <c r="I52" s="1043">
        <f>($H$8)*'ARP Timing'!C$17</f>
        <v>0</v>
      </c>
      <c r="J52" s="1043">
        <f>($H$8)*'ARP Timing'!D$17</f>
        <v>23.080568000000003</v>
      </c>
      <c r="K52" s="1043">
        <f>($H$8)*'ARP Timing'!E$17</f>
        <v>30.6641832</v>
      </c>
      <c r="L52" s="1043">
        <f>($H$8)*'ARP Timing'!F$17</f>
        <v>39.566687999999999</v>
      </c>
      <c r="M52" s="1043">
        <f>($H$8)*'ARP Timing'!G$17</f>
        <v>42.863911999999999</v>
      </c>
      <c r="N52" s="1043">
        <f>($H$8)*'ARP Timing'!H$17</f>
        <v>32.972239999999999</v>
      </c>
      <c r="O52" s="1043">
        <f>($H$8)*'ARP Timing'!I$17</f>
        <v>32.972239999999999</v>
      </c>
      <c r="P52" s="1043">
        <f>($H$8)*'ARP Timing'!J$17</f>
        <v>39.566687999999999</v>
      </c>
      <c r="Q52" s="1043">
        <f>($H$8)*'ARP Timing'!K$17</f>
        <v>39.566687999999999</v>
      </c>
      <c r="R52" s="1043">
        <f>($H$8)*'ARP Timing'!L$17</f>
        <v>46.161136000000006</v>
      </c>
      <c r="S52" s="1043">
        <f>($H$8)*'ARP Timing'!M$17</f>
        <v>46.161136000000006</v>
      </c>
      <c r="T52" s="1043">
        <f>($H$8)*'ARP Timing'!N$17</f>
        <v>39.566687999999999</v>
      </c>
      <c r="U52" s="1043">
        <f>($H$8)*'ARP Timing'!O$17</f>
        <v>39.566687999999999</v>
      </c>
      <c r="V52" s="1043">
        <f>($H$8)*'ARP Timing'!P$17</f>
        <v>35.280296800000002</v>
      </c>
    </row>
    <row r="53" spans="1:22" x14ac:dyDescent="0.3">
      <c r="B53" s="33" t="s">
        <v>331</v>
      </c>
      <c r="C53" s="1088"/>
      <c r="H53" s="1088"/>
      <c r="I53" s="1043">
        <f>($I$8)*'ARP Timing'!B$17</f>
        <v>0</v>
      </c>
      <c r="J53" s="1043">
        <f>($I$8)*'ARP Timing'!C$17</f>
        <v>0</v>
      </c>
      <c r="K53" s="1043">
        <f>($I$8)*'ARP Timing'!D$17</f>
        <v>0</v>
      </c>
      <c r="L53" s="1043">
        <f>($I$8)*'ARP Timing'!E$17</f>
        <v>0</v>
      </c>
      <c r="M53" s="1043">
        <f>($I$8)*'ARP Timing'!F$17</f>
        <v>0</v>
      </c>
      <c r="N53" s="1043">
        <f>($I$8)*'ARP Timing'!G$17</f>
        <v>0</v>
      </c>
      <c r="O53" s="1043">
        <f>($I$8)*'ARP Timing'!H$17</f>
        <v>0</v>
      </c>
      <c r="P53" s="1043">
        <f>($I$8)*'ARP Timing'!I$17</f>
        <v>0</v>
      </c>
      <c r="Q53" s="1043">
        <f>($I$8)*'ARP Timing'!J$17</f>
        <v>0</v>
      </c>
      <c r="R53" s="1043">
        <f>($I$8)*'ARP Timing'!K$17</f>
        <v>0</v>
      </c>
      <c r="S53" s="1043">
        <f>($I$8)*'ARP Timing'!L$17</f>
        <v>0</v>
      </c>
      <c r="T53" s="1043">
        <f>($I$8)*'ARP Timing'!M$17</f>
        <v>0</v>
      </c>
      <c r="U53" s="1043">
        <f>($I$8)*'ARP Timing'!N$17</f>
        <v>0</v>
      </c>
      <c r="V53" s="1043">
        <f>($I$8)*'ARP Timing'!O$17</f>
        <v>0</v>
      </c>
    </row>
    <row r="54" spans="1:22" x14ac:dyDescent="0.3">
      <c r="B54" s="33" t="s">
        <v>782</v>
      </c>
      <c r="C54" s="1088"/>
      <c r="H54" s="1088"/>
    </row>
    <row r="55" spans="1:22" x14ac:dyDescent="0.3">
      <c r="A55" s="1043">
        <v>2023</v>
      </c>
      <c r="B55" s="33" t="s">
        <v>240</v>
      </c>
      <c r="C55" s="1088"/>
      <c r="H55" s="1088"/>
    </row>
    <row r="56" spans="1:22" x14ac:dyDescent="0.3">
      <c r="B56" s="33" t="s">
        <v>241</v>
      </c>
      <c r="C56" s="1088"/>
      <c r="H56" s="1088"/>
    </row>
    <row r="57" spans="1:22" x14ac:dyDescent="0.3">
      <c r="B57" s="33" t="s">
        <v>331</v>
      </c>
      <c r="C57" s="1088"/>
      <c r="H57" s="1088"/>
    </row>
    <row r="58" spans="1:22" x14ac:dyDescent="0.3">
      <c r="B58" s="33" t="s">
        <v>782</v>
      </c>
      <c r="C58" s="1088"/>
      <c r="H58" s="1088"/>
    </row>
    <row r="59" spans="1:22" x14ac:dyDescent="0.3">
      <c r="A59" s="1043">
        <v>2024</v>
      </c>
      <c r="B59" s="33" t="s">
        <v>240</v>
      </c>
      <c r="C59" s="1088"/>
      <c r="H59" s="1088"/>
    </row>
    <row r="60" spans="1:22" x14ac:dyDescent="0.3">
      <c r="B60" s="33" t="s">
        <v>241</v>
      </c>
      <c r="C60" s="1088"/>
      <c r="H60" s="1088"/>
    </row>
    <row r="61" spans="1:22" x14ac:dyDescent="0.3">
      <c r="B61" s="33" t="s">
        <v>331</v>
      </c>
      <c r="C61" s="1088"/>
      <c r="H61" s="1088"/>
    </row>
    <row r="62" spans="1:22" x14ac:dyDescent="0.3">
      <c r="B62" s="33" t="s">
        <v>782</v>
      </c>
      <c r="C62" s="1088"/>
      <c r="H62" s="1088"/>
    </row>
    <row r="63" spans="1:22" x14ac:dyDescent="0.3">
      <c r="A63" t="s">
        <v>899</v>
      </c>
      <c r="B63" s="33"/>
      <c r="C63" s="1088"/>
      <c r="G63">
        <v>5</v>
      </c>
      <c r="H63" s="1088">
        <v>10</v>
      </c>
      <c r="I63">
        <v>15</v>
      </c>
      <c r="J63">
        <v>8</v>
      </c>
      <c r="K63">
        <v>0</v>
      </c>
      <c r="L63">
        <v>-10</v>
      </c>
      <c r="M63">
        <v>-10</v>
      </c>
      <c r="N63">
        <v>-10</v>
      </c>
      <c r="O63">
        <v>-8</v>
      </c>
    </row>
    <row r="64" spans="1:22" x14ac:dyDescent="0.3">
      <c r="B64" s="33"/>
      <c r="C64" s="1088"/>
      <c r="H64" s="1088"/>
    </row>
    <row r="65" spans="2:24" x14ac:dyDescent="0.3">
      <c r="B65" s="33"/>
      <c r="C65" s="1088"/>
      <c r="H65" s="1088"/>
    </row>
    <row r="66" spans="2:24" x14ac:dyDescent="0.3">
      <c r="B66" s="33"/>
      <c r="C66" s="1088"/>
      <c r="H66" s="1088"/>
    </row>
    <row r="67" spans="2:24" x14ac:dyDescent="0.3">
      <c r="B67" s="33"/>
      <c r="C67" s="1088"/>
      <c r="H67" s="1088"/>
    </row>
    <row r="68" spans="2:24" x14ac:dyDescent="0.3">
      <c r="B68" s="33"/>
      <c r="C68" s="1088"/>
      <c r="H68" s="1088"/>
    </row>
    <row r="69" spans="2:24" x14ac:dyDescent="0.3">
      <c r="B69" s="33"/>
      <c r="C69" s="1088"/>
      <c r="H69" s="1088"/>
    </row>
    <row r="70" spans="2:24" x14ac:dyDescent="0.3">
      <c r="B70" s="33"/>
      <c r="C70" s="1088"/>
      <c r="H70" s="1088"/>
    </row>
    <row r="71" spans="2:24" x14ac:dyDescent="0.3">
      <c r="B71" s="33"/>
      <c r="C71" s="1088"/>
      <c r="H71" s="1088"/>
    </row>
    <row r="72" spans="2:24" x14ac:dyDescent="0.3">
      <c r="B72" s="33"/>
      <c r="C72" s="1088"/>
      <c r="H72" s="1088"/>
    </row>
    <row r="73" spans="2:24" x14ac:dyDescent="0.3">
      <c r="B73" s="33" t="s">
        <v>784</v>
      </c>
      <c r="C73" s="1086">
        <v>2021</v>
      </c>
      <c r="D73" s="1086">
        <v>2022</v>
      </c>
      <c r="E73" s="1086">
        <v>2023</v>
      </c>
      <c r="F73" s="1086">
        <v>2024</v>
      </c>
      <c r="G73" s="1086">
        <v>2025</v>
      </c>
      <c r="H73" s="1088"/>
    </row>
    <row r="74" spans="2:24" x14ac:dyDescent="0.3">
      <c r="B74" s="33" t="s">
        <v>681</v>
      </c>
      <c r="C74" s="1091">
        <f t="shared" ref="C74:C85" si="43">SUM(C4:E4)/4</f>
        <v>0.77600000000001046</v>
      </c>
      <c r="D74" s="1091">
        <f t="shared" ref="D74:D85" si="44">SUM(F4:I4)/4</f>
        <v>19.719000000000005</v>
      </c>
      <c r="E74" s="1091">
        <f t="shared" ref="E74:E85" si="45">SUM(J4:M4)/4</f>
        <v>1.4159999999999999</v>
      </c>
      <c r="F74" s="1091">
        <f t="shared" ref="F74:F85" si="46">SUM(N4:Q4)/4</f>
        <v>1.4790000000000001</v>
      </c>
      <c r="G74" s="1091">
        <f t="shared" ref="G74:G85" si="47">SUM(R4:U4)/4</f>
        <v>1.63</v>
      </c>
    </row>
    <row r="75" spans="2:24" x14ac:dyDescent="0.3">
      <c r="B75" s="33" t="s">
        <v>682</v>
      </c>
      <c r="C75" s="1091">
        <f t="shared" si="43"/>
        <v>19.722000000000016</v>
      </c>
      <c r="D75" s="1091">
        <f t="shared" si="44"/>
        <v>52.756999999999998</v>
      </c>
      <c r="E75" s="1091">
        <f t="shared" si="45"/>
        <v>12</v>
      </c>
      <c r="F75" s="1091">
        <f t="shared" si="46"/>
        <v>4.2219999999999995</v>
      </c>
      <c r="G75" s="1091">
        <f t="shared" si="47"/>
        <v>2.3719999999999999</v>
      </c>
      <c r="H75" s="1088"/>
    </row>
    <row r="76" spans="2:24" x14ac:dyDescent="0.3">
      <c r="B76" s="33" t="s">
        <v>52</v>
      </c>
      <c r="C76" s="1091">
        <f t="shared" si="43"/>
        <v>81.643000000000001</v>
      </c>
      <c r="D76" s="1091">
        <f t="shared" si="44"/>
        <v>110.24799999999999</v>
      </c>
      <c r="E76" s="1091">
        <f t="shared" si="45"/>
        <v>12.726000000000001</v>
      </c>
      <c r="F76" s="1091">
        <f t="shared" si="46"/>
        <v>1.365</v>
      </c>
      <c r="G76" s="1091">
        <f t="shared" si="47"/>
        <v>-0.90100000000000025</v>
      </c>
      <c r="H76" s="1088"/>
      <c r="O76" s="33"/>
      <c r="P76" s="33"/>
      <c r="Q76" s="33"/>
      <c r="R76" s="33"/>
      <c r="S76" s="1092"/>
      <c r="T76" s="1092"/>
      <c r="U76" s="1092"/>
      <c r="V76" s="14"/>
      <c r="W76" s="33"/>
      <c r="X76" s="33"/>
    </row>
    <row r="77" spans="2:24" x14ac:dyDescent="0.3">
      <c r="B77" s="33" t="s">
        <v>131</v>
      </c>
      <c r="C77" s="1091">
        <f t="shared" si="43"/>
        <v>7.798</v>
      </c>
      <c r="D77" s="1091">
        <f t="shared" si="44"/>
        <v>7.9489999999999998</v>
      </c>
      <c r="E77" s="1091">
        <f t="shared" si="45"/>
        <v>4.7519999999999998</v>
      </c>
      <c r="F77" s="1091">
        <f t="shared" si="46"/>
        <v>4.637999999999999</v>
      </c>
      <c r="G77" s="1091">
        <f t="shared" si="47"/>
        <v>1.8800000000000001</v>
      </c>
      <c r="H77" s="1088"/>
    </row>
    <row r="78" spans="2:24" x14ac:dyDescent="0.3">
      <c r="B78" s="1089" t="s">
        <v>348</v>
      </c>
      <c r="C78" s="1091">
        <f t="shared" si="43"/>
        <v>247.29179999999997</v>
      </c>
      <c r="D78" s="1091">
        <f t="shared" si="44"/>
        <v>164.8612</v>
      </c>
      <c r="E78" s="1091">
        <f t="shared" si="45"/>
        <v>0</v>
      </c>
      <c r="F78" s="1091">
        <f t="shared" si="46"/>
        <v>0</v>
      </c>
      <c r="G78" s="1091">
        <f t="shared" si="47"/>
        <v>0</v>
      </c>
      <c r="H78" s="1088"/>
      <c r="R78" s="1056"/>
      <c r="S78" s="1056"/>
    </row>
    <row r="79" spans="2:24" x14ac:dyDescent="0.3">
      <c r="B79" s="1089" t="s">
        <v>150</v>
      </c>
      <c r="C79" s="1091">
        <f t="shared" si="43"/>
        <v>12.347</v>
      </c>
      <c r="D79" s="1091">
        <f t="shared" si="44"/>
        <v>46.79</v>
      </c>
      <c r="E79" s="1091">
        <f t="shared" si="45"/>
        <v>38.595999999999997</v>
      </c>
      <c r="F79" s="1091">
        <f t="shared" si="46"/>
        <v>31.911000000000001</v>
      </c>
      <c r="G79" s="1091">
        <f t="shared" si="47"/>
        <v>23.099</v>
      </c>
      <c r="H79" s="1088"/>
      <c r="R79" s="1056"/>
      <c r="S79" s="1056"/>
    </row>
    <row r="80" spans="2:24" x14ac:dyDescent="0.3">
      <c r="B80" s="1089" t="s">
        <v>364</v>
      </c>
      <c r="C80" s="1091">
        <f t="shared" si="43"/>
        <v>29.628</v>
      </c>
      <c r="D80" s="1091">
        <f t="shared" si="44"/>
        <v>35.671000000000006</v>
      </c>
      <c r="E80" s="1091">
        <f t="shared" si="45"/>
        <v>24.216000000000001</v>
      </c>
      <c r="F80" s="1091">
        <f t="shared" si="46"/>
        <v>9.6430000000000007</v>
      </c>
      <c r="G80" s="1091">
        <f t="shared" si="47"/>
        <v>4.5789999999999997</v>
      </c>
      <c r="H80" s="1088"/>
      <c r="R80" s="1056"/>
      <c r="S80" s="1056"/>
    </row>
    <row r="81" spans="2:19" x14ac:dyDescent="0.3">
      <c r="B81" s="14" t="s">
        <v>159</v>
      </c>
      <c r="C81" s="1091">
        <f t="shared" si="43"/>
        <v>25.75</v>
      </c>
      <c r="D81" s="1091">
        <f t="shared" si="44"/>
        <v>0</v>
      </c>
      <c r="E81" s="1091">
        <f t="shared" si="45"/>
        <v>0</v>
      </c>
      <c r="F81" s="1091">
        <f t="shared" si="46"/>
        <v>0</v>
      </c>
      <c r="G81" s="1091">
        <f t="shared" si="47"/>
        <v>0</v>
      </c>
      <c r="H81" s="1088"/>
      <c r="R81" s="1056"/>
      <c r="S81" s="1056"/>
    </row>
    <row r="82" spans="2:19" x14ac:dyDescent="0.3">
      <c r="B82" s="33" t="s">
        <v>109</v>
      </c>
      <c r="C82" s="1091">
        <f t="shared" si="43"/>
        <v>31.939</v>
      </c>
      <c r="D82" s="1091">
        <f t="shared" si="44"/>
        <v>56.413000000000004</v>
      </c>
      <c r="E82" s="1091">
        <f t="shared" si="45"/>
        <v>15.652999999999999</v>
      </c>
      <c r="F82" s="1091">
        <f t="shared" si="46"/>
        <v>3.9320000000000004</v>
      </c>
      <c r="G82" s="1091">
        <f t="shared" si="47"/>
        <v>-0.74299999999999988</v>
      </c>
      <c r="R82" s="1056"/>
      <c r="S82" s="1056"/>
    </row>
    <row r="83" spans="2:19" x14ac:dyDescent="0.3">
      <c r="B83" s="1043" t="s">
        <v>775</v>
      </c>
      <c r="C83" s="1091">
        <f t="shared" si="43"/>
        <v>1.02</v>
      </c>
      <c r="D83" s="1091">
        <f t="shared" si="44"/>
        <v>1.5299999999999998</v>
      </c>
      <c r="E83" s="1091">
        <f t="shared" si="45"/>
        <v>0</v>
      </c>
      <c r="F83" s="1091">
        <f t="shared" si="46"/>
        <v>0</v>
      </c>
      <c r="G83" s="1091">
        <f t="shared" si="47"/>
        <v>0</v>
      </c>
      <c r="R83" s="1056"/>
      <c r="S83" s="1056"/>
    </row>
    <row r="84" spans="2:19" x14ac:dyDescent="0.3">
      <c r="B84" s="1043" t="s">
        <v>776</v>
      </c>
      <c r="C84" s="1091">
        <f t="shared" si="43"/>
        <v>0.67999999999999994</v>
      </c>
      <c r="D84" s="1091">
        <f t="shared" si="44"/>
        <v>1.02</v>
      </c>
      <c r="E84" s="1091">
        <f t="shared" si="45"/>
        <v>0</v>
      </c>
      <c r="F84" s="1091">
        <f t="shared" si="46"/>
        <v>0</v>
      </c>
      <c r="G84" s="1091">
        <f t="shared" si="47"/>
        <v>0</v>
      </c>
      <c r="R84" s="1056"/>
      <c r="S84" s="1056"/>
    </row>
    <row r="85" spans="2:19" x14ac:dyDescent="0.3">
      <c r="B85" s="1043" t="s">
        <v>474</v>
      </c>
      <c r="C85" s="1091">
        <f t="shared" si="43"/>
        <v>1.6999999999999997</v>
      </c>
      <c r="D85" s="1091">
        <f t="shared" si="44"/>
        <v>2.5499999999999998</v>
      </c>
      <c r="E85" s="1091">
        <f t="shared" si="45"/>
        <v>0</v>
      </c>
      <c r="F85" s="1091">
        <f t="shared" si="46"/>
        <v>0</v>
      </c>
      <c r="G85" s="1091">
        <f t="shared" si="47"/>
        <v>0</v>
      </c>
      <c r="R85" s="1056"/>
      <c r="S85" s="1056"/>
    </row>
    <row r="86" spans="2:19" x14ac:dyDescent="0.3">
      <c r="C86" s="1086">
        <v>2021</v>
      </c>
      <c r="D86" s="1086">
        <v>2022</v>
      </c>
      <c r="E86" s="1086">
        <v>2023</v>
      </c>
      <c r="F86" s="1086">
        <v>2024</v>
      </c>
      <c r="G86" s="1086">
        <v>2025</v>
      </c>
      <c r="R86" s="1056"/>
      <c r="S86" s="1056"/>
    </row>
    <row r="87" spans="2:19" x14ac:dyDescent="0.3">
      <c r="B87" s="1043" t="s">
        <v>785</v>
      </c>
      <c r="C87" s="1090">
        <f>SUM(C83:C85)</f>
        <v>3.3999999999999995</v>
      </c>
      <c r="D87" s="1090">
        <f t="shared" ref="D87:G87" si="48">SUM(D83:D85)</f>
        <v>5.0999999999999996</v>
      </c>
      <c r="E87" s="1090">
        <f t="shared" si="48"/>
        <v>0</v>
      </c>
      <c r="F87" s="1090">
        <f t="shared" si="48"/>
        <v>0</v>
      </c>
      <c r="G87" s="1090">
        <f t="shared" si="48"/>
        <v>0</v>
      </c>
      <c r="R87" s="1056"/>
      <c r="S87" s="1056"/>
    </row>
    <row r="90" spans="2:19" x14ac:dyDescent="0.3">
      <c r="B90" s="1043" t="s">
        <v>681</v>
      </c>
      <c r="C90" s="1091">
        <v>26.636000000000024</v>
      </c>
      <c r="D90" s="1091">
        <v>98.978999999999999</v>
      </c>
      <c r="E90" s="1091">
        <v>2.1159999999999997</v>
      </c>
      <c r="F90" s="1091">
        <v>2.1789999999999998</v>
      </c>
      <c r="G90" s="1091">
        <v>2.33</v>
      </c>
      <c r="H90" s="1091"/>
      <c r="I90" s="1091"/>
      <c r="J90" s="1091"/>
      <c r="K90" s="1091"/>
      <c r="L90" s="1091"/>
      <c r="M90" s="1091"/>
    </row>
    <row r="91" spans="2:19" x14ac:dyDescent="0.3">
      <c r="B91" s="1043" t="s">
        <v>682</v>
      </c>
      <c r="C91" s="1091">
        <v>47.722000000000016</v>
      </c>
      <c r="D91" s="1091">
        <v>52.756999999999998</v>
      </c>
      <c r="E91" s="1091">
        <v>12</v>
      </c>
      <c r="F91" s="1091">
        <v>4.2219999999999995</v>
      </c>
      <c r="G91" s="1091">
        <v>2.3719999999999999</v>
      </c>
      <c r="H91" s="1091"/>
      <c r="I91" s="1091"/>
      <c r="J91" s="1091"/>
      <c r="K91" s="1091"/>
      <c r="L91" s="1091"/>
      <c r="M91" s="1091"/>
    </row>
    <row r="92" spans="2:19" x14ac:dyDescent="0.3">
      <c r="B92" s="1043" t="s">
        <v>52</v>
      </c>
      <c r="C92" s="1091">
        <v>81.842999999999989</v>
      </c>
      <c r="D92" s="1091">
        <v>110.24799999999999</v>
      </c>
      <c r="E92" s="1091">
        <v>12.726000000000001</v>
      </c>
      <c r="F92" s="1091">
        <v>1.365</v>
      </c>
      <c r="G92" s="1091">
        <v>-0.90100000000000025</v>
      </c>
      <c r="H92" s="1091"/>
      <c r="I92" s="1091"/>
      <c r="J92" s="1091"/>
      <c r="K92" s="1091"/>
      <c r="L92" s="1091"/>
      <c r="M92" s="1091"/>
    </row>
    <row r="93" spans="2:19" x14ac:dyDescent="0.3">
      <c r="B93" s="1043" t="s">
        <v>131</v>
      </c>
      <c r="C93" s="1091">
        <v>7.798</v>
      </c>
      <c r="D93" s="1091">
        <v>7.9489999999999998</v>
      </c>
      <c r="E93" s="1091">
        <v>4.7519999999999998</v>
      </c>
      <c r="F93" s="1091">
        <v>4.637999999999999</v>
      </c>
      <c r="G93" s="1091">
        <v>1.8800000000000001</v>
      </c>
      <c r="H93" s="1091"/>
      <c r="I93" s="1091"/>
      <c r="J93" s="1091"/>
      <c r="K93" s="1091"/>
      <c r="L93" s="1091"/>
      <c r="M93" s="1091"/>
    </row>
    <row r="94" spans="2:19" x14ac:dyDescent="0.3">
      <c r="B94" s="1043" t="s">
        <v>348</v>
      </c>
      <c r="C94" s="1091">
        <v>283.95749999999998</v>
      </c>
      <c r="D94" s="1091">
        <v>77.092500000000001</v>
      </c>
      <c r="E94" s="1091">
        <v>1</v>
      </c>
      <c r="F94" s="1091">
        <v>0</v>
      </c>
      <c r="G94" s="1091">
        <v>0</v>
      </c>
      <c r="H94" s="1091"/>
      <c r="I94" s="1091"/>
      <c r="J94" s="1091"/>
      <c r="K94" s="1091"/>
      <c r="L94" s="1091"/>
      <c r="M94" s="1091"/>
    </row>
    <row r="95" spans="2:19" x14ac:dyDescent="0.3">
      <c r="B95" s="1043" t="s">
        <v>150</v>
      </c>
      <c r="C95" s="1091">
        <v>12.347</v>
      </c>
      <c r="D95" s="1091">
        <v>46.79</v>
      </c>
      <c r="E95" s="1091">
        <v>38.595999999999997</v>
      </c>
      <c r="F95" s="1091">
        <v>31.911000000000001</v>
      </c>
      <c r="G95" s="1091">
        <v>23.099</v>
      </c>
      <c r="H95" s="1091"/>
      <c r="I95" s="1091"/>
      <c r="J95" s="1091"/>
      <c r="K95" s="1091"/>
      <c r="L95" s="1091"/>
      <c r="M95" s="1091"/>
    </row>
    <row r="96" spans="2:19" x14ac:dyDescent="0.3">
      <c r="B96" s="1043" t="s">
        <v>364</v>
      </c>
      <c r="C96" s="1091">
        <v>2.286</v>
      </c>
      <c r="D96" s="1091">
        <v>4.6049999999999995</v>
      </c>
      <c r="E96" s="1091">
        <v>1.349</v>
      </c>
      <c r="F96" s="1091">
        <v>0.441</v>
      </c>
      <c r="G96" s="1091">
        <v>0.313</v>
      </c>
      <c r="H96" s="1091"/>
      <c r="I96" s="1091"/>
      <c r="J96" s="1091"/>
      <c r="K96" s="1091"/>
      <c r="L96" s="1091"/>
      <c r="M96" s="1091"/>
    </row>
    <row r="97" spans="2:13" x14ac:dyDescent="0.3">
      <c r="B97" s="1043" t="s">
        <v>159</v>
      </c>
      <c r="C97" s="1091">
        <v>25.75</v>
      </c>
      <c r="D97" s="1091">
        <v>0</v>
      </c>
      <c r="E97" s="1091">
        <v>0</v>
      </c>
      <c r="F97" s="1091">
        <v>0</v>
      </c>
      <c r="G97" s="1091">
        <v>0</v>
      </c>
      <c r="H97" s="1091"/>
      <c r="I97" s="1091"/>
      <c r="J97" s="1091"/>
      <c r="K97" s="1091"/>
      <c r="L97" s="1091"/>
      <c r="M97" s="1091"/>
    </row>
    <row r="98" spans="2:13" x14ac:dyDescent="0.3">
      <c r="B98" s="1043" t="s">
        <v>109</v>
      </c>
      <c r="C98" s="1091">
        <v>60.441000000000003</v>
      </c>
      <c r="D98" s="1091">
        <v>91.678999999999988</v>
      </c>
      <c r="E98" s="1091">
        <v>41.220000000000006</v>
      </c>
      <c r="F98" s="1091">
        <v>14.004000000000003</v>
      </c>
      <c r="G98" s="1091">
        <v>3.8530000000000006</v>
      </c>
      <c r="H98" s="1091"/>
      <c r="I98" s="1091"/>
      <c r="J98" s="1091"/>
      <c r="K98" s="1091"/>
      <c r="L98" s="1091"/>
      <c r="M98" s="1091"/>
    </row>
    <row r="99" spans="2:13" x14ac:dyDescent="0.3">
      <c r="C99" s="1086">
        <v>3.4</v>
      </c>
      <c r="D99" s="1086">
        <v>5.0999999999999996</v>
      </c>
      <c r="E99" s="1086">
        <v>0</v>
      </c>
      <c r="F99" s="108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4140625" defaultRowHeight="14.4" x14ac:dyDescent="0.3"/>
  <sheetData>
    <row r="1" spans="1:12" x14ac:dyDescent="0.3">
      <c r="A1" s="74" t="s">
        <v>1449</v>
      </c>
      <c r="B1" s="74" t="s">
        <v>1450</v>
      </c>
      <c r="C1" s="74" t="s">
        <v>1451</v>
      </c>
      <c r="D1" s="74" t="s">
        <v>1452</v>
      </c>
      <c r="E1" s="74" t="s">
        <v>1453</v>
      </c>
      <c r="F1" s="74" t="s">
        <v>1454</v>
      </c>
      <c r="G1" s="74" t="s">
        <v>934</v>
      </c>
      <c r="H1" s="74" t="s">
        <v>935</v>
      </c>
      <c r="I1" s="74" t="s">
        <v>936</v>
      </c>
      <c r="J1" s="74" t="s">
        <v>937</v>
      </c>
      <c r="K1" s="74" t="s">
        <v>938</v>
      </c>
      <c r="L1" s="74" t="s">
        <v>939</v>
      </c>
    </row>
    <row r="2" spans="1:12" x14ac:dyDescent="0.3">
      <c r="A2">
        <v>4.5079018442711401E-2</v>
      </c>
      <c r="B2">
        <v>5.3878515900577198E-2</v>
      </c>
      <c r="C2">
        <v>8.2063006909154398E-2</v>
      </c>
      <c r="D2">
        <v>0.104421067414309</v>
      </c>
      <c r="E2" t="s">
        <v>1455</v>
      </c>
      <c r="F2" t="s">
        <v>1456</v>
      </c>
      <c r="G2">
        <v>13.106999999999999</v>
      </c>
      <c r="H2">
        <v>1.9913023575188999E-2</v>
      </c>
      <c r="I2">
        <v>16.824999999999999</v>
      </c>
      <c r="J2">
        <v>2.51411589895989E-2</v>
      </c>
      <c r="K2" t="s">
        <v>940</v>
      </c>
      <c r="L2" t="s">
        <v>941</v>
      </c>
    </row>
    <row r="3" spans="1:12" x14ac:dyDescent="0.3">
      <c r="A3">
        <v>4.5079018442711401E-2</v>
      </c>
      <c r="B3">
        <v>5.3878515900577198E-2</v>
      </c>
      <c r="C3">
        <v>8.2063006909154398E-2</v>
      </c>
      <c r="D3">
        <v>0.104421067414309</v>
      </c>
      <c r="E3" t="s">
        <v>1457</v>
      </c>
      <c r="F3" t="s">
        <v>1456</v>
      </c>
      <c r="G3">
        <v>13.368</v>
      </c>
      <c r="H3">
        <v>1.9913023575188999E-2</v>
      </c>
      <c r="I3">
        <v>17.248000000000001</v>
      </c>
      <c r="J3">
        <v>2.51411589895989E-2</v>
      </c>
      <c r="K3" t="s">
        <v>942</v>
      </c>
      <c r="L3" t="s">
        <v>941</v>
      </c>
    </row>
    <row r="4" spans="1:12" x14ac:dyDescent="0.3">
      <c r="A4">
        <v>3.9419555818651898E-2</v>
      </c>
      <c r="B4">
        <v>6.9938689583740596E-2</v>
      </c>
      <c r="C4">
        <v>7.2508506661211405E-2</v>
      </c>
      <c r="D4">
        <v>7.9737360467493398E-2</v>
      </c>
      <c r="E4" t="s">
        <v>1458</v>
      </c>
      <c r="F4" t="s">
        <v>1456</v>
      </c>
      <c r="G4">
        <v>13.603999999999999</v>
      </c>
      <c r="H4">
        <v>1.7654099341711402E-2</v>
      </c>
      <c r="I4">
        <v>17.582000000000001</v>
      </c>
      <c r="J4">
        <v>1.9364564007421099E-2</v>
      </c>
      <c r="K4" t="s">
        <v>943</v>
      </c>
      <c r="L4" t="s">
        <v>941</v>
      </c>
    </row>
    <row r="5" spans="1:12" x14ac:dyDescent="0.3">
      <c r="A5">
        <v>5.2824828770235303E-2</v>
      </c>
      <c r="B5">
        <v>5.1823422551402501E-2</v>
      </c>
      <c r="C5">
        <v>6.9052453854286294E-2</v>
      </c>
      <c r="D5">
        <v>0.10539397910227</v>
      </c>
      <c r="E5" t="s">
        <v>1459</v>
      </c>
      <c r="F5" t="s">
        <v>1456</v>
      </c>
      <c r="G5">
        <v>13.833</v>
      </c>
      <c r="H5">
        <v>1.6833284328138898E-2</v>
      </c>
      <c r="I5">
        <v>18.027999999999999</v>
      </c>
      <c r="J5">
        <v>2.5366852462745899E-2</v>
      </c>
      <c r="K5" t="s">
        <v>944</v>
      </c>
      <c r="L5" t="s">
        <v>941</v>
      </c>
    </row>
    <row r="6" spans="1:12" x14ac:dyDescent="0.3">
      <c r="A6">
        <v>3.85286878692137E-2</v>
      </c>
      <c r="B6">
        <v>0.132788480581229</v>
      </c>
      <c r="C6">
        <v>0.10231116414477499</v>
      </c>
      <c r="D6">
        <v>6.9175988166702701E-2</v>
      </c>
      <c r="E6" t="s">
        <v>1460</v>
      </c>
      <c r="F6" t="s">
        <v>1456</v>
      </c>
      <c r="G6">
        <v>14.173999999999999</v>
      </c>
      <c r="H6">
        <v>2.4651196414371399E-2</v>
      </c>
      <c r="I6">
        <v>18.332000000000001</v>
      </c>
      <c r="J6">
        <v>1.6862658087419598E-2</v>
      </c>
      <c r="K6" t="s">
        <v>945</v>
      </c>
      <c r="L6" t="s">
        <v>941</v>
      </c>
    </row>
    <row r="7" spans="1:12" x14ac:dyDescent="0.3">
      <c r="A7">
        <v>4.6230845754161802E-2</v>
      </c>
      <c r="B7">
        <v>7.6806429060699302E-2</v>
      </c>
      <c r="C7">
        <v>7.6908368677740299E-2</v>
      </c>
      <c r="D7">
        <v>6.5481053360561203E-2</v>
      </c>
      <c r="E7" t="s">
        <v>1461</v>
      </c>
      <c r="F7" t="s">
        <v>1456</v>
      </c>
      <c r="G7">
        <v>14.439</v>
      </c>
      <c r="H7">
        <v>1.8696204317764999E-2</v>
      </c>
      <c r="I7">
        <v>18.625</v>
      </c>
      <c r="J7">
        <v>1.59829805804057E-2</v>
      </c>
      <c r="K7" t="s">
        <v>946</v>
      </c>
      <c r="L7" t="s">
        <v>941</v>
      </c>
    </row>
    <row r="8" spans="1:12" x14ac:dyDescent="0.3">
      <c r="A8">
        <v>4.0000704948734103E-2</v>
      </c>
      <c r="B8">
        <v>5.9184461037305798E-2</v>
      </c>
      <c r="C8">
        <v>6.1773509542664397E-2</v>
      </c>
      <c r="D8">
        <v>4.4315280925248897E-2</v>
      </c>
      <c r="E8" t="s">
        <v>1462</v>
      </c>
      <c r="F8" t="s">
        <v>1456</v>
      </c>
      <c r="G8">
        <v>14.657</v>
      </c>
      <c r="H8">
        <v>1.5097998476348899E-2</v>
      </c>
      <c r="I8">
        <v>18.827999999999999</v>
      </c>
      <c r="J8">
        <v>1.0899328859060401E-2</v>
      </c>
      <c r="K8" t="s">
        <v>947</v>
      </c>
      <c r="L8" t="s">
        <v>941</v>
      </c>
    </row>
    <row r="9" spans="1:12" x14ac:dyDescent="0.3">
      <c r="A9">
        <v>2.5035607973723999E-2</v>
      </c>
      <c r="B9">
        <v>8.3819893360376693E-2</v>
      </c>
      <c r="C9">
        <v>3.6793688078589702E-2</v>
      </c>
      <c r="D9">
        <v>7.0854524877743894E-2</v>
      </c>
      <c r="E9" t="s">
        <v>1463</v>
      </c>
      <c r="F9" t="s">
        <v>1456</v>
      </c>
      <c r="G9">
        <v>14.79</v>
      </c>
      <c r="H9">
        <v>9.0741625162038507E-3</v>
      </c>
      <c r="I9">
        <v>19.152999999999999</v>
      </c>
      <c r="J9">
        <v>1.7261525387720401E-2</v>
      </c>
      <c r="K9" t="s">
        <v>948</v>
      </c>
      <c r="L9" t="s">
        <v>941</v>
      </c>
    </row>
    <row r="10" spans="1:12" x14ac:dyDescent="0.3">
      <c r="A10">
        <v>4.2906681103859E-2</v>
      </c>
      <c r="B10">
        <v>0.175097239288524</v>
      </c>
      <c r="C10">
        <v>0.10446834522691199</v>
      </c>
      <c r="D10">
        <v>5.2157088254066501E-2</v>
      </c>
      <c r="E10" t="s">
        <v>1464</v>
      </c>
      <c r="F10" t="s">
        <v>1456</v>
      </c>
      <c r="G10">
        <v>15.162000000000001</v>
      </c>
      <c r="H10">
        <v>2.5152129817444399E-2</v>
      </c>
      <c r="I10">
        <v>19.398</v>
      </c>
      <c r="J10">
        <v>1.27917297551299E-2</v>
      </c>
      <c r="K10" t="s">
        <v>949</v>
      </c>
      <c r="L10" t="s">
        <v>941</v>
      </c>
    </row>
    <row r="11" spans="1:12" x14ac:dyDescent="0.3">
      <c r="A11">
        <v>2.3157030840978501E-2</v>
      </c>
      <c r="B11">
        <v>4.0963848741786497E-2</v>
      </c>
      <c r="C11">
        <v>5.35423244430666E-2</v>
      </c>
      <c r="D11">
        <v>2.83404365976123E-2</v>
      </c>
      <c r="E11" t="s">
        <v>1465</v>
      </c>
      <c r="F11" t="s">
        <v>1456</v>
      </c>
      <c r="G11">
        <v>15.361000000000001</v>
      </c>
      <c r="H11">
        <v>1.3124917557050499E-2</v>
      </c>
      <c r="I11">
        <v>19.533999999999999</v>
      </c>
      <c r="J11">
        <v>7.0110320651612899E-3</v>
      </c>
      <c r="K11" t="s">
        <v>950</v>
      </c>
      <c r="L11" t="s">
        <v>941</v>
      </c>
    </row>
    <row r="12" spans="1:12" x14ac:dyDescent="0.3">
      <c r="A12">
        <v>3.55986781186481E-2</v>
      </c>
      <c r="B12">
        <v>3.3186191278740597E-2</v>
      </c>
      <c r="C12">
        <v>6.3703129067968198E-2</v>
      </c>
      <c r="D12">
        <v>5.6658506033298299E-2</v>
      </c>
      <c r="E12" t="s">
        <v>1466</v>
      </c>
      <c r="F12" t="s">
        <v>1456</v>
      </c>
      <c r="G12">
        <v>15.6</v>
      </c>
      <c r="H12">
        <v>1.5558882885228701E-2</v>
      </c>
      <c r="I12">
        <v>19.805</v>
      </c>
      <c r="J12">
        <v>1.38732466468721E-2</v>
      </c>
      <c r="K12" t="s">
        <v>951</v>
      </c>
      <c r="L12" t="s">
        <v>941</v>
      </c>
    </row>
    <row r="13" spans="1:12" x14ac:dyDescent="0.3">
      <c r="A13">
        <v>3.3109052200751603E-2</v>
      </c>
      <c r="B13">
        <v>8.9944620716435594E-2</v>
      </c>
      <c r="C13">
        <v>5.0679215853917103E-2</v>
      </c>
      <c r="D13">
        <v>7.6848944278385095E-2</v>
      </c>
      <c r="E13" t="s">
        <v>1467</v>
      </c>
      <c r="F13" t="s">
        <v>1456</v>
      </c>
      <c r="G13">
        <v>15.794</v>
      </c>
      <c r="H13">
        <v>1.2435897435897601E-2</v>
      </c>
      <c r="I13">
        <v>20.175000000000001</v>
      </c>
      <c r="J13">
        <v>1.8682150971976799E-2</v>
      </c>
      <c r="K13" t="s">
        <v>952</v>
      </c>
      <c r="L13" t="s">
        <v>941</v>
      </c>
    </row>
    <row r="14" spans="1:12" x14ac:dyDescent="0.3">
      <c r="A14">
        <v>4.91014015888558E-2</v>
      </c>
      <c r="B14">
        <v>6.5908483031781095E-2</v>
      </c>
      <c r="C14">
        <v>8.1389738888574495E-2</v>
      </c>
      <c r="D14">
        <v>7.93845743471608E-2</v>
      </c>
      <c r="E14" t="s">
        <v>1468</v>
      </c>
      <c r="F14" t="s">
        <v>1456</v>
      </c>
      <c r="G14">
        <v>16.106000000000002</v>
      </c>
      <c r="H14">
        <v>1.9754337090034199E-2</v>
      </c>
      <c r="I14">
        <v>20.564</v>
      </c>
      <c r="J14">
        <v>1.9281288723668001E-2</v>
      </c>
      <c r="K14" t="s">
        <v>953</v>
      </c>
      <c r="L14" t="s">
        <v>941</v>
      </c>
    </row>
    <row r="15" spans="1:12" x14ac:dyDescent="0.3">
      <c r="A15">
        <v>7.9177652454341899E-2</v>
      </c>
      <c r="B15">
        <v>7.1493559288280994E-2</v>
      </c>
      <c r="C15">
        <v>6.9283063617710403E-2</v>
      </c>
      <c r="D15">
        <v>8.6922582910256702E-2</v>
      </c>
      <c r="E15" t="s">
        <v>1469</v>
      </c>
      <c r="F15" t="s">
        <v>1456</v>
      </c>
      <c r="G15">
        <v>16.378</v>
      </c>
      <c r="H15">
        <v>1.68881162299763E-2</v>
      </c>
      <c r="I15">
        <v>20.997</v>
      </c>
      <c r="J15">
        <v>2.1056214744213299E-2</v>
      </c>
      <c r="K15" t="s">
        <v>954</v>
      </c>
      <c r="L15" t="s">
        <v>941</v>
      </c>
    </row>
    <row r="16" spans="1:12" x14ac:dyDescent="0.3">
      <c r="A16">
        <v>7.4767520593947104E-2</v>
      </c>
      <c r="B16">
        <v>8.5362600720222198E-2</v>
      </c>
      <c r="C16">
        <v>4.7217464684975501E-2</v>
      </c>
      <c r="D16">
        <v>8.4062519785650797E-2</v>
      </c>
      <c r="E16" t="s">
        <v>1470</v>
      </c>
      <c r="F16" t="s">
        <v>1456</v>
      </c>
      <c r="G16">
        <v>16.568000000000001</v>
      </c>
      <c r="H16">
        <v>1.1600928074246E-2</v>
      </c>
      <c r="I16">
        <v>21.425000000000001</v>
      </c>
      <c r="J16">
        <v>2.03838643615755E-2</v>
      </c>
      <c r="K16" t="s">
        <v>955</v>
      </c>
      <c r="L16" t="s">
        <v>941</v>
      </c>
    </row>
    <row r="17" spans="1:12" x14ac:dyDescent="0.3">
      <c r="A17">
        <v>8.4354048501589896E-2</v>
      </c>
      <c r="B17">
        <v>8.8313277531109999E-2</v>
      </c>
      <c r="C17">
        <v>6.8825586736247696E-2</v>
      </c>
      <c r="D17">
        <v>0.111750672708145</v>
      </c>
      <c r="E17" t="s">
        <v>1471</v>
      </c>
      <c r="F17" t="s">
        <v>1456</v>
      </c>
      <c r="G17">
        <v>16.846</v>
      </c>
      <c r="H17">
        <v>1.6779333655238898E-2</v>
      </c>
      <c r="I17">
        <v>22</v>
      </c>
      <c r="J17">
        <v>2.68378063010501E-2</v>
      </c>
      <c r="K17" t="s">
        <v>956</v>
      </c>
      <c r="L17" t="s">
        <v>941</v>
      </c>
    </row>
    <row r="18" spans="1:12" x14ac:dyDescent="0.3">
      <c r="A18">
        <v>0.124536540877934</v>
      </c>
      <c r="B18">
        <v>4.1616768277239702E-2</v>
      </c>
      <c r="C18">
        <v>0.100709384145876</v>
      </c>
      <c r="D18">
        <v>0.19875533747763099</v>
      </c>
      <c r="E18" t="s">
        <v>1472</v>
      </c>
      <c r="F18" t="s">
        <v>1456</v>
      </c>
      <c r="G18">
        <v>17.254999999999999</v>
      </c>
      <c r="H18">
        <v>2.42787605366259E-2</v>
      </c>
      <c r="I18">
        <v>23.02</v>
      </c>
      <c r="J18">
        <v>4.6363636363636399E-2</v>
      </c>
      <c r="K18" t="s">
        <v>957</v>
      </c>
      <c r="L18" t="s">
        <v>941</v>
      </c>
    </row>
    <row r="19" spans="1:12" x14ac:dyDescent="0.3">
      <c r="A19">
        <v>0.118186339709689</v>
      </c>
      <c r="B19">
        <v>7.4336480554695494E-2</v>
      </c>
      <c r="C19">
        <v>0.111980004946894</v>
      </c>
      <c r="D19">
        <v>0.27614966476000502</v>
      </c>
      <c r="E19" t="s">
        <v>1473</v>
      </c>
      <c r="F19" t="s">
        <v>1456</v>
      </c>
      <c r="G19">
        <v>17.719000000000001</v>
      </c>
      <c r="H19">
        <v>2.68907563025211E-2</v>
      </c>
      <c r="I19">
        <v>24.466999999999999</v>
      </c>
      <c r="J19">
        <v>6.2858384013900995E-2</v>
      </c>
      <c r="K19" t="s">
        <v>958</v>
      </c>
      <c r="L19" t="s">
        <v>941</v>
      </c>
    </row>
    <row r="20" spans="1:12" x14ac:dyDescent="0.3">
      <c r="A20">
        <v>0.112285409166716</v>
      </c>
      <c r="B20">
        <v>0.121923532437656</v>
      </c>
      <c r="C20">
        <v>0.119951580753957</v>
      </c>
      <c r="D20">
        <v>0.28126959643585903</v>
      </c>
      <c r="E20" t="s">
        <v>1474</v>
      </c>
      <c r="F20" t="s">
        <v>1456</v>
      </c>
      <c r="G20">
        <v>18.228000000000002</v>
      </c>
      <c r="H20">
        <v>2.8726226084993398E-2</v>
      </c>
      <c r="I20">
        <v>26.030999999999999</v>
      </c>
      <c r="J20">
        <v>6.3922834838762405E-2</v>
      </c>
      <c r="K20" t="s">
        <v>959</v>
      </c>
      <c r="L20" t="s">
        <v>941</v>
      </c>
    </row>
    <row r="21" spans="1:12" x14ac:dyDescent="0.3">
      <c r="A21">
        <v>0.10564888426900799</v>
      </c>
      <c r="B21">
        <v>0.139689749601554</v>
      </c>
      <c r="C21">
        <v>0.10861792322335199</v>
      </c>
      <c r="D21">
        <v>0.17691984955710299</v>
      </c>
      <c r="E21" t="s">
        <v>1475</v>
      </c>
      <c r="F21" t="s">
        <v>1456</v>
      </c>
      <c r="G21">
        <v>18.704000000000001</v>
      </c>
      <c r="H21">
        <v>2.6113671274961399E-2</v>
      </c>
      <c r="I21">
        <v>27.113</v>
      </c>
      <c r="J21">
        <v>4.15658253620683E-2</v>
      </c>
      <c r="K21" t="s">
        <v>960</v>
      </c>
      <c r="L21" t="s">
        <v>941</v>
      </c>
    </row>
    <row r="22" spans="1:12" x14ac:dyDescent="0.3">
      <c r="A22">
        <v>7.7418031911128199E-2</v>
      </c>
      <c r="B22">
        <v>7.47377264200315E-2</v>
      </c>
      <c r="C22">
        <v>8.2414004288707196E-2</v>
      </c>
      <c r="D22">
        <v>8.77241949354641E-2</v>
      </c>
      <c r="E22" t="s">
        <v>1476</v>
      </c>
      <c r="F22" t="s">
        <v>1456</v>
      </c>
      <c r="G22">
        <v>19.077999999999999</v>
      </c>
      <c r="H22">
        <v>1.99957228400343E-2</v>
      </c>
      <c r="I22">
        <v>27.689</v>
      </c>
      <c r="J22">
        <v>2.1244421495223698E-2</v>
      </c>
      <c r="K22" t="s">
        <v>961</v>
      </c>
      <c r="L22" t="s">
        <v>941</v>
      </c>
    </row>
    <row r="23" spans="1:12" x14ac:dyDescent="0.3">
      <c r="A23">
        <v>5.00188837807687E-2</v>
      </c>
      <c r="B23">
        <v>5.9076854521070303E-2</v>
      </c>
      <c r="C23">
        <v>9.99907756879512E-2</v>
      </c>
      <c r="D23">
        <v>1.9938623083631101E-2</v>
      </c>
      <c r="E23" t="s">
        <v>1477</v>
      </c>
      <c r="F23" t="s">
        <v>1456</v>
      </c>
      <c r="G23">
        <v>19.538</v>
      </c>
      <c r="H23">
        <v>2.4111542090365898E-2</v>
      </c>
      <c r="I23">
        <v>27.826000000000001</v>
      </c>
      <c r="J23">
        <v>4.9478132110223304E-3</v>
      </c>
      <c r="K23" t="s">
        <v>962</v>
      </c>
      <c r="L23" t="s">
        <v>941</v>
      </c>
    </row>
    <row r="24" spans="1:12" x14ac:dyDescent="0.3">
      <c r="A24">
        <v>7.6956317974106001E-2</v>
      </c>
      <c r="B24">
        <v>5.5091330920863602E-2</v>
      </c>
      <c r="C24">
        <v>6.2847909413525901E-2</v>
      </c>
      <c r="D24">
        <v>1.2710174962932599E-2</v>
      </c>
      <c r="E24" t="s">
        <v>1478</v>
      </c>
      <c r="F24" t="s">
        <v>1456</v>
      </c>
      <c r="G24">
        <v>19.838000000000001</v>
      </c>
      <c r="H24">
        <v>1.5354693417954699E-2</v>
      </c>
      <c r="I24">
        <v>27.914000000000001</v>
      </c>
      <c r="J24">
        <v>3.16250988284339E-3</v>
      </c>
      <c r="K24" t="s">
        <v>963</v>
      </c>
      <c r="L24" t="s">
        <v>941</v>
      </c>
    </row>
    <row r="25" spans="1:12" x14ac:dyDescent="0.3">
      <c r="A25">
        <v>6.8882772668885706E-2</v>
      </c>
      <c r="B25">
        <v>9.5097426388938394E-2</v>
      </c>
      <c r="C25">
        <v>5.9557775023163499E-2</v>
      </c>
      <c r="D25">
        <v>2.4583979224767301E-2</v>
      </c>
      <c r="E25" t="s">
        <v>1479</v>
      </c>
      <c r="F25" t="s">
        <v>1456</v>
      </c>
      <c r="G25">
        <v>20.126999999999999</v>
      </c>
      <c r="H25">
        <v>1.45680008065328E-2</v>
      </c>
      <c r="I25">
        <v>28.084</v>
      </c>
      <c r="J25">
        <v>6.0901339829475499E-3</v>
      </c>
      <c r="K25" t="s">
        <v>964</v>
      </c>
      <c r="L25" t="s">
        <v>941</v>
      </c>
    </row>
    <row r="26" spans="1:12" x14ac:dyDescent="0.3">
      <c r="A26">
        <v>4.46796784787249E-2</v>
      </c>
      <c r="B26">
        <v>5.9702158874865199E-2</v>
      </c>
      <c r="C26">
        <v>5.3094918319799497E-2</v>
      </c>
      <c r="D26">
        <v>1.9800669277978002E-2</v>
      </c>
      <c r="E26" t="s">
        <v>1480</v>
      </c>
      <c r="F26" t="s">
        <v>1456</v>
      </c>
      <c r="G26">
        <v>20.388999999999999</v>
      </c>
      <c r="H26">
        <v>1.30173398916877E-2</v>
      </c>
      <c r="I26">
        <v>28.222000000000001</v>
      </c>
      <c r="J26">
        <v>4.91382993875522E-3</v>
      </c>
      <c r="K26" t="s">
        <v>965</v>
      </c>
      <c r="L26" t="s">
        <v>941</v>
      </c>
    </row>
    <row r="27" spans="1:12" x14ac:dyDescent="0.3">
      <c r="A27">
        <v>3.3979822161052303E-2</v>
      </c>
      <c r="B27">
        <v>3.3961135638896502E-2</v>
      </c>
      <c r="C27">
        <v>5.3215140717762302E-2</v>
      </c>
      <c r="D27">
        <v>3.4743180507705002E-2</v>
      </c>
      <c r="E27" t="s">
        <v>1481</v>
      </c>
      <c r="F27" t="s">
        <v>1456</v>
      </c>
      <c r="G27">
        <v>20.655000000000001</v>
      </c>
      <c r="H27">
        <v>1.3046250429153101E-2</v>
      </c>
      <c r="I27">
        <v>28.463999999999999</v>
      </c>
      <c r="J27">
        <v>8.5748706682728902E-3</v>
      </c>
      <c r="K27" t="s">
        <v>966</v>
      </c>
      <c r="L27" t="s">
        <v>941</v>
      </c>
    </row>
    <row r="28" spans="1:12" x14ac:dyDescent="0.3">
      <c r="A28">
        <v>6.2157602764701697E-2</v>
      </c>
      <c r="B28">
        <v>4.6572413553721298E-2</v>
      </c>
      <c r="C28">
        <v>3.5515485276211803E-2</v>
      </c>
      <c r="D28">
        <v>8.7412684077270396E-3</v>
      </c>
      <c r="E28" t="s">
        <v>1482</v>
      </c>
      <c r="F28" t="s">
        <v>1456</v>
      </c>
      <c r="G28">
        <v>20.835999999999999</v>
      </c>
      <c r="H28">
        <v>8.7630113773904394E-3</v>
      </c>
      <c r="I28">
        <v>28.526</v>
      </c>
      <c r="J28">
        <v>2.17818999437891E-3</v>
      </c>
      <c r="K28" t="s">
        <v>967</v>
      </c>
      <c r="L28" t="s">
        <v>941</v>
      </c>
    </row>
    <row r="29" spans="1:12" x14ac:dyDescent="0.3">
      <c r="A29">
        <v>6.4679796349943294E-2</v>
      </c>
      <c r="B29">
        <v>0.11140543202132699</v>
      </c>
      <c r="C29">
        <v>5.3847641567893498E-2</v>
      </c>
      <c r="D29">
        <v>2.7482019859727602E-2</v>
      </c>
      <c r="E29" t="s">
        <v>1483</v>
      </c>
      <c r="F29" t="s">
        <v>1456</v>
      </c>
      <c r="G29">
        <v>21.111000000000001</v>
      </c>
      <c r="H29">
        <v>1.31983106162412E-2</v>
      </c>
      <c r="I29">
        <v>28.72</v>
      </c>
      <c r="J29">
        <v>6.8008132931360902E-3</v>
      </c>
      <c r="K29" t="s">
        <v>968</v>
      </c>
      <c r="L29" t="s">
        <v>941</v>
      </c>
    </row>
    <row r="30" spans="1:12" x14ac:dyDescent="0.3">
      <c r="A30">
        <v>7.4088172350420103E-2</v>
      </c>
      <c r="B30">
        <v>5.7739458159661701E-2</v>
      </c>
      <c r="C30">
        <v>8.3796072481744796E-2</v>
      </c>
      <c r="D30">
        <v>5.2825931688943499E-2</v>
      </c>
      <c r="E30" t="s">
        <v>1484</v>
      </c>
      <c r="F30" t="s">
        <v>1456</v>
      </c>
      <c r="G30">
        <v>21.54</v>
      </c>
      <c r="H30">
        <v>2.0321159585050302E-2</v>
      </c>
      <c r="I30">
        <v>29.091999999999999</v>
      </c>
      <c r="J30">
        <v>1.2952646239554401E-2</v>
      </c>
      <c r="K30" t="s">
        <v>969</v>
      </c>
      <c r="L30" t="s">
        <v>941</v>
      </c>
    </row>
    <row r="31" spans="1:12" x14ac:dyDescent="0.3">
      <c r="A31">
        <v>7.0308632461715301E-2</v>
      </c>
      <c r="B31">
        <v>4.6296846180206901E-2</v>
      </c>
      <c r="C31">
        <v>8.1880476726010801E-2</v>
      </c>
      <c r="D31">
        <v>4.0048809702137603E-2</v>
      </c>
      <c r="E31" t="s">
        <v>1485</v>
      </c>
      <c r="F31" t="s">
        <v>1456</v>
      </c>
      <c r="G31">
        <v>21.968</v>
      </c>
      <c r="H31">
        <v>1.9870009285051001E-2</v>
      </c>
      <c r="I31">
        <v>29.379000000000001</v>
      </c>
      <c r="J31">
        <v>9.8652550529356696E-3</v>
      </c>
      <c r="K31" t="s">
        <v>970</v>
      </c>
      <c r="L31" t="s">
        <v>941</v>
      </c>
    </row>
    <row r="32" spans="1:12" x14ac:dyDescent="0.3">
      <c r="A32">
        <v>6.1553542794543503E-2</v>
      </c>
      <c r="B32">
        <v>1.98663105662467E-2</v>
      </c>
      <c r="C32">
        <v>7.3501873886998997E-2</v>
      </c>
      <c r="D32">
        <v>5.4874269706492597E-2</v>
      </c>
      <c r="E32" t="s">
        <v>1486</v>
      </c>
      <c r="F32" t="s">
        <v>1456</v>
      </c>
      <c r="G32">
        <v>22.361000000000001</v>
      </c>
      <c r="H32">
        <v>1.7889657683903801E-2</v>
      </c>
      <c r="I32">
        <v>29.774000000000001</v>
      </c>
      <c r="J32">
        <v>1.3444977705163501E-2</v>
      </c>
      <c r="K32" t="s">
        <v>971</v>
      </c>
      <c r="L32" t="s">
        <v>941</v>
      </c>
    </row>
    <row r="33" spans="1:12" x14ac:dyDescent="0.3">
      <c r="A33">
        <v>5.8025197908700303E-2</v>
      </c>
      <c r="B33">
        <v>0.12112082718011299</v>
      </c>
      <c r="C33">
        <v>7.5383891455237398E-2</v>
      </c>
      <c r="D33">
        <v>4.34111575180351E-2</v>
      </c>
      <c r="E33" t="s">
        <v>1487</v>
      </c>
      <c r="F33" t="s">
        <v>1456</v>
      </c>
      <c r="G33">
        <v>22.771000000000001</v>
      </c>
      <c r="H33">
        <v>1.83354948347569E-2</v>
      </c>
      <c r="I33">
        <v>30.091999999999999</v>
      </c>
      <c r="J33">
        <v>1.0680459461274799E-2</v>
      </c>
      <c r="K33" t="s">
        <v>972</v>
      </c>
      <c r="L33" t="s">
        <v>941</v>
      </c>
    </row>
    <row r="34" spans="1:12" x14ac:dyDescent="0.3">
      <c r="A34">
        <v>6.7326294927223501E-2</v>
      </c>
      <c r="B34">
        <v>4.65097292728067E-2</v>
      </c>
      <c r="C34">
        <v>5.9424238450433299E-2</v>
      </c>
      <c r="D34">
        <v>5.0510789433123801E-2</v>
      </c>
      <c r="E34" t="s">
        <v>1488</v>
      </c>
      <c r="F34" t="s">
        <v>1456</v>
      </c>
      <c r="G34">
        <v>23.102</v>
      </c>
      <c r="H34">
        <v>1.4536032673137E-2</v>
      </c>
      <c r="I34">
        <v>30.465</v>
      </c>
      <c r="J34">
        <v>1.23953210155523E-2</v>
      </c>
      <c r="K34" t="s">
        <v>973</v>
      </c>
      <c r="L34" t="s">
        <v>941</v>
      </c>
    </row>
    <row r="35" spans="1:12" x14ac:dyDescent="0.3">
      <c r="A35">
        <v>8.4675701203493298E-2</v>
      </c>
      <c r="B35">
        <v>8.09066486989478E-2</v>
      </c>
      <c r="C35">
        <v>6.5619276167123694E-2</v>
      </c>
      <c r="D35">
        <v>8.0997725857898203E-2</v>
      </c>
      <c r="E35" t="s">
        <v>1489</v>
      </c>
      <c r="F35" t="s">
        <v>1456</v>
      </c>
      <c r="G35">
        <v>23.472000000000001</v>
      </c>
      <c r="H35">
        <v>1.6015929356765699E-2</v>
      </c>
      <c r="I35">
        <v>31.064</v>
      </c>
      <c r="J35">
        <v>1.9661907106515601E-2</v>
      </c>
      <c r="K35" t="s">
        <v>974</v>
      </c>
      <c r="L35" t="s">
        <v>941</v>
      </c>
    </row>
    <row r="36" spans="1:12" x14ac:dyDescent="0.3">
      <c r="A36">
        <v>7.2050406034996906E-2</v>
      </c>
      <c r="B36">
        <v>6.8549166168664605E-2</v>
      </c>
      <c r="C36">
        <v>5.8500992246239197E-2</v>
      </c>
      <c r="D36">
        <v>7.8709215306017405E-2</v>
      </c>
      <c r="E36" t="s">
        <v>1490</v>
      </c>
      <c r="F36" t="s">
        <v>1456</v>
      </c>
      <c r="G36">
        <v>23.808</v>
      </c>
      <c r="H36">
        <v>1.4314928425357899E-2</v>
      </c>
      <c r="I36">
        <v>31.658000000000001</v>
      </c>
      <c r="J36">
        <v>1.9121813031161401E-2</v>
      </c>
      <c r="K36" t="s">
        <v>975</v>
      </c>
      <c r="L36" t="s">
        <v>941</v>
      </c>
    </row>
    <row r="37" spans="1:12" x14ac:dyDescent="0.3">
      <c r="A37">
        <v>7.7759817693589403E-2</v>
      </c>
      <c r="B37">
        <v>7.0826828171957498E-2</v>
      </c>
      <c r="C37">
        <v>5.4682260590980698E-2</v>
      </c>
      <c r="D37">
        <v>7.3455131593814296E-2</v>
      </c>
      <c r="E37" t="s">
        <v>1491</v>
      </c>
      <c r="F37" t="s">
        <v>1456</v>
      </c>
      <c r="G37">
        <v>24.126999999999999</v>
      </c>
      <c r="H37">
        <v>1.33988575268817E-2</v>
      </c>
      <c r="I37">
        <v>32.223999999999997</v>
      </c>
      <c r="J37">
        <v>1.78785772948384E-2</v>
      </c>
      <c r="K37" t="s">
        <v>976</v>
      </c>
      <c r="L37" t="s">
        <v>941</v>
      </c>
    </row>
    <row r="38" spans="1:12" x14ac:dyDescent="0.3">
      <c r="A38">
        <v>7.7602845525897898E-2</v>
      </c>
      <c r="B38">
        <v>7.5755853629737399E-2</v>
      </c>
      <c r="C38">
        <v>0.101819091447914</v>
      </c>
      <c r="D38">
        <v>8.5137769356933707E-2</v>
      </c>
      <c r="E38" t="s">
        <v>1492</v>
      </c>
      <c r="F38" t="s">
        <v>1456</v>
      </c>
      <c r="G38">
        <v>24.719000000000001</v>
      </c>
      <c r="H38">
        <v>2.4536825962614601E-2</v>
      </c>
      <c r="I38">
        <v>32.889000000000003</v>
      </c>
      <c r="J38">
        <v>2.0636792452830299E-2</v>
      </c>
      <c r="K38" t="s">
        <v>977</v>
      </c>
      <c r="L38" t="s">
        <v>941</v>
      </c>
    </row>
    <row r="39" spans="1:12" x14ac:dyDescent="0.3">
      <c r="A39">
        <v>0.113838252689951</v>
      </c>
      <c r="B39">
        <v>6.1815502695247999E-2</v>
      </c>
      <c r="C39">
        <v>9.0287471336475605E-2</v>
      </c>
      <c r="D39">
        <v>0.11311171886032199</v>
      </c>
      <c r="E39" t="s">
        <v>1493</v>
      </c>
      <c r="F39" t="s">
        <v>1456</v>
      </c>
      <c r="G39">
        <v>25.259</v>
      </c>
      <c r="H39">
        <v>2.18455439135887E-2</v>
      </c>
      <c r="I39">
        <v>33.781999999999996</v>
      </c>
      <c r="J39">
        <v>2.7151935297515601E-2</v>
      </c>
      <c r="K39" t="s">
        <v>978</v>
      </c>
      <c r="L39" t="s">
        <v>941</v>
      </c>
    </row>
    <row r="40" spans="1:12" x14ac:dyDescent="0.3">
      <c r="A40">
        <v>0.10293672514128201</v>
      </c>
      <c r="B40">
        <v>9.6664179784869297E-2</v>
      </c>
      <c r="C40">
        <v>0.148038402658868</v>
      </c>
      <c r="D40">
        <v>0.121960082107911</v>
      </c>
      <c r="E40" t="s">
        <v>1494</v>
      </c>
      <c r="F40" t="s">
        <v>1456</v>
      </c>
      <c r="G40">
        <v>26.146000000000001</v>
      </c>
      <c r="H40">
        <v>3.5116196207292602E-2</v>
      </c>
      <c r="I40">
        <v>34.768000000000001</v>
      </c>
      <c r="J40">
        <v>2.9187141081049101E-2</v>
      </c>
      <c r="K40" t="s">
        <v>979</v>
      </c>
      <c r="L40" t="s">
        <v>941</v>
      </c>
    </row>
    <row r="41" spans="1:12" x14ac:dyDescent="0.3">
      <c r="A41">
        <v>0.100470180706661</v>
      </c>
      <c r="B41">
        <v>9.1027084037313494E-2</v>
      </c>
      <c r="C41">
        <v>7.0641984000731503E-2</v>
      </c>
      <c r="D41">
        <v>0.118355060703055</v>
      </c>
      <c r="E41" t="s">
        <v>1495</v>
      </c>
      <c r="F41" t="s">
        <v>1456</v>
      </c>
      <c r="G41">
        <v>26.596</v>
      </c>
      <c r="H41">
        <v>1.7211045666641198E-2</v>
      </c>
      <c r="I41">
        <v>35.753999999999998</v>
      </c>
      <c r="J41">
        <v>2.83594109526E-2</v>
      </c>
      <c r="K41" t="s">
        <v>980</v>
      </c>
      <c r="L41" t="s">
        <v>941</v>
      </c>
    </row>
    <row r="42" spans="1:12" x14ac:dyDescent="0.3">
      <c r="A42">
        <v>0.12552467874009099</v>
      </c>
      <c r="B42">
        <v>8.1451601423466094E-2</v>
      </c>
      <c r="C42">
        <v>0.106909632651843</v>
      </c>
      <c r="D42">
        <v>0.113864763230328</v>
      </c>
      <c r="E42" t="s">
        <v>1496</v>
      </c>
      <c r="F42" t="s">
        <v>1456</v>
      </c>
      <c r="G42">
        <v>27.28</v>
      </c>
      <c r="H42">
        <v>2.5718153105730199E-2</v>
      </c>
      <c r="I42">
        <v>36.731000000000002</v>
      </c>
      <c r="J42">
        <v>2.7325613917324101E-2</v>
      </c>
      <c r="K42" t="s">
        <v>981</v>
      </c>
      <c r="L42" t="s">
        <v>941</v>
      </c>
    </row>
    <row r="43" spans="1:12" x14ac:dyDescent="0.3">
      <c r="A43">
        <v>0.101539889707692</v>
      </c>
      <c r="B43">
        <v>0.163874229132176</v>
      </c>
      <c r="C43">
        <v>0.11299973225785501</v>
      </c>
      <c r="D43">
        <v>0.119816075191493</v>
      </c>
      <c r="E43" t="s">
        <v>1497</v>
      </c>
      <c r="F43" t="s">
        <v>1456</v>
      </c>
      <c r="G43">
        <v>28.02</v>
      </c>
      <c r="H43">
        <v>2.7126099706744799E-2</v>
      </c>
      <c r="I43">
        <v>37.784999999999997</v>
      </c>
      <c r="J43">
        <v>2.8695107674715899E-2</v>
      </c>
      <c r="K43" t="s">
        <v>982</v>
      </c>
      <c r="L43" t="s">
        <v>941</v>
      </c>
    </row>
    <row r="44" spans="1:12" x14ac:dyDescent="0.3">
      <c r="A44">
        <v>9.6919062654431398E-2</v>
      </c>
      <c r="B44">
        <v>4.1150587007602997E-2</v>
      </c>
      <c r="C44">
        <v>0.115930396885483</v>
      </c>
      <c r="D44">
        <v>0.138106666956619</v>
      </c>
      <c r="E44" t="s">
        <v>1498</v>
      </c>
      <c r="F44" t="s">
        <v>1456</v>
      </c>
      <c r="G44">
        <v>28.798999999999999</v>
      </c>
      <c r="H44">
        <v>2.7801570306923699E-2</v>
      </c>
      <c r="I44">
        <v>39.027000000000001</v>
      </c>
      <c r="J44">
        <v>3.2870186581977198E-2</v>
      </c>
      <c r="K44" t="s">
        <v>983</v>
      </c>
      <c r="L44" t="s">
        <v>941</v>
      </c>
    </row>
    <row r="45" spans="1:12" x14ac:dyDescent="0.3">
      <c r="A45">
        <v>0.102667735598145</v>
      </c>
      <c r="B45">
        <v>0.12591483160208999</v>
      </c>
      <c r="C45">
        <v>0.11071312036879399</v>
      </c>
      <c r="D45">
        <v>0.12373918134004901</v>
      </c>
      <c r="E45" t="s">
        <v>1499</v>
      </c>
      <c r="F45" t="s">
        <v>1456</v>
      </c>
      <c r="G45">
        <v>29.565000000000001</v>
      </c>
      <c r="H45">
        <v>2.65981457689504E-2</v>
      </c>
      <c r="I45">
        <v>40.182000000000002</v>
      </c>
      <c r="J45">
        <v>2.9594895841340601E-2</v>
      </c>
      <c r="K45" t="s">
        <v>984</v>
      </c>
      <c r="L45" t="s">
        <v>941</v>
      </c>
    </row>
    <row r="46" spans="1:12" x14ac:dyDescent="0.3">
      <c r="A46">
        <v>0.107873886984393</v>
      </c>
      <c r="B46">
        <v>8.2350511297398302E-2</v>
      </c>
      <c r="C46">
        <v>0.14097064786198199</v>
      </c>
      <c r="D46">
        <v>0.118188584098933</v>
      </c>
      <c r="E46" t="s">
        <v>1500</v>
      </c>
      <c r="F46" t="s">
        <v>1456</v>
      </c>
      <c r="G46">
        <v>30.556000000000001</v>
      </c>
      <c r="H46">
        <v>3.3519364112971399E-2</v>
      </c>
      <c r="I46">
        <v>41.32</v>
      </c>
      <c r="J46">
        <v>2.8321138818376401E-2</v>
      </c>
      <c r="K46" t="s">
        <v>985</v>
      </c>
      <c r="L46" t="s">
        <v>941</v>
      </c>
    </row>
    <row r="47" spans="1:12" x14ac:dyDescent="0.3">
      <c r="A47">
        <v>6.8864078536554199E-2</v>
      </c>
      <c r="B47">
        <v>9.6264819656522296E-2</v>
      </c>
      <c r="C47">
        <v>8.6310442735713797E-2</v>
      </c>
      <c r="D47">
        <v>9.9129163647753094E-2</v>
      </c>
      <c r="E47" t="s">
        <v>1501</v>
      </c>
      <c r="F47" t="s">
        <v>1456</v>
      </c>
      <c r="G47">
        <v>31.195</v>
      </c>
      <c r="H47">
        <v>2.0912423092027701E-2</v>
      </c>
      <c r="I47">
        <v>42.308</v>
      </c>
      <c r="J47">
        <v>2.39109390125847E-2</v>
      </c>
      <c r="K47" t="s">
        <v>986</v>
      </c>
      <c r="L47" t="s">
        <v>941</v>
      </c>
    </row>
    <row r="48" spans="1:12" x14ac:dyDescent="0.3">
      <c r="A48">
        <v>6.7510216956085903E-2</v>
      </c>
      <c r="B48">
        <v>9.0754628296435505E-2</v>
      </c>
      <c r="C48">
        <v>4.8692861535788202E-2</v>
      </c>
      <c r="D48">
        <v>8.4524586959714404E-2</v>
      </c>
      <c r="E48" t="s">
        <v>1502</v>
      </c>
      <c r="F48" t="s">
        <v>1456</v>
      </c>
      <c r="G48">
        <v>31.568000000000001</v>
      </c>
      <c r="H48">
        <v>1.1957044398140699E-2</v>
      </c>
      <c r="I48">
        <v>43.174999999999997</v>
      </c>
      <c r="J48">
        <v>2.0492578235794499E-2</v>
      </c>
      <c r="K48" t="s">
        <v>987</v>
      </c>
      <c r="L48" t="s">
        <v>941</v>
      </c>
    </row>
    <row r="49" spans="1:12" x14ac:dyDescent="0.3">
      <c r="A49">
        <v>6.2684205945477106E-2</v>
      </c>
      <c r="B49">
        <v>7.8781408158281802E-2</v>
      </c>
      <c r="C49">
        <v>6.2752816594642893E-2</v>
      </c>
      <c r="D49">
        <v>7.3171075998094998E-2</v>
      </c>
      <c r="E49" t="s">
        <v>1503</v>
      </c>
      <c r="F49" t="s">
        <v>1456</v>
      </c>
      <c r="G49">
        <v>32.052</v>
      </c>
      <c r="H49">
        <v>1.53319817536746E-2</v>
      </c>
      <c r="I49">
        <v>43.944000000000003</v>
      </c>
      <c r="J49">
        <v>1.7811233352634799E-2</v>
      </c>
      <c r="K49" t="s">
        <v>988</v>
      </c>
      <c r="L49" t="s">
        <v>941</v>
      </c>
    </row>
    <row r="50" spans="1:12" x14ac:dyDescent="0.3">
      <c r="A50">
        <v>5.1825632418063497E-2</v>
      </c>
      <c r="B50">
        <v>6.5520529029189395E-2</v>
      </c>
      <c r="C50">
        <v>7.2002334651775995E-2</v>
      </c>
      <c r="D50">
        <v>5.7261419360111997E-2</v>
      </c>
      <c r="E50" t="s">
        <v>1504</v>
      </c>
      <c r="F50" t="s">
        <v>1456</v>
      </c>
      <c r="G50">
        <v>32.613999999999997</v>
      </c>
      <c r="H50">
        <v>1.7534007238237701E-2</v>
      </c>
      <c r="I50">
        <v>44.56</v>
      </c>
      <c r="J50">
        <v>1.40178408884035E-2</v>
      </c>
      <c r="K50" t="s">
        <v>989</v>
      </c>
      <c r="L50" t="s">
        <v>941</v>
      </c>
    </row>
    <row r="51" spans="1:12" x14ac:dyDescent="0.3">
      <c r="A51">
        <v>3.9076838958162399E-2</v>
      </c>
      <c r="B51">
        <v>8.1541548822787496E-2</v>
      </c>
      <c r="C51">
        <v>6.5317850608274997E-2</v>
      </c>
      <c r="D51">
        <v>6.8572049720328196E-2</v>
      </c>
      <c r="E51" t="s">
        <v>1505</v>
      </c>
      <c r="F51" t="s">
        <v>1456</v>
      </c>
      <c r="G51">
        <v>33.134</v>
      </c>
      <c r="H51">
        <v>1.5944073097442901E-2</v>
      </c>
      <c r="I51">
        <v>45.305</v>
      </c>
      <c r="J51">
        <v>1.6719030520646199E-2</v>
      </c>
      <c r="K51" t="s">
        <v>990</v>
      </c>
      <c r="L51" t="s">
        <v>941</v>
      </c>
    </row>
    <row r="52" spans="1:12" x14ac:dyDescent="0.3">
      <c r="A52">
        <v>6.4698202701339205E-2</v>
      </c>
      <c r="B52">
        <v>3.4072636599968002E-2</v>
      </c>
      <c r="C52">
        <v>6.8068638365729198E-2</v>
      </c>
      <c r="D52">
        <v>4.8078704643683703E-2</v>
      </c>
      <c r="E52" t="s">
        <v>1506</v>
      </c>
      <c r="F52" t="s">
        <v>1456</v>
      </c>
      <c r="G52">
        <v>33.683999999999997</v>
      </c>
      <c r="H52">
        <v>1.65992635963059E-2</v>
      </c>
      <c r="I52">
        <v>45.84</v>
      </c>
      <c r="J52">
        <v>1.1808851120185501E-2</v>
      </c>
      <c r="K52" t="s">
        <v>991</v>
      </c>
      <c r="L52" t="s">
        <v>941</v>
      </c>
    </row>
    <row r="53" spans="1:12" x14ac:dyDescent="0.3">
      <c r="A53">
        <v>4.4829664945906803E-2</v>
      </c>
      <c r="B53">
        <v>4.8009313734526098E-2</v>
      </c>
      <c r="C53">
        <v>6.1455443169872802E-2</v>
      </c>
      <c r="D53">
        <v>1.01606507354322E-2</v>
      </c>
      <c r="E53" t="s">
        <v>1507</v>
      </c>
      <c r="F53" t="s">
        <v>1456</v>
      </c>
      <c r="G53">
        <v>34.19</v>
      </c>
      <c r="H53">
        <v>1.5021968887305399E-2</v>
      </c>
      <c r="I53">
        <v>45.956000000000003</v>
      </c>
      <c r="J53">
        <v>2.5305410122164998E-3</v>
      </c>
      <c r="K53" t="s">
        <v>992</v>
      </c>
      <c r="L53" t="s">
        <v>941</v>
      </c>
    </row>
    <row r="54" spans="1:12" x14ac:dyDescent="0.3">
      <c r="A54">
        <v>3.3496613159939903E-2</v>
      </c>
      <c r="B54">
        <v>7.5539459294806698E-3</v>
      </c>
      <c r="C54">
        <v>3.4722196261408399E-2</v>
      </c>
      <c r="D54">
        <v>3.7479666516224701E-3</v>
      </c>
      <c r="E54" t="s">
        <v>1508</v>
      </c>
      <c r="F54" t="s">
        <v>1456</v>
      </c>
      <c r="G54">
        <v>34.482999999999997</v>
      </c>
      <c r="H54">
        <v>8.5697572389587008E-3</v>
      </c>
      <c r="I54">
        <v>45.999000000000002</v>
      </c>
      <c r="J54">
        <v>9.3567760466539696E-4</v>
      </c>
      <c r="K54" t="s">
        <v>993</v>
      </c>
      <c r="L54" t="s">
        <v>941</v>
      </c>
    </row>
    <row r="55" spans="1:12" x14ac:dyDescent="0.3">
      <c r="A55">
        <v>3.7100673423204902E-2</v>
      </c>
      <c r="B55">
        <v>3.1269437697415199E-2</v>
      </c>
      <c r="C55">
        <v>5.5765239502398901E-2</v>
      </c>
      <c r="D55">
        <v>-5.3805310591299397E-3</v>
      </c>
      <c r="E55" t="s">
        <v>1509</v>
      </c>
      <c r="F55" t="s">
        <v>1456</v>
      </c>
      <c r="G55">
        <v>34.954000000000001</v>
      </c>
      <c r="H55">
        <v>1.36589043876694E-2</v>
      </c>
      <c r="I55">
        <v>45.936999999999998</v>
      </c>
      <c r="J55">
        <v>-1.3478553881607299E-3</v>
      </c>
      <c r="K55" t="s">
        <v>994</v>
      </c>
      <c r="L55" t="s">
        <v>941</v>
      </c>
    </row>
    <row r="56" spans="1:12" x14ac:dyDescent="0.3">
      <c r="A56">
        <v>5.3607020035561601E-2</v>
      </c>
      <c r="B56">
        <v>4.5007889346835098E-2</v>
      </c>
      <c r="C56">
        <v>4.7632291898301399E-2</v>
      </c>
      <c r="D56">
        <v>2.2658930308778699E-3</v>
      </c>
      <c r="E56" t="s">
        <v>1510</v>
      </c>
      <c r="F56" t="s">
        <v>1456</v>
      </c>
      <c r="G56">
        <v>35.363</v>
      </c>
      <c r="H56">
        <v>1.17010928649082E-2</v>
      </c>
      <c r="I56">
        <v>45.963000000000001</v>
      </c>
      <c r="J56">
        <v>5.6599255502098899E-4</v>
      </c>
      <c r="K56" t="s">
        <v>995</v>
      </c>
      <c r="L56" t="s">
        <v>941</v>
      </c>
    </row>
    <row r="57" spans="1:12" x14ac:dyDescent="0.3">
      <c r="A57">
        <v>2.6644627827705498E-2</v>
      </c>
      <c r="B57">
        <v>2.64126969592136E-2</v>
      </c>
      <c r="C57">
        <v>3.7969215238040602E-2</v>
      </c>
      <c r="D57">
        <v>-1.13086488994096E-3</v>
      </c>
      <c r="E57" t="s">
        <v>1511</v>
      </c>
      <c r="F57" t="s">
        <v>1456</v>
      </c>
      <c r="G57">
        <v>35.694000000000003</v>
      </c>
      <c r="H57">
        <v>9.3600656052936805E-3</v>
      </c>
      <c r="I57">
        <v>45.95</v>
      </c>
      <c r="J57">
        <v>-2.82836194330227E-4</v>
      </c>
      <c r="K57" t="s">
        <v>996</v>
      </c>
      <c r="L57" t="s">
        <v>941</v>
      </c>
    </row>
    <row r="58" spans="1:12" x14ac:dyDescent="0.3">
      <c r="A58">
        <v>4.3935723897537297E-2</v>
      </c>
      <c r="B58">
        <v>5.28225710519643E-2</v>
      </c>
      <c r="C58">
        <v>7.2018998740306803E-2</v>
      </c>
      <c r="D58">
        <v>4.3596665649268101E-3</v>
      </c>
      <c r="E58" t="s">
        <v>1512</v>
      </c>
      <c r="F58" t="s">
        <v>1456</v>
      </c>
      <c r="G58">
        <v>36.32</v>
      </c>
      <c r="H58">
        <v>1.7537961562167099E-2</v>
      </c>
      <c r="I58">
        <v>46</v>
      </c>
      <c r="J58">
        <v>1.0881392818280499E-3</v>
      </c>
      <c r="K58" t="s">
        <v>997</v>
      </c>
      <c r="L58" t="s">
        <v>941</v>
      </c>
    </row>
    <row r="59" spans="1:12" x14ac:dyDescent="0.3">
      <c r="A59">
        <v>3.93022623248813E-2</v>
      </c>
      <c r="B59">
        <v>4.0487191821635002E-2</v>
      </c>
      <c r="C59">
        <v>4.4330796852368702E-2</v>
      </c>
      <c r="D59">
        <v>1.4249428601276599E-2</v>
      </c>
      <c r="E59" t="s">
        <v>1513</v>
      </c>
      <c r="F59" t="s">
        <v>1456</v>
      </c>
      <c r="G59">
        <v>36.716000000000001</v>
      </c>
      <c r="H59">
        <v>1.09030837004405E-2</v>
      </c>
      <c r="I59">
        <v>46.162999999999997</v>
      </c>
      <c r="J59">
        <v>3.5434782608694299E-3</v>
      </c>
      <c r="K59" t="s">
        <v>998</v>
      </c>
      <c r="L59" t="s">
        <v>941</v>
      </c>
    </row>
    <row r="60" spans="1:12" x14ac:dyDescent="0.3">
      <c r="A60">
        <v>3.1206818640470101E-2</v>
      </c>
      <c r="B60">
        <v>6.08178890509075E-2</v>
      </c>
      <c r="C60">
        <v>4.3619950255883798E-2</v>
      </c>
      <c r="D60">
        <v>1.29734153291148E-2</v>
      </c>
      <c r="E60" t="s">
        <v>1514</v>
      </c>
      <c r="F60" t="s">
        <v>1456</v>
      </c>
      <c r="G60">
        <v>37.11</v>
      </c>
      <c r="H60">
        <v>1.07310164505936E-2</v>
      </c>
      <c r="I60">
        <v>46.311999999999998</v>
      </c>
      <c r="J60">
        <v>3.22769317418703E-3</v>
      </c>
      <c r="K60" t="s">
        <v>999</v>
      </c>
      <c r="L60" t="s">
        <v>941</v>
      </c>
    </row>
    <row r="61" spans="1:12" x14ac:dyDescent="0.3">
      <c r="A61">
        <v>2.4937045869749999E-2</v>
      </c>
      <c r="B61">
        <v>5.0188195911601098E-2</v>
      </c>
      <c r="C61">
        <v>4.8053419713626901E-2</v>
      </c>
      <c r="D61">
        <v>8.1435979249952998E-3</v>
      </c>
      <c r="E61" t="s">
        <v>1515</v>
      </c>
      <c r="F61" t="s">
        <v>1456</v>
      </c>
      <c r="G61">
        <v>37.548000000000002</v>
      </c>
      <c r="H61">
        <v>1.1802748585286999E-2</v>
      </c>
      <c r="I61">
        <v>46.405999999999999</v>
      </c>
      <c r="J61">
        <v>2.0297115218517198E-3</v>
      </c>
      <c r="K61" t="s">
        <v>1000</v>
      </c>
      <c r="L61" t="s">
        <v>941</v>
      </c>
    </row>
    <row r="62" spans="1:12" x14ac:dyDescent="0.3">
      <c r="A62">
        <v>4.8021891562025902E-2</v>
      </c>
      <c r="B62">
        <v>-1.5869949670850401E-2</v>
      </c>
      <c r="C62">
        <v>5.3895269710959599E-2</v>
      </c>
      <c r="D62">
        <v>2.2424648618448499E-2</v>
      </c>
      <c r="E62" t="s">
        <v>1516</v>
      </c>
      <c r="F62" t="s">
        <v>1456</v>
      </c>
      <c r="G62">
        <v>38.043999999999997</v>
      </c>
      <c r="H62">
        <v>1.3209758176201E-2</v>
      </c>
      <c r="I62">
        <v>46.664000000000001</v>
      </c>
      <c r="J62">
        <v>5.5596259104426799E-3</v>
      </c>
      <c r="K62" t="s">
        <v>1001</v>
      </c>
      <c r="L62" t="s">
        <v>941</v>
      </c>
    </row>
    <row r="63" spans="1:12" x14ac:dyDescent="0.3">
      <c r="A63">
        <v>3.2831975950411901E-2</v>
      </c>
      <c r="B63">
        <v>9.4485381047573203E-3</v>
      </c>
      <c r="C63">
        <v>4.6526948089148097E-2</v>
      </c>
      <c r="D63">
        <v>1.2400816449865701E-2</v>
      </c>
      <c r="E63" t="s">
        <v>1517</v>
      </c>
      <c r="F63" t="s">
        <v>1456</v>
      </c>
      <c r="G63">
        <v>38.478999999999999</v>
      </c>
      <c r="H63">
        <v>1.1434128903375E-2</v>
      </c>
      <c r="I63">
        <v>46.808</v>
      </c>
      <c r="J63">
        <v>3.0858906223212301E-3</v>
      </c>
      <c r="K63" t="s">
        <v>1002</v>
      </c>
      <c r="L63" t="s">
        <v>941</v>
      </c>
    </row>
    <row r="64" spans="1:12" x14ac:dyDescent="0.3">
      <c r="A64">
        <v>3.1711964087017402E-2</v>
      </c>
      <c r="B64">
        <v>2.1519541922931699E-2</v>
      </c>
      <c r="C64">
        <v>3.7630817464174598E-2</v>
      </c>
      <c r="D64">
        <v>1.6508679737656601E-2</v>
      </c>
      <c r="E64" t="s">
        <v>1518</v>
      </c>
      <c r="F64" t="s">
        <v>1456</v>
      </c>
      <c r="G64">
        <v>38.835999999999999</v>
      </c>
      <c r="H64">
        <v>9.2777878843004497E-3</v>
      </c>
      <c r="I64">
        <v>47</v>
      </c>
      <c r="J64">
        <v>4.1018629294138397E-3</v>
      </c>
      <c r="K64" t="s">
        <v>1003</v>
      </c>
      <c r="L64" t="s">
        <v>941</v>
      </c>
    </row>
    <row r="65" spans="1:12" x14ac:dyDescent="0.3">
      <c r="A65">
        <v>2.8237310351865798E-2</v>
      </c>
      <c r="B65">
        <v>2.6513418939119401E-2</v>
      </c>
      <c r="C65">
        <v>4.0884190168569902E-2</v>
      </c>
      <c r="D65">
        <v>2.40435812756121E-2</v>
      </c>
      <c r="E65" t="s">
        <v>1519</v>
      </c>
      <c r="F65" t="s">
        <v>1456</v>
      </c>
      <c r="G65">
        <v>39.226999999999997</v>
      </c>
      <c r="H65">
        <v>1.0067978164589601E-2</v>
      </c>
      <c r="I65">
        <v>47.28</v>
      </c>
      <c r="J65">
        <v>5.9574468085106204E-3</v>
      </c>
      <c r="K65" t="s">
        <v>1004</v>
      </c>
      <c r="L65" t="s">
        <v>941</v>
      </c>
    </row>
    <row r="66" spans="1:12" x14ac:dyDescent="0.3">
      <c r="A66">
        <v>2.86487834236928E-2</v>
      </c>
      <c r="B66">
        <v>-1.00878062845416E-2</v>
      </c>
      <c r="C66">
        <v>1.47648166353573E-2</v>
      </c>
      <c r="D66">
        <v>2.5106061305751201E-2</v>
      </c>
      <c r="E66" t="s">
        <v>1520</v>
      </c>
      <c r="F66" t="s">
        <v>1456</v>
      </c>
      <c r="G66">
        <v>39.371000000000002</v>
      </c>
      <c r="H66">
        <v>3.6709409335409201E-3</v>
      </c>
      <c r="I66">
        <v>47.573999999999998</v>
      </c>
      <c r="J66">
        <v>6.2182741116749698E-3</v>
      </c>
      <c r="K66" t="s">
        <v>1005</v>
      </c>
      <c r="L66" t="s">
        <v>941</v>
      </c>
    </row>
    <row r="67" spans="1:12" x14ac:dyDescent="0.3">
      <c r="A67">
        <v>-4.2153079272678803E-3</v>
      </c>
      <c r="B67">
        <v>-9.8843189037382002E-3</v>
      </c>
      <c r="C67">
        <v>1.2042523964300099E-2</v>
      </c>
      <c r="D67">
        <v>4.1753162692227598E-2</v>
      </c>
      <c r="E67" t="s">
        <v>1521</v>
      </c>
      <c r="F67" t="s">
        <v>1456</v>
      </c>
      <c r="G67">
        <v>39.488999999999997</v>
      </c>
      <c r="H67">
        <v>2.9971298671609401E-3</v>
      </c>
      <c r="I67">
        <v>48.063000000000002</v>
      </c>
      <c r="J67">
        <v>1.02787236725943E-2</v>
      </c>
      <c r="K67" t="s">
        <v>1006</v>
      </c>
      <c r="L67" t="s">
        <v>941</v>
      </c>
    </row>
    <row r="68" spans="1:12" x14ac:dyDescent="0.3">
      <c r="A68">
        <v>2.1224970793817698E-2</v>
      </c>
      <c r="B68">
        <v>5.6401548408471199E-3</v>
      </c>
      <c r="C68">
        <v>3.4679470629119601E-2</v>
      </c>
      <c r="D68">
        <v>3.6953475595025202E-2</v>
      </c>
      <c r="E68" t="s">
        <v>1522</v>
      </c>
      <c r="F68" t="s">
        <v>1456</v>
      </c>
      <c r="G68">
        <v>39.826999999999998</v>
      </c>
      <c r="H68">
        <v>8.5593456405581598E-3</v>
      </c>
      <c r="I68">
        <v>48.500999999999998</v>
      </c>
      <c r="J68">
        <v>9.1130391361338194E-3</v>
      </c>
      <c r="K68" t="s">
        <v>1007</v>
      </c>
      <c r="L68" t="s">
        <v>941</v>
      </c>
    </row>
    <row r="69" spans="1:12" x14ac:dyDescent="0.3">
      <c r="A69">
        <v>2.4413629868112598E-2</v>
      </c>
      <c r="B69">
        <v>4.55022354216461E-3</v>
      </c>
      <c r="C69">
        <v>5.3779833992726497E-2</v>
      </c>
      <c r="D69">
        <v>4.4006184582173501E-2</v>
      </c>
      <c r="E69" t="s">
        <v>1523</v>
      </c>
      <c r="F69" t="s">
        <v>1456</v>
      </c>
      <c r="G69">
        <v>40.351999999999997</v>
      </c>
      <c r="H69">
        <v>1.3182012202777E-2</v>
      </c>
      <c r="I69">
        <v>49.026000000000003</v>
      </c>
      <c r="J69">
        <v>1.08245190820808E-2</v>
      </c>
      <c r="K69" t="s">
        <v>1008</v>
      </c>
      <c r="L69" t="s">
        <v>941</v>
      </c>
    </row>
    <row r="70" spans="1:12" x14ac:dyDescent="0.3">
      <c r="A70">
        <v>3.8220568833408297E-2</v>
      </c>
      <c r="B70">
        <v>-6.8268953681047701E-3</v>
      </c>
      <c r="C70">
        <v>6.6318650583382599E-2</v>
      </c>
      <c r="D70">
        <v>2.5866237951436302E-2</v>
      </c>
      <c r="E70" t="s">
        <v>1524</v>
      </c>
      <c r="F70" t="s">
        <v>1456</v>
      </c>
      <c r="G70">
        <v>41.005000000000003</v>
      </c>
      <c r="H70">
        <v>1.61825931800159E-2</v>
      </c>
      <c r="I70">
        <v>49.34</v>
      </c>
      <c r="J70">
        <v>6.4047648186675897E-3</v>
      </c>
      <c r="K70" t="s">
        <v>1009</v>
      </c>
      <c r="L70" t="s">
        <v>941</v>
      </c>
    </row>
    <row r="71" spans="1:12" x14ac:dyDescent="0.3">
      <c r="A71">
        <v>3.9129087464599803E-2</v>
      </c>
      <c r="B71">
        <v>1.9164012541417402E-2</v>
      </c>
      <c r="C71">
        <v>5.3726223643289599E-2</v>
      </c>
      <c r="D71">
        <v>3.4070959420577702E-2</v>
      </c>
      <c r="E71" t="s">
        <v>1525</v>
      </c>
      <c r="F71" t="s">
        <v>1456</v>
      </c>
      <c r="G71">
        <v>41.545000000000002</v>
      </c>
      <c r="H71">
        <v>1.3169125716376E-2</v>
      </c>
      <c r="I71">
        <v>49.755000000000003</v>
      </c>
      <c r="J71">
        <v>8.4110255370895004E-3</v>
      </c>
      <c r="K71" t="s">
        <v>1010</v>
      </c>
      <c r="L71" t="s">
        <v>941</v>
      </c>
    </row>
    <row r="72" spans="1:12" x14ac:dyDescent="0.3">
      <c r="A72">
        <v>3.8454021368670203E-2</v>
      </c>
      <c r="B72">
        <v>2.9219770282175001E-2</v>
      </c>
      <c r="C72">
        <v>5.1713813262120399E-2</v>
      </c>
      <c r="D72">
        <v>3.6092988240003197E-2</v>
      </c>
      <c r="E72" t="s">
        <v>1526</v>
      </c>
      <c r="F72" t="s">
        <v>1456</v>
      </c>
      <c r="G72">
        <v>42.072000000000003</v>
      </c>
      <c r="H72">
        <v>1.2685040317727899E-2</v>
      </c>
      <c r="I72">
        <v>50.198</v>
      </c>
      <c r="J72">
        <v>8.9036277761027592E-3</v>
      </c>
      <c r="K72" t="s">
        <v>1011</v>
      </c>
      <c r="L72" t="s">
        <v>941</v>
      </c>
    </row>
    <row r="73" spans="1:12" x14ac:dyDescent="0.3">
      <c r="A73">
        <v>3.5013174112648898E-2</v>
      </c>
      <c r="B73">
        <v>8.3996255435596599E-3</v>
      </c>
      <c r="C73">
        <v>2.4659104438458999E-2</v>
      </c>
      <c r="D73">
        <v>2.13651369698558E-2</v>
      </c>
      <c r="E73" t="s">
        <v>1527</v>
      </c>
      <c r="F73" t="s">
        <v>1456</v>
      </c>
      <c r="G73">
        <v>42.329000000000001</v>
      </c>
      <c r="H73">
        <v>6.1085757748620103E-3</v>
      </c>
      <c r="I73">
        <v>50.463999999999999</v>
      </c>
      <c r="J73">
        <v>5.29901589704762E-3</v>
      </c>
      <c r="K73" t="s">
        <v>1012</v>
      </c>
      <c r="L73" t="s">
        <v>941</v>
      </c>
    </row>
    <row r="74" spans="1:12" x14ac:dyDescent="0.3">
      <c r="A74">
        <v>3.19577361885768E-2</v>
      </c>
      <c r="B74">
        <v>5.5666299963321703E-2</v>
      </c>
      <c r="C74">
        <v>1.7884305064996799E-2</v>
      </c>
      <c r="D74">
        <v>3.2571809116936898E-2</v>
      </c>
      <c r="E74" t="s">
        <v>1528</v>
      </c>
      <c r="F74" t="s">
        <v>1456</v>
      </c>
      <c r="G74">
        <v>42.517000000000003</v>
      </c>
      <c r="H74">
        <v>4.4413995133361101E-3</v>
      </c>
      <c r="I74">
        <v>50.87</v>
      </c>
      <c r="J74">
        <v>8.0453392517438899E-3</v>
      </c>
      <c r="K74" t="s">
        <v>1013</v>
      </c>
      <c r="L74" t="s">
        <v>941</v>
      </c>
    </row>
    <row r="75" spans="1:12" x14ac:dyDescent="0.3">
      <c r="A75">
        <v>4.4899260052234199E-2</v>
      </c>
      <c r="B75">
        <v>3.99278081765242E-2</v>
      </c>
      <c r="C75">
        <v>4.3789897152202203E-2</v>
      </c>
      <c r="D75">
        <v>2.2279292577718199E-2</v>
      </c>
      <c r="E75" t="s">
        <v>1529</v>
      </c>
      <c r="F75" t="s">
        <v>1456</v>
      </c>
      <c r="G75">
        <v>42.975000000000001</v>
      </c>
      <c r="H75">
        <v>1.0772161723545901E-2</v>
      </c>
      <c r="I75">
        <v>51.151000000000003</v>
      </c>
      <c r="J75">
        <v>5.5238844112444098E-3</v>
      </c>
      <c r="K75" t="s">
        <v>1014</v>
      </c>
      <c r="L75" t="s">
        <v>941</v>
      </c>
    </row>
    <row r="76" spans="1:12" x14ac:dyDescent="0.3">
      <c r="A76">
        <v>5.0215068802573502E-2</v>
      </c>
      <c r="B76">
        <v>2.3053377277420399E-2</v>
      </c>
      <c r="C76">
        <v>3.6032445200426998E-2</v>
      </c>
      <c r="D76">
        <v>2.6056753006691701E-2</v>
      </c>
      <c r="E76" t="s">
        <v>1530</v>
      </c>
      <c r="F76" t="s">
        <v>1456</v>
      </c>
      <c r="G76">
        <v>43.356999999999999</v>
      </c>
      <c r="H76">
        <v>8.8888888888889496E-3</v>
      </c>
      <c r="I76">
        <v>51.481000000000002</v>
      </c>
      <c r="J76">
        <v>6.45148677445206E-3</v>
      </c>
      <c r="K76" t="s">
        <v>1015</v>
      </c>
      <c r="L76" t="s">
        <v>941</v>
      </c>
    </row>
    <row r="77" spans="1:12" x14ac:dyDescent="0.3">
      <c r="A77">
        <v>4.1025346631292002E-2</v>
      </c>
      <c r="B77">
        <v>3.2561998713341901E-2</v>
      </c>
      <c r="C77">
        <v>5.2865449677459202E-2</v>
      </c>
      <c r="D77">
        <v>2.13020937510979E-2</v>
      </c>
      <c r="E77" t="s">
        <v>1531</v>
      </c>
      <c r="F77" t="s">
        <v>1456</v>
      </c>
      <c r="G77">
        <v>43.918999999999997</v>
      </c>
      <c r="H77">
        <v>1.29621514403671E-2</v>
      </c>
      <c r="I77">
        <v>51.753</v>
      </c>
      <c r="J77">
        <v>5.2835026514637101E-3</v>
      </c>
      <c r="K77" t="s">
        <v>1016</v>
      </c>
      <c r="L77" t="s">
        <v>941</v>
      </c>
    </row>
    <row r="78" spans="1:12" x14ac:dyDescent="0.3">
      <c r="A78">
        <v>4.6770164599538401E-2</v>
      </c>
      <c r="B78">
        <v>3.00519488200592E-2</v>
      </c>
      <c r="C78">
        <v>6.2050852369377699E-2</v>
      </c>
      <c r="D78">
        <v>1.9463013158635498E-2</v>
      </c>
      <c r="E78" t="s">
        <v>1532</v>
      </c>
      <c r="F78" t="s">
        <v>1456</v>
      </c>
      <c r="G78">
        <v>44.585000000000001</v>
      </c>
      <c r="H78">
        <v>1.5164279696714401E-2</v>
      </c>
      <c r="I78">
        <v>52.003</v>
      </c>
      <c r="J78">
        <v>4.8306378374200999E-3</v>
      </c>
      <c r="K78" t="s">
        <v>1017</v>
      </c>
      <c r="L78" t="s">
        <v>941</v>
      </c>
    </row>
    <row r="79" spans="1:12" x14ac:dyDescent="0.3">
      <c r="A79">
        <v>5.4994617531312101E-2</v>
      </c>
      <c r="B79">
        <v>2.9679316947533299E-2</v>
      </c>
      <c r="C79">
        <v>6.0821876360983101E-2</v>
      </c>
      <c r="D79">
        <v>3.2856918868300999E-2</v>
      </c>
      <c r="E79" t="s">
        <v>1533</v>
      </c>
      <c r="F79" t="s">
        <v>1456</v>
      </c>
      <c r="G79">
        <v>45.247999999999998</v>
      </c>
      <c r="H79">
        <v>1.48704721318829E-2</v>
      </c>
      <c r="I79">
        <v>52.424999999999997</v>
      </c>
      <c r="J79">
        <v>8.1149164471279196E-3</v>
      </c>
      <c r="K79" t="s">
        <v>1018</v>
      </c>
      <c r="L79" t="s">
        <v>941</v>
      </c>
    </row>
    <row r="80" spans="1:12" x14ac:dyDescent="0.3">
      <c r="A80">
        <v>2.3822978628153201E-2</v>
      </c>
      <c r="B80">
        <v>2.0057150963272801E-2</v>
      </c>
      <c r="C80">
        <v>3.9922896172757301E-2</v>
      </c>
      <c r="D80">
        <v>3.0012482573731999E-2</v>
      </c>
      <c r="E80" t="s">
        <v>1534</v>
      </c>
      <c r="F80" t="s">
        <v>1456</v>
      </c>
      <c r="G80">
        <v>45.692999999999998</v>
      </c>
      <c r="H80">
        <v>9.8346888260254506E-3</v>
      </c>
      <c r="I80">
        <v>52.814</v>
      </c>
      <c r="J80">
        <v>7.4201239866476002E-3</v>
      </c>
      <c r="K80" t="s">
        <v>1019</v>
      </c>
      <c r="L80" t="s">
        <v>941</v>
      </c>
    </row>
    <row r="81" spans="1:12" x14ac:dyDescent="0.3">
      <c r="A81">
        <v>3.1803231650019199E-2</v>
      </c>
      <c r="B81">
        <v>1.4432124176051201E-2</v>
      </c>
      <c r="C81">
        <v>6.0046453160524503E-2</v>
      </c>
      <c r="D81">
        <v>2.2222434897181301E-2</v>
      </c>
      <c r="E81" t="s">
        <v>1535</v>
      </c>
      <c r="F81" t="s">
        <v>1456</v>
      </c>
      <c r="G81">
        <v>46.363999999999997</v>
      </c>
      <c r="H81">
        <v>1.46849626857506E-2</v>
      </c>
      <c r="I81">
        <v>53.104999999999997</v>
      </c>
      <c r="J81">
        <v>5.5099026773204303E-3</v>
      </c>
      <c r="K81" t="s">
        <v>1020</v>
      </c>
      <c r="L81" t="s">
        <v>941</v>
      </c>
    </row>
    <row r="82" spans="1:12" x14ac:dyDescent="0.3">
      <c r="A82">
        <v>5.92740793130948E-2</v>
      </c>
      <c r="B82">
        <v>2.8330647899498702E-2</v>
      </c>
      <c r="C82">
        <v>6.4935137330784501E-2</v>
      </c>
      <c r="D82">
        <v>2.9085137772108E-2</v>
      </c>
      <c r="E82" t="s">
        <v>1536</v>
      </c>
      <c r="F82" t="s">
        <v>1456</v>
      </c>
      <c r="G82">
        <v>47.098999999999997</v>
      </c>
      <c r="H82">
        <v>1.5852816840652199E-2</v>
      </c>
      <c r="I82">
        <v>53.487000000000002</v>
      </c>
      <c r="J82">
        <v>7.1932962997835999E-3</v>
      </c>
      <c r="K82" t="s">
        <v>1021</v>
      </c>
      <c r="L82" t="s">
        <v>941</v>
      </c>
    </row>
    <row r="83" spans="1:12" x14ac:dyDescent="0.3">
      <c r="A83">
        <v>3.6833081072387398E-2</v>
      </c>
      <c r="B83">
        <v>7.0464261662823505E-2</v>
      </c>
      <c r="C83">
        <v>4.34077415784246E-2</v>
      </c>
      <c r="D83">
        <v>3.5768290293157798E-2</v>
      </c>
      <c r="E83" t="s">
        <v>1537</v>
      </c>
      <c r="F83" t="s">
        <v>1456</v>
      </c>
      <c r="G83">
        <v>47.601999999999997</v>
      </c>
      <c r="H83">
        <v>1.0679632263954599E-2</v>
      </c>
      <c r="I83">
        <v>53.959000000000003</v>
      </c>
      <c r="J83">
        <v>8.8245741955990092E-3</v>
      </c>
      <c r="K83" t="s">
        <v>1022</v>
      </c>
      <c r="L83" t="s">
        <v>941</v>
      </c>
    </row>
    <row r="84" spans="1:12" x14ac:dyDescent="0.3">
      <c r="A84">
        <v>5.1769155239957503E-2</v>
      </c>
      <c r="B84">
        <v>5.3870047588526803E-3</v>
      </c>
      <c r="C84">
        <v>5.9429132401131797E-2</v>
      </c>
      <c r="D84">
        <v>3.9413809912278698E-2</v>
      </c>
      <c r="E84" t="s">
        <v>1538</v>
      </c>
      <c r="F84" t="s">
        <v>1456</v>
      </c>
      <c r="G84">
        <v>48.293999999999997</v>
      </c>
      <c r="H84">
        <v>1.4537204319146299E-2</v>
      </c>
      <c r="I84">
        <v>54.482999999999997</v>
      </c>
      <c r="J84">
        <v>9.7110769287791499E-3</v>
      </c>
      <c r="K84" t="s">
        <v>1023</v>
      </c>
      <c r="L84" t="s">
        <v>941</v>
      </c>
    </row>
    <row r="85" spans="1:12" x14ac:dyDescent="0.3">
      <c r="A85">
        <v>5.3985249536158401E-2</v>
      </c>
      <c r="B85">
        <v>4.8480456964960797E-2</v>
      </c>
      <c r="C85">
        <v>7.7879333039596599E-2</v>
      </c>
      <c r="D85">
        <v>1.0688095589023601E-2</v>
      </c>
      <c r="E85" t="s">
        <v>1539</v>
      </c>
      <c r="F85" t="s">
        <v>1456</v>
      </c>
      <c r="G85">
        <v>49.207999999999998</v>
      </c>
      <c r="H85">
        <v>1.8925746469540702E-2</v>
      </c>
      <c r="I85">
        <v>54.628</v>
      </c>
      <c r="J85">
        <v>2.66138061413668E-3</v>
      </c>
      <c r="K85" t="s">
        <v>1024</v>
      </c>
      <c r="L85" t="s">
        <v>941</v>
      </c>
    </row>
    <row r="86" spans="1:12" x14ac:dyDescent="0.3">
      <c r="A86">
        <v>2.1158982786186002E-2</v>
      </c>
      <c r="B86">
        <v>3.6386290478485302E-2</v>
      </c>
      <c r="C86">
        <v>1.91574066493869E-2</v>
      </c>
      <c r="D86">
        <v>7.9315148019272197E-3</v>
      </c>
      <c r="E86" t="s">
        <v>1540</v>
      </c>
      <c r="F86" t="s">
        <v>1456</v>
      </c>
      <c r="G86">
        <v>49.442</v>
      </c>
      <c r="H86">
        <v>4.7553243375060301E-3</v>
      </c>
      <c r="I86">
        <v>54.735999999999997</v>
      </c>
      <c r="J86">
        <v>1.9770081276999601E-3</v>
      </c>
      <c r="K86" t="s">
        <v>1025</v>
      </c>
      <c r="L86" t="s">
        <v>941</v>
      </c>
    </row>
    <row r="87" spans="1:12" x14ac:dyDescent="0.3">
      <c r="A87">
        <v>2.2052154501282398E-2</v>
      </c>
      <c r="B87">
        <v>1.9883287825612099E-2</v>
      </c>
      <c r="C87">
        <v>2.5316754451185201E-2</v>
      </c>
      <c r="D87">
        <v>2.0767815828135701E-2</v>
      </c>
      <c r="E87" t="s">
        <v>1541</v>
      </c>
      <c r="F87" t="s">
        <v>1456</v>
      </c>
      <c r="G87">
        <v>49.752000000000002</v>
      </c>
      <c r="H87">
        <v>6.2699728975366097E-3</v>
      </c>
      <c r="I87">
        <v>55.018000000000001</v>
      </c>
      <c r="J87">
        <v>5.1520023384976597E-3</v>
      </c>
      <c r="K87" t="s">
        <v>1026</v>
      </c>
      <c r="L87" t="s">
        <v>941</v>
      </c>
    </row>
    <row r="88" spans="1:12" x14ac:dyDescent="0.3">
      <c r="A88">
        <v>2.7438615126695699E-2</v>
      </c>
      <c r="B88">
        <v>5.2374465161812503E-2</v>
      </c>
      <c r="C88">
        <v>3.8739820782161899E-2</v>
      </c>
      <c r="D88">
        <v>1.0657034721188501E-2</v>
      </c>
      <c r="E88" t="s">
        <v>1542</v>
      </c>
      <c r="F88" t="s">
        <v>1456</v>
      </c>
      <c r="G88">
        <v>50.226999999999997</v>
      </c>
      <c r="H88">
        <v>9.5473548802056402E-3</v>
      </c>
      <c r="I88">
        <v>55.164000000000001</v>
      </c>
      <c r="J88">
        <v>2.6536769784435399E-3</v>
      </c>
      <c r="K88" t="s">
        <v>1027</v>
      </c>
      <c r="L88" t="s">
        <v>941</v>
      </c>
    </row>
    <row r="89" spans="1:12" x14ac:dyDescent="0.3">
      <c r="A89">
        <v>2.9370792816648401E-2</v>
      </c>
      <c r="B89">
        <v>4.1076934031538899E-2</v>
      </c>
      <c r="C89">
        <v>4.6254885206873202E-2</v>
      </c>
      <c r="D89">
        <v>-9.9690396175571294E-3</v>
      </c>
      <c r="E89" t="s">
        <v>1543</v>
      </c>
      <c r="F89" t="s">
        <v>1456</v>
      </c>
      <c r="G89">
        <v>50.798000000000002</v>
      </c>
      <c r="H89">
        <v>1.13683875206563E-2</v>
      </c>
      <c r="I89">
        <v>55.026000000000003</v>
      </c>
      <c r="J89">
        <v>-2.5016314988035599E-3</v>
      </c>
      <c r="K89" t="s">
        <v>1028</v>
      </c>
      <c r="L89" t="s">
        <v>941</v>
      </c>
    </row>
    <row r="90" spans="1:12" x14ac:dyDescent="0.3">
      <c r="A90">
        <v>2.5261592124571599E-2</v>
      </c>
      <c r="B90">
        <v>5.8581566563336001E-3</v>
      </c>
      <c r="C90">
        <v>3.8335869645315497E-2</v>
      </c>
      <c r="D90">
        <v>-1.04267601108922E-2</v>
      </c>
      <c r="E90" t="s">
        <v>1544</v>
      </c>
      <c r="F90" t="s">
        <v>1456</v>
      </c>
      <c r="G90">
        <v>51.277999999999999</v>
      </c>
      <c r="H90">
        <v>9.4491909130280903E-3</v>
      </c>
      <c r="I90">
        <v>54.881999999999998</v>
      </c>
      <c r="J90">
        <v>-2.61694471704299E-3</v>
      </c>
      <c r="K90" t="s">
        <v>1029</v>
      </c>
      <c r="L90" t="s">
        <v>941</v>
      </c>
    </row>
    <row r="91" spans="1:12" x14ac:dyDescent="0.3">
      <c r="A91">
        <v>2.6883329197386899E-2</v>
      </c>
      <c r="B91">
        <v>1.4672046081608801E-2</v>
      </c>
      <c r="C91">
        <v>5.5488923116520997E-2</v>
      </c>
      <c r="D91">
        <v>1.90848323659343E-2</v>
      </c>
      <c r="E91" t="s">
        <v>1545</v>
      </c>
      <c r="F91" t="s">
        <v>1456</v>
      </c>
      <c r="G91">
        <v>51.975000000000001</v>
      </c>
      <c r="H91">
        <v>1.35925738133313E-2</v>
      </c>
      <c r="I91">
        <v>55.142000000000003</v>
      </c>
      <c r="J91">
        <v>4.7374366823367299E-3</v>
      </c>
      <c r="K91" t="s">
        <v>1030</v>
      </c>
      <c r="L91" t="s">
        <v>941</v>
      </c>
    </row>
    <row r="92" spans="1:12" x14ac:dyDescent="0.3">
      <c r="A92">
        <v>2.57889573012124E-2</v>
      </c>
      <c r="B92">
        <v>3.5352763805176303E-2</v>
      </c>
      <c r="C92">
        <v>3.4689577494526398E-2</v>
      </c>
      <c r="D92">
        <v>8.1492648352745594E-3</v>
      </c>
      <c r="E92" t="s">
        <v>1546</v>
      </c>
      <c r="F92" t="s">
        <v>1456</v>
      </c>
      <c r="G92">
        <v>52.42</v>
      </c>
      <c r="H92">
        <v>8.5618085618086592E-3</v>
      </c>
      <c r="I92">
        <v>55.253999999999998</v>
      </c>
      <c r="J92">
        <v>2.03111965470959E-3</v>
      </c>
      <c r="K92" t="s">
        <v>1031</v>
      </c>
      <c r="L92" t="s">
        <v>941</v>
      </c>
    </row>
    <row r="93" spans="1:12" x14ac:dyDescent="0.3">
      <c r="A93">
        <v>2.8170464275272301E-2</v>
      </c>
      <c r="B93">
        <v>2.5395981622951001E-2</v>
      </c>
      <c r="C93">
        <v>2.9547347848341E-2</v>
      </c>
      <c r="D93">
        <v>1.8368205985927599E-2</v>
      </c>
      <c r="E93" t="s">
        <v>1547</v>
      </c>
      <c r="F93" t="s">
        <v>1456</v>
      </c>
      <c r="G93">
        <v>52.802999999999997</v>
      </c>
      <c r="H93">
        <v>7.3063716138877001E-3</v>
      </c>
      <c r="I93">
        <v>55.506</v>
      </c>
      <c r="J93">
        <v>4.5607557823867896E-3</v>
      </c>
      <c r="K93" t="s">
        <v>1032</v>
      </c>
      <c r="L93" t="s">
        <v>941</v>
      </c>
    </row>
    <row r="94" spans="1:12" x14ac:dyDescent="0.3">
      <c r="A94">
        <v>2.40619409805858E-2</v>
      </c>
      <c r="B94">
        <v>9.9983702538513092E-3</v>
      </c>
      <c r="C94">
        <v>2.2073085991106502E-2</v>
      </c>
      <c r="D94">
        <v>3.0096377482488099E-2</v>
      </c>
      <c r="E94" t="s">
        <v>1548</v>
      </c>
      <c r="F94" t="s">
        <v>1456</v>
      </c>
      <c r="G94">
        <v>53.091999999999999</v>
      </c>
      <c r="H94">
        <v>5.4731738726967504E-3</v>
      </c>
      <c r="I94">
        <v>55.918999999999997</v>
      </c>
      <c r="J94">
        <v>7.4406370482469298E-3</v>
      </c>
      <c r="K94" t="s">
        <v>1033</v>
      </c>
      <c r="L94" t="s">
        <v>941</v>
      </c>
    </row>
    <row r="95" spans="1:12" x14ac:dyDescent="0.3">
      <c r="A95">
        <v>2.70873737268695E-2</v>
      </c>
      <c r="B95">
        <v>1.7716185249098602E-2</v>
      </c>
      <c r="C95">
        <v>2.3867747826854101E-2</v>
      </c>
      <c r="D95">
        <v>2.3524161594785199E-2</v>
      </c>
      <c r="E95" t="s">
        <v>1549</v>
      </c>
      <c r="F95" t="s">
        <v>1456</v>
      </c>
      <c r="G95">
        <v>53.405999999999999</v>
      </c>
      <c r="H95">
        <v>5.91426203571155E-3</v>
      </c>
      <c r="I95">
        <v>56.244999999999997</v>
      </c>
      <c r="J95">
        <v>5.8298610490172802E-3</v>
      </c>
      <c r="K95" t="s">
        <v>1034</v>
      </c>
      <c r="L95" t="s">
        <v>941</v>
      </c>
    </row>
    <row r="96" spans="1:12" x14ac:dyDescent="0.3">
      <c r="A96">
        <v>1.7542540867755401E-2</v>
      </c>
      <c r="B96">
        <v>2.9283418694515902E-2</v>
      </c>
      <c r="C96">
        <v>1.3096071782226999E-2</v>
      </c>
      <c r="D96">
        <v>4.0598599880798903E-3</v>
      </c>
      <c r="E96" t="s">
        <v>1550</v>
      </c>
      <c r="F96" t="s">
        <v>1456</v>
      </c>
      <c r="G96">
        <v>53.58</v>
      </c>
      <c r="H96">
        <v>3.2580608920345102E-3</v>
      </c>
      <c r="I96">
        <v>56.302</v>
      </c>
      <c r="J96">
        <v>1.01342341541466E-3</v>
      </c>
      <c r="K96" t="s">
        <v>1035</v>
      </c>
      <c r="L96" t="s">
        <v>941</v>
      </c>
    </row>
    <row r="97" spans="1:12" x14ac:dyDescent="0.3">
      <c r="A97">
        <v>2.3240038949048102E-2</v>
      </c>
      <c r="B97">
        <v>3.6370296177081797E-2</v>
      </c>
      <c r="C97">
        <v>2.0612838101556001E-2</v>
      </c>
      <c r="D97">
        <v>1.8816279960193898E-2</v>
      </c>
      <c r="E97" t="s">
        <v>1551</v>
      </c>
      <c r="F97" t="s">
        <v>1456</v>
      </c>
      <c r="G97">
        <v>53.853999999999999</v>
      </c>
      <c r="H97">
        <v>5.1138484509145599E-3</v>
      </c>
      <c r="I97">
        <v>56.564999999999998</v>
      </c>
      <c r="J97">
        <v>4.6712372562254202E-3</v>
      </c>
      <c r="K97" t="s">
        <v>1036</v>
      </c>
      <c r="L97" t="s">
        <v>941</v>
      </c>
    </row>
    <row r="98" spans="1:12" x14ac:dyDescent="0.3">
      <c r="A98">
        <v>1.4387423449919501E-2</v>
      </c>
      <c r="B98">
        <v>1.8449816517922799E-2</v>
      </c>
      <c r="C98">
        <v>3.3921123111567301E-2</v>
      </c>
      <c r="D98">
        <v>2.9526755688726598E-2</v>
      </c>
      <c r="E98" t="s">
        <v>1552</v>
      </c>
      <c r="F98" t="s">
        <v>1456</v>
      </c>
      <c r="G98">
        <v>54.305</v>
      </c>
      <c r="H98">
        <v>8.3744940023024999E-3</v>
      </c>
      <c r="I98">
        <v>56.978000000000002</v>
      </c>
      <c r="J98">
        <v>7.3013347476356101E-3</v>
      </c>
      <c r="K98" t="s">
        <v>1037</v>
      </c>
      <c r="L98" t="s">
        <v>941</v>
      </c>
    </row>
    <row r="99" spans="1:12" x14ac:dyDescent="0.3">
      <c r="A99">
        <v>2.2496438657089599E-2</v>
      </c>
      <c r="B99">
        <v>3.3991498444716703E-2</v>
      </c>
      <c r="C99">
        <v>2.3479894269272002E-2</v>
      </c>
      <c r="D99">
        <v>1.7453105874537699E-2</v>
      </c>
      <c r="E99" t="s">
        <v>1553</v>
      </c>
      <c r="F99" t="s">
        <v>1456</v>
      </c>
      <c r="G99">
        <v>54.621000000000002</v>
      </c>
      <c r="H99">
        <v>5.8189853604639899E-3</v>
      </c>
      <c r="I99">
        <v>57.225000000000001</v>
      </c>
      <c r="J99">
        <v>4.3350064937344203E-3</v>
      </c>
      <c r="K99" t="s">
        <v>1038</v>
      </c>
      <c r="L99" t="s">
        <v>941</v>
      </c>
    </row>
    <row r="100" spans="1:12" x14ac:dyDescent="0.3">
      <c r="A100">
        <v>2.90726218207682E-2</v>
      </c>
      <c r="B100">
        <v>2.3185974053502999E-2</v>
      </c>
      <c r="C100">
        <v>3.5391871305663798E-2</v>
      </c>
      <c r="D100">
        <v>3.5482240520336501E-2</v>
      </c>
      <c r="E100" t="s">
        <v>1554</v>
      </c>
      <c r="F100" t="s">
        <v>1456</v>
      </c>
      <c r="G100">
        <v>55.097999999999999</v>
      </c>
      <c r="H100">
        <v>8.7329049266764401E-3</v>
      </c>
      <c r="I100">
        <v>57.725999999999999</v>
      </c>
      <c r="J100">
        <v>8.7549148099605994E-3</v>
      </c>
      <c r="K100" t="s">
        <v>1039</v>
      </c>
      <c r="L100" t="s">
        <v>941</v>
      </c>
    </row>
    <row r="101" spans="1:12" x14ac:dyDescent="0.3">
      <c r="A101">
        <v>1.88663260541506E-2</v>
      </c>
      <c r="B101">
        <v>3.3254108726641599E-2</v>
      </c>
      <c r="C101">
        <v>3.4634574022881899E-2</v>
      </c>
      <c r="D101">
        <v>3.3748767658719397E-2</v>
      </c>
      <c r="E101" t="s">
        <v>1555</v>
      </c>
      <c r="F101" t="s">
        <v>1456</v>
      </c>
      <c r="G101">
        <v>55.569000000000003</v>
      </c>
      <c r="H101">
        <v>8.5484046607862095E-3</v>
      </c>
      <c r="I101">
        <v>58.207000000000001</v>
      </c>
      <c r="J101">
        <v>8.3324671725046907E-3</v>
      </c>
      <c r="K101" t="s">
        <v>1040</v>
      </c>
      <c r="L101" t="s">
        <v>941</v>
      </c>
    </row>
    <row r="102" spans="1:12" x14ac:dyDescent="0.3">
      <c r="A102">
        <v>1.9752209109685798E-2</v>
      </c>
      <c r="B102">
        <v>3.4122786590531799E-2</v>
      </c>
      <c r="C102">
        <v>1.8555272424330301E-2</v>
      </c>
      <c r="D102">
        <v>4.0528253340275301E-2</v>
      </c>
      <c r="E102" t="s">
        <v>1556</v>
      </c>
      <c r="F102" t="s">
        <v>1456</v>
      </c>
      <c r="G102">
        <v>55.825000000000003</v>
      </c>
      <c r="H102">
        <v>4.6068851337977001E-3</v>
      </c>
      <c r="I102">
        <v>58.787999999999997</v>
      </c>
      <c r="J102">
        <v>9.9816173312487991E-3</v>
      </c>
      <c r="K102" t="s">
        <v>1041</v>
      </c>
      <c r="L102" t="s">
        <v>941</v>
      </c>
    </row>
    <row r="103" spans="1:12" x14ac:dyDescent="0.3">
      <c r="A103">
        <v>2.3426148348960799E-2</v>
      </c>
      <c r="B103">
        <v>2.6924495262994098E-2</v>
      </c>
      <c r="C103">
        <v>3.10950653969519E-2</v>
      </c>
      <c r="D103">
        <v>2.8884969324625399E-2</v>
      </c>
      <c r="E103" t="s">
        <v>1557</v>
      </c>
      <c r="F103" t="s">
        <v>1456</v>
      </c>
      <c r="G103">
        <v>56.253999999999998</v>
      </c>
      <c r="H103">
        <v>7.6847290640393896E-3</v>
      </c>
      <c r="I103">
        <v>59.207999999999998</v>
      </c>
      <c r="J103">
        <v>7.1443151663605998E-3</v>
      </c>
      <c r="K103" t="s">
        <v>1042</v>
      </c>
      <c r="L103" t="s">
        <v>941</v>
      </c>
    </row>
    <row r="104" spans="1:12" x14ac:dyDescent="0.3">
      <c r="A104">
        <v>1.6481276503132601E-2</v>
      </c>
      <c r="B104">
        <v>2.0844963333619401E-2</v>
      </c>
      <c r="C104">
        <v>1.5303746558651399E-2</v>
      </c>
      <c r="D104">
        <v>2.2275298720186399E-2</v>
      </c>
      <c r="E104" t="s">
        <v>1558</v>
      </c>
      <c r="F104" t="s">
        <v>1456</v>
      </c>
      <c r="G104">
        <v>56.468000000000004</v>
      </c>
      <c r="H104">
        <v>3.8041739254097702E-3</v>
      </c>
      <c r="I104">
        <v>59.534999999999997</v>
      </c>
      <c r="J104">
        <v>5.5229023104985701E-3</v>
      </c>
      <c r="K104" t="s">
        <v>1043</v>
      </c>
      <c r="L104" t="s">
        <v>941</v>
      </c>
    </row>
    <row r="105" spans="1:12" x14ac:dyDescent="0.3">
      <c r="A105">
        <v>1.77105887350755E-2</v>
      </c>
      <c r="B105">
        <v>5.6392491810183902E-2</v>
      </c>
      <c r="C105">
        <v>1.3670147091618101E-2</v>
      </c>
      <c r="D105">
        <v>2.3245190160411201E-2</v>
      </c>
      <c r="E105" t="s">
        <v>1559</v>
      </c>
      <c r="F105" t="s">
        <v>1456</v>
      </c>
      <c r="G105">
        <v>56.66</v>
      </c>
      <c r="H105">
        <v>3.4001558404759299E-3</v>
      </c>
      <c r="I105">
        <v>59.878</v>
      </c>
      <c r="J105">
        <v>5.7613168724279804E-3</v>
      </c>
      <c r="K105" t="s">
        <v>1044</v>
      </c>
      <c r="L105" t="s">
        <v>941</v>
      </c>
    </row>
    <row r="106" spans="1:12" x14ac:dyDescent="0.3">
      <c r="A106">
        <v>2.24149830534284E-2</v>
      </c>
      <c r="B106">
        <v>9.43340099661172E-3</v>
      </c>
      <c r="C106">
        <v>4.4785324127958097E-2</v>
      </c>
      <c r="D106">
        <v>2.1616654614663E-2</v>
      </c>
      <c r="E106" t="s">
        <v>1560</v>
      </c>
      <c r="F106" t="s">
        <v>1456</v>
      </c>
      <c r="G106">
        <v>57.283999999999999</v>
      </c>
      <c r="H106">
        <v>1.1013060360042499E-2</v>
      </c>
      <c r="I106">
        <v>60.198999999999998</v>
      </c>
      <c r="J106">
        <v>5.3609004976786804E-3</v>
      </c>
      <c r="K106" t="s">
        <v>1045</v>
      </c>
      <c r="L106" t="s">
        <v>941</v>
      </c>
    </row>
    <row r="107" spans="1:12" x14ac:dyDescent="0.3">
      <c r="A107">
        <v>2.7006131410312901E-2</v>
      </c>
      <c r="B107">
        <v>-2.1272525988481301E-2</v>
      </c>
      <c r="C107">
        <v>5.7381634098421204E-3</v>
      </c>
      <c r="D107">
        <v>4.4593389946305803E-3</v>
      </c>
      <c r="E107" t="s">
        <v>1561</v>
      </c>
      <c r="F107" t="s">
        <v>1456</v>
      </c>
      <c r="G107">
        <v>57.366</v>
      </c>
      <c r="H107">
        <v>1.4314642832204999E-3</v>
      </c>
      <c r="I107">
        <v>60.265999999999998</v>
      </c>
      <c r="J107">
        <v>1.1129752985929999E-3</v>
      </c>
      <c r="K107" t="s">
        <v>1046</v>
      </c>
      <c r="L107" t="s">
        <v>941</v>
      </c>
    </row>
    <row r="108" spans="1:12" x14ac:dyDescent="0.3">
      <c r="A108">
        <v>1.7195373350960198E-2</v>
      </c>
      <c r="B108">
        <v>2.3444846886997699E-2</v>
      </c>
      <c r="C108">
        <v>2.6760970425558899E-2</v>
      </c>
      <c r="D108">
        <v>1.9993530620905801E-2</v>
      </c>
      <c r="E108" t="s">
        <v>1562</v>
      </c>
      <c r="F108" t="s">
        <v>1456</v>
      </c>
      <c r="G108">
        <v>57.746000000000002</v>
      </c>
      <c r="H108">
        <v>6.62413276156615E-3</v>
      </c>
      <c r="I108">
        <v>60.564999999999998</v>
      </c>
      <c r="J108">
        <v>4.9613380678989998E-3</v>
      </c>
      <c r="K108" t="s">
        <v>1047</v>
      </c>
      <c r="L108" t="s">
        <v>941</v>
      </c>
    </row>
    <row r="109" spans="1:12" x14ac:dyDescent="0.3">
      <c r="A109">
        <v>2.7544322225657499E-2</v>
      </c>
      <c r="B109">
        <v>1.3803868113502E-2</v>
      </c>
      <c r="C109">
        <v>3.2814056779429501E-2</v>
      </c>
      <c r="D109">
        <v>1.3007743413415899E-2</v>
      </c>
      <c r="E109" t="s">
        <v>1563</v>
      </c>
      <c r="F109" t="s">
        <v>1456</v>
      </c>
      <c r="G109">
        <v>58.213999999999999</v>
      </c>
      <c r="H109">
        <v>8.1044574515982699E-3</v>
      </c>
      <c r="I109">
        <v>60.761000000000003</v>
      </c>
      <c r="J109">
        <v>3.2361925204327201E-3</v>
      </c>
      <c r="K109" t="s">
        <v>1048</v>
      </c>
      <c r="L109" t="s">
        <v>941</v>
      </c>
    </row>
    <row r="110" spans="1:12" x14ac:dyDescent="0.3">
      <c r="A110">
        <v>1.7773223680601899E-2</v>
      </c>
      <c r="B110">
        <v>1.36962800731413E-2</v>
      </c>
      <c r="C110">
        <v>2.76992412803541E-2</v>
      </c>
      <c r="D110">
        <v>2.2772194889475902E-2</v>
      </c>
      <c r="E110" t="s">
        <v>1564</v>
      </c>
      <c r="F110" t="s">
        <v>1456</v>
      </c>
      <c r="G110">
        <v>58.613</v>
      </c>
      <c r="H110">
        <v>6.8540213694301402E-3</v>
      </c>
      <c r="I110">
        <v>61.103999999999999</v>
      </c>
      <c r="J110">
        <v>5.6450683826796402E-3</v>
      </c>
      <c r="K110" t="s">
        <v>1049</v>
      </c>
      <c r="L110" t="s">
        <v>941</v>
      </c>
    </row>
    <row r="111" spans="1:12" x14ac:dyDescent="0.3">
      <c r="A111">
        <v>1.0067171002752701E-2</v>
      </c>
      <c r="B111">
        <v>2.65913479501769E-2</v>
      </c>
      <c r="C111">
        <v>9.5884799897107999E-3</v>
      </c>
      <c r="D111">
        <v>2.7578432526699701E-2</v>
      </c>
      <c r="E111" t="s">
        <v>1565</v>
      </c>
      <c r="F111" t="s">
        <v>1456</v>
      </c>
      <c r="G111">
        <v>58.753</v>
      </c>
      <c r="H111">
        <v>2.3885486154948698E-3</v>
      </c>
      <c r="I111">
        <v>61.521000000000001</v>
      </c>
      <c r="J111">
        <v>6.8244304791831301E-3</v>
      </c>
      <c r="K111" t="s">
        <v>1050</v>
      </c>
      <c r="L111" t="s">
        <v>941</v>
      </c>
    </row>
    <row r="112" spans="1:12" x14ac:dyDescent="0.3">
      <c r="A112">
        <v>1.05839184448571E-2</v>
      </c>
      <c r="B112">
        <v>9.2223862003817398E-3</v>
      </c>
      <c r="C112">
        <v>1.9268623425193102E-2</v>
      </c>
      <c r="D112">
        <v>1.0181522541022199E-2</v>
      </c>
      <c r="E112" t="s">
        <v>1566</v>
      </c>
      <c r="F112" t="s">
        <v>1456</v>
      </c>
      <c r="G112">
        <v>59.033999999999999</v>
      </c>
      <c r="H112">
        <v>4.7827344986639498E-3</v>
      </c>
      <c r="I112">
        <v>61.677</v>
      </c>
      <c r="J112">
        <v>2.5357195104109801E-3</v>
      </c>
      <c r="K112" t="s">
        <v>1051</v>
      </c>
      <c r="L112" t="s">
        <v>941</v>
      </c>
    </row>
    <row r="113" spans="1:12" x14ac:dyDescent="0.3">
      <c r="A113">
        <v>1.26121897911931E-2</v>
      </c>
      <c r="B113">
        <v>2.8333969394931401E-2</v>
      </c>
      <c r="C113">
        <v>3.3061309623051399E-2</v>
      </c>
      <c r="D113">
        <v>2.5996696664996499E-2</v>
      </c>
      <c r="E113" t="s">
        <v>1567</v>
      </c>
      <c r="F113" t="s">
        <v>1456</v>
      </c>
      <c r="G113">
        <v>59.515999999999998</v>
      </c>
      <c r="H113">
        <v>8.1647863942813093E-3</v>
      </c>
      <c r="I113">
        <v>62.073999999999998</v>
      </c>
      <c r="J113">
        <v>6.4367592457479396E-3</v>
      </c>
      <c r="K113" t="s">
        <v>1052</v>
      </c>
      <c r="L113" t="s">
        <v>941</v>
      </c>
    </row>
    <row r="114" spans="1:12" x14ac:dyDescent="0.3">
      <c r="A114">
        <v>3.2090280398078302E-4</v>
      </c>
      <c r="B114">
        <v>-1.66473304304918E-2</v>
      </c>
      <c r="C114">
        <v>6.3326118015940604E-3</v>
      </c>
      <c r="D114">
        <v>1.3539104320199301E-3</v>
      </c>
      <c r="E114" t="s">
        <v>1568</v>
      </c>
      <c r="F114" t="s">
        <v>1456</v>
      </c>
      <c r="G114">
        <v>59.61</v>
      </c>
      <c r="H114">
        <v>1.57940721822714E-3</v>
      </c>
      <c r="I114">
        <v>62.094999999999999</v>
      </c>
      <c r="J114">
        <v>3.3830589296646201E-4</v>
      </c>
      <c r="K114" t="s">
        <v>1053</v>
      </c>
      <c r="L114" t="s">
        <v>941</v>
      </c>
    </row>
    <row r="115" spans="1:12" x14ac:dyDescent="0.3">
      <c r="A115">
        <v>7.2384308298694099E-3</v>
      </c>
      <c r="B115">
        <v>2.5981704959145799E-2</v>
      </c>
      <c r="C115">
        <v>2.14418814289523E-2</v>
      </c>
      <c r="D115">
        <v>2.5146473935451202E-3</v>
      </c>
      <c r="E115" t="s">
        <v>1569</v>
      </c>
      <c r="F115" t="s">
        <v>1456</v>
      </c>
      <c r="G115">
        <v>59.927</v>
      </c>
      <c r="H115">
        <v>5.3178996812615099E-3</v>
      </c>
      <c r="I115">
        <v>62.134</v>
      </c>
      <c r="J115">
        <v>6.2806989290598004E-4</v>
      </c>
      <c r="K115" t="s">
        <v>1054</v>
      </c>
      <c r="L115" t="s">
        <v>941</v>
      </c>
    </row>
    <row r="116" spans="1:12" x14ac:dyDescent="0.3">
      <c r="A116">
        <v>1.2387156771827E-2</v>
      </c>
      <c r="B116">
        <v>2.6407820145390601E-2</v>
      </c>
      <c r="C116">
        <v>3.1605845001569703E-2</v>
      </c>
      <c r="D116">
        <v>2.4885302644445099E-2</v>
      </c>
      <c r="E116" t="s">
        <v>1570</v>
      </c>
      <c r="F116" t="s">
        <v>1456</v>
      </c>
      <c r="G116">
        <v>60.395000000000003</v>
      </c>
      <c r="H116">
        <v>7.8095015602317498E-3</v>
      </c>
      <c r="I116">
        <v>62.517000000000003</v>
      </c>
      <c r="J116">
        <v>6.1640969517495802E-3</v>
      </c>
      <c r="K116" t="s">
        <v>1055</v>
      </c>
      <c r="L116" t="s">
        <v>941</v>
      </c>
    </row>
    <row r="117" spans="1:12" x14ac:dyDescent="0.3">
      <c r="A117">
        <v>1.0631455336088899E-2</v>
      </c>
      <c r="B117">
        <v>1.29075602616771E-2</v>
      </c>
      <c r="C117">
        <v>3.6519198475668799E-2</v>
      </c>
      <c r="D117">
        <v>2.2777873103542599E-2</v>
      </c>
      <c r="E117" t="s">
        <v>1571</v>
      </c>
      <c r="F117" t="s">
        <v>1456</v>
      </c>
      <c r="G117">
        <v>60.939</v>
      </c>
      <c r="H117">
        <v>9.0073681596158899E-3</v>
      </c>
      <c r="I117">
        <v>62.87</v>
      </c>
      <c r="J117">
        <v>5.6464641617479704E-3</v>
      </c>
      <c r="K117" t="s">
        <v>1056</v>
      </c>
      <c r="L117" t="s">
        <v>941</v>
      </c>
    </row>
    <row r="118" spans="1:12" x14ac:dyDescent="0.3">
      <c r="A118">
        <v>7.8778546175835001E-3</v>
      </c>
      <c r="B118">
        <v>1.19346323256166E-2</v>
      </c>
      <c r="C118">
        <v>3.4639204699016303E-2</v>
      </c>
      <c r="D118">
        <v>1.61297394114919E-2</v>
      </c>
      <c r="E118" t="s">
        <v>1572</v>
      </c>
      <c r="F118" t="s">
        <v>1456</v>
      </c>
      <c r="G118">
        <v>61.46</v>
      </c>
      <c r="H118">
        <v>8.5495331396971998E-3</v>
      </c>
      <c r="I118">
        <v>63.122</v>
      </c>
      <c r="J118">
        <v>4.0082710354700799E-3</v>
      </c>
      <c r="K118" t="s">
        <v>1057</v>
      </c>
      <c r="L118" t="s">
        <v>941</v>
      </c>
    </row>
    <row r="119" spans="1:12" x14ac:dyDescent="0.3">
      <c r="A119">
        <v>2.2971603454798002E-2</v>
      </c>
      <c r="B119">
        <v>3.4068264295770097E-2</v>
      </c>
      <c r="C119">
        <v>6.1370356227924201E-2</v>
      </c>
      <c r="D119">
        <v>2.99883116478201E-2</v>
      </c>
      <c r="E119" t="s">
        <v>1573</v>
      </c>
      <c r="F119" t="s">
        <v>1456</v>
      </c>
      <c r="G119">
        <v>62.381999999999998</v>
      </c>
      <c r="H119">
        <v>1.5001627074519901E-2</v>
      </c>
      <c r="I119">
        <v>63.59</v>
      </c>
      <c r="J119">
        <v>7.4142137448116596E-3</v>
      </c>
      <c r="K119" t="s">
        <v>1058</v>
      </c>
      <c r="L119" t="s">
        <v>941</v>
      </c>
    </row>
    <row r="120" spans="1:12" x14ac:dyDescent="0.3">
      <c r="A120">
        <v>2.21977740334749E-2</v>
      </c>
      <c r="B120">
        <v>3.6824162588046098E-2</v>
      </c>
      <c r="C120">
        <v>5.6562220210462498E-2</v>
      </c>
      <c r="D120">
        <v>1.6964868305367399E-2</v>
      </c>
      <c r="E120" t="s">
        <v>1574</v>
      </c>
      <c r="F120" t="s">
        <v>1456</v>
      </c>
      <c r="G120">
        <v>63.246000000000002</v>
      </c>
      <c r="H120">
        <v>1.3850149081466E-2</v>
      </c>
      <c r="I120">
        <v>63.857999999999997</v>
      </c>
      <c r="J120">
        <v>4.2144991350840898E-3</v>
      </c>
      <c r="K120" t="s">
        <v>1059</v>
      </c>
      <c r="L120" t="s">
        <v>941</v>
      </c>
    </row>
    <row r="121" spans="1:12" x14ac:dyDescent="0.3">
      <c r="A121">
        <v>2.4473399596212499E-2</v>
      </c>
      <c r="B121">
        <v>5.00811045761866E-2</v>
      </c>
      <c r="C121">
        <v>4.9726482376824199E-2</v>
      </c>
      <c r="D121">
        <v>3.4513513517111301E-2</v>
      </c>
      <c r="E121" t="s">
        <v>1575</v>
      </c>
      <c r="F121" t="s">
        <v>1456</v>
      </c>
      <c r="G121">
        <v>64.018000000000001</v>
      </c>
      <c r="H121">
        <v>1.2206305537109099E-2</v>
      </c>
      <c r="I121">
        <v>64.402000000000001</v>
      </c>
      <c r="J121">
        <v>8.5189013122866104E-3</v>
      </c>
      <c r="K121" t="s">
        <v>1060</v>
      </c>
      <c r="L121" t="s">
        <v>941</v>
      </c>
    </row>
    <row r="122" spans="1:12" x14ac:dyDescent="0.3">
      <c r="A122">
        <v>3.2886107964122897E-2</v>
      </c>
      <c r="B122">
        <v>3.9540884737924602E-2</v>
      </c>
      <c r="C122">
        <v>5.7040318663066601E-2</v>
      </c>
      <c r="D122">
        <v>3.2054289459933799E-2</v>
      </c>
      <c r="E122" t="s">
        <v>1576</v>
      </c>
      <c r="F122" t="s">
        <v>1456</v>
      </c>
      <c r="G122">
        <v>64.912000000000006</v>
      </c>
      <c r="H122">
        <v>1.3964822393701899E-2</v>
      </c>
      <c r="I122">
        <v>64.912000000000006</v>
      </c>
      <c r="J122">
        <v>7.9190087264371396E-3</v>
      </c>
      <c r="K122" t="s">
        <v>1061</v>
      </c>
      <c r="L122" t="s">
        <v>941</v>
      </c>
    </row>
    <row r="123" spans="1:12" x14ac:dyDescent="0.3">
      <c r="A123">
        <v>1.9193585341739101E-2</v>
      </c>
      <c r="B123">
        <v>1.5459188057563401E-2</v>
      </c>
      <c r="C123">
        <v>4.2438786901308999E-2</v>
      </c>
      <c r="D123">
        <v>4.6322155050911397E-2</v>
      </c>
      <c r="E123" t="s">
        <v>1577</v>
      </c>
      <c r="F123" t="s">
        <v>1456</v>
      </c>
      <c r="G123">
        <v>65.59</v>
      </c>
      <c r="H123">
        <v>1.0444910032043399E-2</v>
      </c>
      <c r="I123">
        <v>65.650999999999996</v>
      </c>
      <c r="J123">
        <v>1.13846438254868E-2</v>
      </c>
      <c r="K123" t="s">
        <v>1062</v>
      </c>
      <c r="L123" t="s">
        <v>941</v>
      </c>
    </row>
    <row r="124" spans="1:12" x14ac:dyDescent="0.3">
      <c r="A124">
        <v>2.6053548554263901E-2</v>
      </c>
      <c r="B124">
        <v>2.8949345820011199E-2</v>
      </c>
      <c r="C124">
        <v>4.7728620369875199E-2</v>
      </c>
      <c r="D124">
        <v>2.6457667912965801E-2</v>
      </c>
      <c r="E124" t="s">
        <v>1578</v>
      </c>
      <c r="F124" t="s">
        <v>1456</v>
      </c>
      <c r="G124">
        <v>66.358999999999995</v>
      </c>
      <c r="H124">
        <v>1.1724348223814501E-2</v>
      </c>
      <c r="I124">
        <v>66.081000000000003</v>
      </c>
      <c r="J124">
        <v>6.5497859895509202E-3</v>
      </c>
      <c r="K124" t="s">
        <v>1063</v>
      </c>
      <c r="L124" t="s">
        <v>941</v>
      </c>
    </row>
    <row r="125" spans="1:12" x14ac:dyDescent="0.3">
      <c r="A125">
        <v>2.2816932316492001E-2</v>
      </c>
      <c r="B125">
        <v>1.82242710503548E-2</v>
      </c>
      <c r="C125">
        <v>5.7499642478727998E-2</v>
      </c>
      <c r="D125">
        <v>2.3755596803619598E-2</v>
      </c>
      <c r="E125" t="s">
        <v>1579</v>
      </c>
      <c r="F125" t="s">
        <v>1456</v>
      </c>
      <c r="G125">
        <v>67.293000000000006</v>
      </c>
      <c r="H125">
        <v>1.40749559215783E-2</v>
      </c>
      <c r="I125">
        <v>66.47</v>
      </c>
      <c r="J125">
        <v>5.8867147894250396E-3</v>
      </c>
      <c r="K125" t="s">
        <v>1064</v>
      </c>
      <c r="L125" t="s">
        <v>941</v>
      </c>
    </row>
    <row r="126" spans="1:12" x14ac:dyDescent="0.3">
      <c r="A126">
        <v>2.9937016463394299E-2</v>
      </c>
      <c r="B126">
        <v>6.8223280329673397E-3</v>
      </c>
      <c r="C126">
        <v>5.4456520671492398E-2</v>
      </c>
      <c r="D126">
        <v>2.4902004743710501E-2</v>
      </c>
      <c r="E126" t="s">
        <v>1580</v>
      </c>
      <c r="F126" t="s">
        <v>1456</v>
      </c>
      <c r="G126">
        <v>68.191000000000003</v>
      </c>
      <c r="H126">
        <v>1.33446272272004E-2</v>
      </c>
      <c r="I126">
        <v>66.88</v>
      </c>
      <c r="J126">
        <v>6.16819617872721E-3</v>
      </c>
      <c r="K126" t="s">
        <v>1065</v>
      </c>
      <c r="L126" t="s">
        <v>941</v>
      </c>
    </row>
    <row r="127" spans="1:12" x14ac:dyDescent="0.3">
      <c r="A127">
        <v>1.8884884410707199E-2</v>
      </c>
      <c r="B127">
        <v>2.1198789662036002E-2</v>
      </c>
      <c r="C127">
        <v>1.7060457300781501E-2</v>
      </c>
      <c r="D127">
        <v>1.0326833438175601E-2</v>
      </c>
      <c r="E127" t="s">
        <v>1581</v>
      </c>
      <c r="F127" t="s">
        <v>1456</v>
      </c>
      <c r="G127">
        <v>68.48</v>
      </c>
      <c r="H127">
        <v>4.2380959364138899E-3</v>
      </c>
      <c r="I127">
        <v>67.052000000000007</v>
      </c>
      <c r="J127">
        <v>2.5717703349283898E-3</v>
      </c>
      <c r="K127" t="s">
        <v>1066</v>
      </c>
      <c r="L127" t="s">
        <v>941</v>
      </c>
    </row>
    <row r="128" spans="1:12" x14ac:dyDescent="0.3">
      <c r="A128">
        <v>2.0085104332627801E-3</v>
      </c>
      <c r="B128">
        <v>2.5873085754739799E-2</v>
      </c>
      <c r="C128">
        <v>1.0084643678167899E-2</v>
      </c>
      <c r="D128">
        <v>1.25865662000337E-2</v>
      </c>
      <c r="E128" t="s">
        <v>1582</v>
      </c>
      <c r="F128" t="s">
        <v>1456</v>
      </c>
      <c r="G128">
        <v>68.652000000000001</v>
      </c>
      <c r="H128">
        <v>2.5116822429906999E-3</v>
      </c>
      <c r="I128">
        <v>67.262</v>
      </c>
      <c r="J128">
        <v>3.1318976316887502E-3</v>
      </c>
      <c r="K128" t="s">
        <v>1067</v>
      </c>
      <c r="L128" t="s">
        <v>941</v>
      </c>
    </row>
    <row r="129" spans="1:12" x14ac:dyDescent="0.3">
      <c r="A129">
        <v>1.65597149400032E-3</v>
      </c>
      <c r="B129">
        <v>2.61448943379867E-2</v>
      </c>
      <c r="C129">
        <v>4.4939487008062197E-3</v>
      </c>
      <c r="D129">
        <v>2.16417401943385E-2</v>
      </c>
      <c r="E129" t="s">
        <v>1583</v>
      </c>
      <c r="F129" t="s">
        <v>1456</v>
      </c>
      <c r="G129">
        <v>68.728999999999999</v>
      </c>
      <c r="H129">
        <v>1.1215987880905901E-3</v>
      </c>
      <c r="I129">
        <v>67.623000000000005</v>
      </c>
      <c r="J129">
        <v>5.3670720466236803E-3</v>
      </c>
      <c r="K129" t="s">
        <v>1068</v>
      </c>
      <c r="L129" t="s">
        <v>941</v>
      </c>
    </row>
    <row r="130" spans="1:12" x14ac:dyDescent="0.3">
      <c r="A130">
        <v>8.0448095256371293E-3</v>
      </c>
      <c r="B130">
        <v>2.6192779718551499E-2</v>
      </c>
      <c r="C130">
        <v>2.6210777008154801E-2</v>
      </c>
      <c r="D130">
        <v>1.77439998941584E-2</v>
      </c>
      <c r="E130" t="s">
        <v>1584</v>
      </c>
      <c r="F130" t="s">
        <v>1456</v>
      </c>
      <c r="G130">
        <v>69.174999999999997</v>
      </c>
      <c r="H130">
        <v>6.4892548996784401E-3</v>
      </c>
      <c r="I130">
        <v>67.921000000000006</v>
      </c>
      <c r="J130">
        <v>4.4067846738535801E-3</v>
      </c>
      <c r="K130" t="s">
        <v>1069</v>
      </c>
      <c r="L130" t="s">
        <v>941</v>
      </c>
    </row>
    <row r="131" spans="1:12" x14ac:dyDescent="0.3">
      <c r="A131">
        <v>2.9998743908273201E-2</v>
      </c>
      <c r="B131">
        <v>3.8349371649444103E-2</v>
      </c>
      <c r="C131">
        <v>3.99637104830428E-2</v>
      </c>
      <c r="D131">
        <v>2.19088618142655E-2</v>
      </c>
      <c r="E131" t="s">
        <v>1585</v>
      </c>
      <c r="F131" t="s">
        <v>1456</v>
      </c>
      <c r="G131">
        <v>69.855999999999995</v>
      </c>
      <c r="H131">
        <v>9.8445970365015293E-3</v>
      </c>
      <c r="I131">
        <v>68.290000000000006</v>
      </c>
      <c r="J131">
        <v>5.4327822028532599E-3</v>
      </c>
      <c r="K131" t="s">
        <v>1070</v>
      </c>
      <c r="L131" t="s">
        <v>941</v>
      </c>
    </row>
    <row r="132" spans="1:12" x14ac:dyDescent="0.3">
      <c r="A132">
        <v>2.0869776308943801E-2</v>
      </c>
      <c r="B132">
        <v>3.4801584391165798E-2</v>
      </c>
      <c r="C132">
        <v>3.3157579483975103E-2</v>
      </c>
      <c r="D132">
        <v>1.23573378485025E-2</v>
      </c>
      <c r="E132" t="s">
        <v>1586</v>
      </c>
      <c r="F132" t="s">
        <v>1456</v>
      </c>
      <c r="G132">
        <v>70.427999999999997</v>
      </c>
      <c r="H132">
        <v>8.1882730187814393E-3</v>
      </c>
      <c r="I132">
        <v>68.5</v>
      </c>
      <c r="J132">
        <v>3.07512080831729E-3</v>
      </c>
      <c r="K132" t="s">
        <v>1071</v>
      </c>
      <c r="L132" t="s">
        <v>941</v>
      </c>
    </row>
    <row r="133" spans="1:12" x14ac:dyDescent="0.3">
      <c r="A133">
        <v>1.8806157080279301E-2</v>
      </c>
      <c r="B133">
        <v>7.6203068975526894E-2</v>
      </c>
      <c r="C133">
        <v>4.04120889716926E-2</v>
      </c>
      <c r="D133">
        <v>6.9083360828583497E-3</v>
      </c>
      <c r="E133" t="s">
        <v>1587</v>
      </c>
      <c r="F133" t="s">
        <v>1456</v>
      </c>
      <c r="G133">
        <v>71.129000000000005</v>
      </c>
      <c r="H133">
        <v>9.9534276140171903E-3</v>
      </c>
      <c r="I133">
        <v>68.617999999999995</v>
      </c>
      <c r="J133">
        <v>1.7226277372262E-3</v>
      </c>
      <c r="K133" t="s">
        <v>1072</v>
      </c>
      <c r="L133" t="s">
        <v>941</v>
      </c>
    </row>
    <row r="134" spans="1:12" x14ac:dyDescent="0.3">
      <c r="A134">
        <v>3.0939531110064901E-2</v>
      </c>
      <c r="B134">
        <v>4.5343406532494003E-2</v>
      </c>
      <c r="C134">
        <v>6.4192818314913899E-2</v>
      </c>
      <c r="D134">
        <v>3.35839967225895E-2</v>
      </c>
      <c r="E134" t="s">
        <v>1588</v>
      </c>
      <c r="F134" t="s">
        <v>1456</v>
      </c>
      <c r="G134">
        <v>72.244</v>
      </c>
      <c r="H134">
        <v>1.5675744070632099E-2</v>
      </c>
      <c r="I134">
        <v>69.186999999999998</v>
      </c>
      <c r="J134">
        <v>8.2922848232243104E-3</v>
      </c>
      <c r="K134" t="s">
        <v>1073</v>
      </c>
      <c r="L134" t="s">
        <v>941</v>
      </c>
    </row>
    <row r="135" spans="1:12" x14ac:dyDescent="0.3">
      <c r="A135">
        <v>4.0077661469082298E-3</v>
      </c>
      <c r="B135">
        <v>2.8726975579467701E-2</v>
      </c>
      <c r="C135">
        <v>2.60483280529056E-3</v>
      </c>
      <c r="D135">
        <v>4.1691340309692997E-3</v>
      </c>
      <c r="E135" t="s">
        <v>1589</v>
      </c>
      <c r="F135" t="s">
        <v>1456</v>
      </c>
      <c r="G135">
        <v>72.290999999999997</v>
      </c>
      <c r="H135">
        <v>6.5057305797022703E-4</v>
      </c>
      <c r="I135">
        <v>69.259</v>
      </c>
      <c r="J135">
        <v>1.0406579270672001E-3</v>
      </c>
      <c r="K135" t="s">
        <v>1074</v>
      </c>
      <c r="L135" t="s">
        <v>941</v>
      </c>
    </row>
    <row r="136" spans="1:12" x14ac:dyDescent="0.3">
      <c r="A136">
        <v>2.6637470683258401E-2</v>
      </c>
      <c r="B136">
        <v>3.6701160751028999E-2</v>
      </c>
      <c r="C136">
        <v>3.2537484109284899E-2</v>
      </c>
      <c r="D136">
        <v>5.0920666130191998E-3</v>
      </c>
      <c r="E136" t="s">
        <v>1590</v>
      </c>
      <c r="F136" t="s">
        <v>1456</v>
      </c>
      <c r="G136">
        <v>72.872</v>
      </c>
      <c r="H136">
        <v>8.0369617241426994E-3</v>
      </c>
      <c r="I136">
        <v>69.346999999999994</v>
      </c>
      <c r="J136">
        <v>1.2705929915244299E-3</v>
      </c>
      <c r="K136" t="s">
        <v>1075</v>
      </c>
      <c r="L136" t="s">
        <v>941</v>
      </c>
    </row>
    <row r="137" spans="1:12" x14ac:dyDescent="0.3">
      <c r="A137">
        <v>1.9809591582912799E-2</v>
      </c>
      <c r="B137">
        <v>3.0297839189273201E-2</v>
      </c>
      <c r="C137">
        <v>3.6723057880070603E-2</v>
      </c>
      <c r="D137">
        <v>1.11208187291489E-2</v>
      </c>
      <c r="E137" t="s">
        <v>1591</v>
      </c>
      <c r="F137" t="s">
        <v>1456</v>
      </c>
      <c r="G137">
        <v>73.531999999999996</v>
      </c>
      <c r="H137">
        <v>9.0569766165331505E-3</v>
      </c>
      <c r="I137">
        <v>69.539000000000001</v>
      </c>
      <c r="J137">
        <v>2.7686850188184402E-3</v>
      </c>
      <c r="K137" t="s">
        <v>1076</v>
      </c>
      <c r="L137" t="s">
        <v>941</v>
      </c>
    </row>
    <row r="138" spans="1:12" x14ac:dyDescent="0.3">
      <c r="A138">
        <v>3.1204615634115699E-2</v>
      </c>
      <c r="B138">
        <v>3.4471201135703997E-2</v>
      </c>
      <c r="C138">
        <v>5.7672124037001303E-2</v>
      </c>
      <c r="D138">
        <v>2.6313046913832801E-2</v>
      </c>
      <c r="E138" t="s">
        <v>1592</v>
      </c>
      <c r="F138" t="s">
        <v>1456</v>
      </c>
      <c r="G138">
        <v>74.569999999999993</v>
      </c>
      <c r="H138">
        <v>1.41163031061307E-2</v>
      </c>
      <c r="I138">
        <v>69.992000000000004</v>
      </c>
      <c r="J138">
        <v>6.5143300881520504E-3</v>
      </c>
      <c r="K138" t="s">
        <v>1077</v>
      </c>
      <c r="L138" t="s">
        <v>941</v>
      </c>
    </row>
    <row r="139" spans="1:12" x14ac:dyDescent="0.3">
      <c r="A139">
        <v>2.7200294389546201E-2</v>
      </c>
      <c r="B139">
        <v>3.5181669062461299E-2</v>
      </c>
      <c r="C139">
        <v>5.42271951092188E-2</v>
      </c>
      <c r="D139">
        <v>7.5544557477534205E-2</v>
      </c>
      <c r="E139" t="s">
        <v>1593</v>
      </c>
      <c r="F139" t="s">
        <v>1456</v>
      </c>
      <c r="G139">
        <v>75.561000000000007</v>
      </c>
      <c r="H139">
        <v>1.3289526619284101E-2</v>
      </c>
      <c r="I139">
        <v>71.278000000000006</v>
      </c>
      <c r="J139">
        <v>1.8373528403245999E-2</v>
      </c>
      <c r="K139" t="s">
        <v>1078</v>
      </c>
      <c r="L139" t="s">
        <v>941</v>
      </c>
    </row>
    <row r="140" spans="1:12" x14ac:dyDescent="0.3">
      <c r="A140">
        <v>1.9813936050087699E-2</v>
      </c>
      <c r="B140">
        <v>3.71188179062025E-2</v>
      </c>
      <c r="C140">
        <v>5.5705667373545202E-2</v>
      </c>
      <c r="D140">
        <v>0.112118604043563</v>
      </c>
      <c r="E140" t="s">
        <v>1594</v>
      </c>
      <c r="F140" t="s">
        <v>1456</v>
      </c>
      <c r="G140">
        <v>76.591999999999999</v>
      </c>
      <c r="H140">
        <v>1.3644605021108799E-2</v>
      </c>
      <c r="I140">
        <v>73.197000000000003</v>
      </c>
      <c r="J140">
        <v>2.6922753163668899E-2</v>
      </c>
      <c r="K140" t="s">
        <v>1079</v>
      </c>
      <c r="L140" t="s">
        <v>941</v>
      </c>
    </row>
    <row r="141" spans="1:12" x14ac:dyDescent="0.3">
      <c r="A141">
        <v>3.4620969363609901E-2</v>
      </c>
      <c r="B141">
        <v>3.9499400752586601E-2</v>
      </c>
      <c r="C141">
        <v>6.4048552869122796E-2</v>
      </c>
      <c r="D141">
        <v>9.9586266592777403E-2</v>
      </c>
      <c r="E141" t="s">
        <v>1595</v>
      </c>
      <c r="F141" t="s">
        <v>1456</v>
      </c>
      <c r="G141">
        <v>77.790000000000006</v>
      </c>
      <c r="H141">
        <v>1.5641320242323099E-2</v>
      </c>
      <c r="I141">
        <v>74.954999999999998</v>
      </c>
      <c r="J141">
        <v>2.4017377761383699E-2</v>
      </c>
      <c r="K141" t="s">
        <v>1080</v>
      </c>
      <c r="L141" t="s">
        <v>941</v>
      </c>
    </row>
    <row r="142" spans="1:12" x14ac:dyDescent="0.3">
      <c r="A142">
        <v>2.34535899973984E-2</v>
      </c>
      <c r="B142">
        <v>5.3706890981395999E-2</v>
      </c>
      <c r="C142">
        <v>3.69057460702173E-2</v>
      </c>
      <c r="D142">
        <v>3.4210597371460802E-2</v>
      </c>
      <c r="E142" t="s">
        <v>1596</v>
      </c>
      <c r="F142" t="s">
        <v>1456</v>
      </c>
      <c r="G142">
        <v>78.498000000000005</v>
      </c>
      <c r="H142">
        <v>9.1014269186271406E-3</v>
      </c>
      <c r="I142">
        <v>75.587999999999994</v>
      </c>
      <c r="J142">
        <v>8.4450670402240694E-3</v>
      </c>
      <c r="K142" t="s">
        <v>1081</v>
      </c>
      <c r="L142" t="s">
        <v>941</v>
      </c>
    </row>
    <row r="143" spans="1:12" x14ac:dyDescent="0.3">
      <c r="A143">
        <v>2.5499802950129401E-2</v>
      </c>
      <c r="B143">
        <v>3.6566859174503898E-2</v>
      </c>
      <c r="C143">
        <v>4.6392177019789503E-2</v>
      </c>
      <c r="D143">
        <v>7.7400259900339399E-2</v>
      </c>
      <c r="E143" t="s">
        <v>1597</v>
      </c>
      <c r="F143" t="s">
        <v>1456</v>
      </c>
      <c r="G143">
        <v>79.393000000000001</v>
      </c>
      <c r="H143">
        <v>1.14015643710668E-2</v>
      </c>
      <c r="I143">
        <v>77.010000000000005</v>
      </c>
      <c r="J143">
        <v>1.8812509922210102E-2</v>
      </c>
      <c r="K143" t="s">
        <v>1082</v>
      </c>
      <c r="L143" t="s">
        <v>941</v>
      </c>
    </row>
    <row r="144" spans="1:12" x14ac:dyDescent="0.3">
      <c r="A144">
        <v>4.3914132970667798E-2</v>
      </c>
      <c r="B144">
        <v>4.2425430776049898E-2</v>
      </c>
      <c r="C144">
        <v>5.93159029125543E-2</v>
      </c>
      <c r="D144">
        <v>9.2099438138909306E-2</v>
      </c>
      <c r="E144" t="s">
        <v>1598</v>
      </c>
      <c r="F144" t="s">
        <v>1456</v>
      </c>
      <c r="G144">
        <v>80.545000000000002</v>
      </c>
      <c r="H144">
        <v>1.45100953484565E-2</v>
      </c>
      <c r="I144">
        <v>78.724999999999994</v>
      </c>
      <c r="J144">
        <v>2.2269835086352399E-2</v>
      </c>
      <c r="K144" t="s">
        <v>1083</v>
      </c>
      <c r="L144" t="s">
        <v>941</v>
      </c>
    </row>
    <row r="145" spans="1:12" x14ac:dyDescent="0.3">
      <c r="A145">
        <v>3.2225013743436802E-2</v>
      </c>
      <c r="B145">
        <v>2.9052051363888599E-2</v>
      </c>
      <c r="C145">
        <v>6.9322056053448003E-2</v>
      </c>
      <c r="D145">
        <v>5.6967190258747399E-2</v>
      </c>
      <c r="E145" t="s">
        <v>1599</v>
      </c>
      <c r="F145" t="s">
        <v>1456</v>
      </c>
      <c r="G145">
        <v>81.906000000000006</v>
      </c>
      <c r="H145">
        <v>1.68973865541002E-2</v>
      </c>
      <c r="I145">
        <v>79.822999999999993</v>
      </c>
      <c r="J145">
        <v>1.39472848523341E-2</v>
      </c>
      <c r="K145" t="s">
        <v>1084</v>
      </c>
      <c r="L145" t="s">
        <v>941</v>
      </c>
    </row>
    <row r="146" spans="1:12" x14ac:dyDescent="0.3">
      <c r="A146">
        <v>2.0935342800184199E-2</v>
      </c>
      <c r="B146">
        <v>3.4093201961780999E-2</v>
      </c>
      <c r="C146">
        <v>2.9725271896635399E-2</v>
      </c>
      <c r="D146">
        <v>2.50876168066392E-2</v>
      </c>
      <c r="E146" t="s">
        <v>1600</v>
      </c>
      <c r="F146" t="s">
        <v>1456</v>
      </c>
      <c r="G146">
        <v>82.507999999999996</v>
      </c>
      <c r="H146">
        <v>7.3498888970282604E-3</v>
      </c>
      <c r="I146">
        <v>80.319000000000003</v>
      </c>
      <c r="J146">
        <v>6.2137479172670301E-3</v>
      </c>
      <c r="K146" t="s">
        <v>1085</v>
      </c>
      <c r="L146" t="s">
        <v>941</v>
      </c>
    </row>
    <row r="147" spans="1:12" x14ac:dyDescent="0.3">
      <c r="A147">
        <v>3.5555363218846101E-2</v>
      </c>
      <c r="B147">
        <v>2.8135458399094499E-2</v>
      </c>
      <c r="C147">
        <v>5.61203132204302E-2</v>
      </c>
      <c r="D147">
        <v>9.1105361450751501E-2</v>
      </c>
      <c r="E147" t="s">
        <v>1601</v>
      </c>
      <c r="F147" t="s">
        <v>1456</v>
      </c>
      <c r="G147">
        <v>83.641999999999996</v>
      </c>
      <c r="H147">
        <v>1.37441217821301E-2</v>
      </c>
      <c r="I147">
        <v>82.088999999999999</v>
      </c>
      <c r="J147">
        <v>2.20371269562618E-2</v>
      </c>
      <c r="K147" t="s">
        <v>1086</v>
      </c>
      <c r="L147" t="s">
        <v>941</v>
      </c>
    </row>
    <row r="148" spans="1:12" x14ac:dyDescent="0.3">
      <c r="A148">
        <v>2.9090990484891902E-2</v>
      </c>
      <c r="B148">
        <v>2.9966625510563099E-2</v>
      </c>
      <c r="C148">
        <v>3.6843754178801799E-2</v>
      </c>
      <c r="D148">
        <v>5.6869734933791702E-2</v>
      </c>
      <c r="E148" t="s">
        <v>1602</v>
      </c>
      <c r="F148" t="s">
        <v>1456</v>
      </c>
      <c r="G148">
        <v>84.402000000000001</v>
      </c>
      <c r="H148">
        <v>9.0863441811530592E-3</v>
      </c>
      <c r="I148">
        <v>83.231999999999999</v>
      </c>
      <c r="J148">
        <v>1.39239118517707E-2</v>
      </c>
      <c r="K148" t="s">
        <v>1087</v>
      </c>
      <c r="L148" t="s">
        <v>941</v>
      </c>
    </row>
    <row r="149" spans="1:12" x14ac:dyDescent="0.3">
      <c r="A149">
        <v>-6.5707467210734897E-3</v>
      </c>
      <c r="B149">
        <v>2.09838687014814E-2</v>
      </c>
      <c r="C149">
        <v>3.0338463665483501E-2</v>
      </c>
      <c r="D149">
        <v>9.7213617262259494E-2</v>
      </c>
      <c r="E149" t="s">
        <v>1603</v>
      </c>
      <c r="F149" t="s">
        <v>1456</v>
      </c>
      <c r="G149">
        <v>85.034999999999997</v>
      </c>
      <c r="H149">
        <v>7.4998222790929603E-3</v>
      </c>
      <c r="I149">
        <v>85.185000000000002</v>
      </c>
      <c r="J149">
        <v>2.34645328719723E-2</v>
      </c>
      <c r="K149" t="s">
        <v>1088</v>
      </c>
      <c r="L149" t="s">
        <v>941</v>
      </c>
    </row>
    <row r="150" spans="1:12" x14ac:dyDescent="0.3">
      <c r="A150">
        <v>3.7059917165470399E-2</v>
      </c>
      <c r="B150">
        <v>3.4651107406359301E-2</v>
      </c>
      <c r="C150">
        <v>7.2299496950969405E-2</v>
      </c>
      <c r="D150">
        <v>0.104792955269219</v>
      </c>
      <c r="E150" t="s">
        <v>1604</v>
      </c>
      <c r="F150" t="s">
        <v>1456</v>
      </c>
      <c r="G150">
        <v>86.531999999999996</v>
      </c>
      <c r="H150">
        <v>1.7604515787616799E-2</v>
      </c>
      <c r="I150">
        <v>87.334000000000003</v>
      </c>
      <c r="J150">
        <v>2.5227446146622E-2</v>
      </c>
      <c r="K150" t="s">
        <v>1089</v>
      </c>
      <c r="L150" t="s">
        <v>941</v>
      </c>
    </row>
    <row r="151" spans="1:12" x14ac:dyDescent="0.3">
      <c r="A151">
        <v>3.4406916686266602E-2</v>
      </c>
      <c r="B151">
        <v>3.2361806516408201E-2</v>
      </c>
      <c r="C151">
        <v>4.4022069506022297E-2</v>
      </c>
      <c r="D151">
        <v>4.2476788274359099E-2</v>
      </c>
      <c r="E151" t="s">
        <v>1605</v>
      </c>
      <c r="F151" t="s">
        <v>1456</v>
      </c>
      <c r="G151">
        <v>87.468999999999994</v>
      </c>
      <c r="H151">
        <v>1.0828364073406401E-2</v>
      </c>
      <c r="I151">
        <v>88.247</v>
      </c>
      <c r="J151">
        <v>1.0454118670849799E-2</v>
      </c>
      <c r="K151" t="s">
        <v>1090</v>
      </c>
      <c r="L151" t="s">
        <v>941</v>
      </c>
    </row>
    <row r="152" spans="1:12" x14ac:dyDescent="0.3">
      <c r="A152">
        <v>2.2795387185985401E-2</v>
      </c>
      <c r="B152">
        <v>2.78463672712683E-2</v>
      </c>
      <c r="C152">
        <v>4.5480126137950501E-2</v>
      </c>
      <c r="D152">
        <v>3.9088464000031499E-2</v>
      </c>
      <c r="E152" t="s">
        <v>1606</v>
      </c>
      <c r="F152" t="s">
        <v>1456</v>
      </c>
      <c r="G152">
        <v>88.447000000000003</v>
      </c>
      <c r="H152">
        <v>1.11811041626177E-2</v>
      </c>
      <c r="I152">
        <v>89.096999999999994</v>
      </c>
      <c r="J152">
        <v>9.6320554806394992E-3</v>
      </c>
      <c r="K152" t="s">
        <v>1091</v>
      </c>
      <c r="L152" t="s">
        <v>941</v>
      </c>
    </row>
    <row r="153" spans="1:12" x14ac:dyDescent="0.3">
      <c r="A153">
        <v>4.1308326629664098E-2</v>
      </c>
      <c r="B153">
        <v>3.2459146974833902E-2</v>
      </c>
      <c r="C153">
        <v>6.2039731527971001E-2</v>
      </c>
      <c r="D153">
        <v>4.7886506250196997E-2</v>
      </c>
      <c r="E153" t="s">
        <v>1607</v>
      </c>
      <c r="F153" t="s">
        <v>1456</v>
      </c>
      <c r="G153">
        <v>89.787999999999997</v>
      </c>
      <c r="H153">
        <v>1.51616222144335E-2</v>
      </c>
      <c r="I153">
        <v>90.144999999999996</v>
      </c>
      <c r="J153">
        <v>1.1762461137861099E-2</v>
      </c>
      <c r="K153" t="s">
        <v>1092</v>
      </c>
      <c r="L153" t="s">
        <v>941</v>
      </c>
    </row>
    <row r="154" spans="1:12" x14ac:dyDescent="0.3">
      <c r="A154">
        <v>3.2954987594988598E-2</v>
      </c>
      <c r="B154">
        <v>3.4144429632388298E-2</v>
      </c>
      <c r="C154">
        <v>7.23147883586404E-2</v>
      </c>
      <c r="D154">
        <v>3.8436409888859401E-2</v>
      </c>
      <c r="E154" t="s">
        <v>1608</v>
      </c>
      <c r="F154" t="s">
        <v>1456</v>
      </c>
      <c r="G154">
        <v>91.369</v>
      </c>
      <c r="H154">
        <v>1.7608143627210901E-2</v>
      </c>
      <c r="I154">
        <v>90.998999999999995</v>
      </c>
      <c r="J154">
        <v>9.4736258250596207E-3</v>
      </c>
      <c r="K154" t="s">
        <v>1093</v>
      </c>
      <c r="L154" t="s">
        <v>941</v>
      </c>
    </row>
    <row r="155" spans="1:12" x14ac:dyDescent="0.3">
      <c r="A155">
        <v>3.9493950261418401E-2</v>
      </c>
      <c r="B155">
        <v>4.1602053152730099E-2</v>
      </c>
      <c r="C155">
        <v>6.3263019462217004E-2</v>
      </c>
      <c r="D155">
        <v>3.1126430511134499E-2</v>
      </c>
      <c r="E155" t="s">
        <v>1609</v>
      </c>
      <c r="F155" t="s">
        <v>1456</v>
      </c>
      <c r="G155">
        <v>92.781000000000006</v>
      </c>
      <c r="H155">
        <v>1.5453819129026301E-2</v>
      </c>
      <c r="I155">
        <v>91.698999999999998</v>
      </c>
      <c r="J155">
        <v>7.6923922240903497E-3</v>
      </c>
      <c r="K155" t="s">
        <v>1094</v>
      </c>
      <c r="L155" t="s">
        <v>941</v>
      </c>
    </row>
    <row r="156" spans="1:12" x14ac:dyDescent="0.3">
      <c r="A156">
        <v>4.3386852489040402E-2</v>
      </c>
      <c r="B156">
        <v>3.03408157550791E-2</v>
      </c>
      <c r="C156">
        <v>5.52136316684275E-2</v>
      </c>
      <c r="D156">
        <v>5.2701497522020399E-2</v>
      </c>
      <c r="E156" t="s">
        <v>1610</v>
      </c>
      <c r="F156" t="s">
        <v>1456</v>
      </c>
      <c r="G156">
        <v>94.036000000000001</v>
      </c>
      <c r="H156">
        <v>1.35264763259719E-2</v>
      </c>
      <c r="I156">
        <v>92.884</v>
      </c>
      <c r="J156">
        <v>1.29227145334192E-2</v>
      </c>
      <c r="K156" t="s">
        <v>1095</v>
      </c>
      <c r="L156" t="s">
        <v>941</v>
      </c>
    </row>
    <row r="157" spans="1:12" x14ac:dyDescent="0.3">
      <c r="A157">
        <v>-6.2360196436278902E-2</v>
      </c>
      <c r="B157">
        <v>-1.8917326805224201E-2</v>
      </c>
      <c r="C157">
        <v>-7.4155067193705196E-2</v>
      </c>
      <c r="D157">
        <v>7.5335045349203197E-2</v>
      </c>
      <c r="E157" t="s">
        <v>1611</v>
      </c>
      <c r="F157" t="s">
        <v>1456</v>
      </c>
      <c r="G157">
        <v>92.242000000000004</v>
      </c>
      <c r="H157">
        <v>-1.9077799991492599E-2</v>
      </c>
      <c r="I157">
        <v>94.585999999999999</v>
      </c>
      <c r="J157">
        <v>1.8323930924594199E-2</v>
      </c>
      <c r="K157" t="s">
        <v>1096</v>
      </c>
      <c r="L157" t="s">
        <v>941</v>
      </c>
    </row>
    <row r="158" spans="1:12" x14ac:dyDescent="0.3">
      <c r="A158">
        <v>-2.6731212813050201E-2</v>
      </c>
      <c r="B158">
        <v>-3.3135327897025703E-2</v>
      </c>
      <c r="C158">
        <v>-6.8462037949067106E-2</v>
      </c>
      <c r="D158">
        <v>2.5185264843212301E-2</v>
      </c>
      <c r="E158" t="s">
        <v>1612</v>
      </c>
      <c r="F158" t="s">
        <v>1456</v>
      </c>
      <c r="G158">
        <v>90.620999999999995</v>
      </c>
      <c r="H158">
        <v>-1.7573339693415201E-2</v>
      </c>
      <c r="I158">
        <v>95.176000000000002</v>
      </c>
      <c r="J158">
        <v>6.2377095976149403E-3</v>
      </c>
      <c r="K158" t="s">
        <v>1097</v>
      </c>
      <c r="L158" t="s">
        <v>941</v>
      </c>
    </row>
    <row r="159" spans="1:12" x14ac:dyDescent="0.3">
      <c r="A159">
        <v>1.6004255010514602E-2</v>
      </c>
      <c r="B159">
        <v>7.2471101838833497E-4</v>
      </c>
      <c r="C159">
        <v>1.9832196265286098E-2</v>
      </c>
      <c r="D159">
        <v>-3.4674689642026801E-2</v>
      </c>
      <c r="E159" t="s">
        <v>1613</v>
      </c>
      <c r="F159" t="s">
        <v>1456</v>
      </c>
      <c r="G159">
        <v>91.066999999999993</v>
      </c>
      <c r="H159">
        <v>4.9215965394333603E-3</v>
      </c>
      <c r="I159">
        <v>94.34</v>
      </c>
      <c r="J159">
        <v>-8.7837269899974108E-3</v>
      </c>
      <c r="K159" t="s">
        <v>1098</v>
      </c>
      <c r="L159" t="s">
        <v>941</v>
      </c>
    </row>
    <row r="160" spans="1:12" x14ac:dyDescent="0.3">
      <c r="A160">
        <v>2.78350080421834E-2</v>
      </c>
      <c r="B160">
        <v>1.22854862155337E-2</v>
      </c>
      <c r="C160">
        <v>3.47933032481611E-2</v>
      </c>
      <c r="D160">
        <v>-3.55556982427905E-2</v>
      </c>
      <c r="E160" t="s">
        <v>1614</v>
      </c>
      <c r="F160" t="s">
        <v>1456</v>
      </c>
      <c r="G160">
        <v>91.849000000000004</v>
      </c>
      <c r="H160">
        <v>8.5870842346844594E-3</v>
      </c>
      <c r="I160">
        <v>93.49</v>
      </c>
      <c r="J160">
        <v>-9.0099639601441996E-3</v>
      </c>
      <c r="K160" t="s">
        <v>1099</v>
      </c>
      <c r="L160" t="s">
        <v>941</v>
      </c>
    </row>
    <row r="161" spans="1:12" x14ac:dyDescent="0.3">
      <c r="A161">
        <v>3.1240948480233E-2</v>
      </c>
      <c r="B161">
        <v>3.11127095791379E-2</v>
      </c>
      <c r="C161">
        <v>3.76238534925952E-2</v>
      </c>
      <c r="D161">
        <v>-3.0769865450653898E-3</v>
      </c>
      <c r="E161" t="s">
        <v>1615</v>
      </c>
      <c r="F161" t="s">
        <v>1456</v>
      </c>
      <c r="G161">
        <v>92.700999999999993</v>
      </c>
      <c r="H161">
        <v>9.2760944593843798E-3</v>
      </c>
      <c r="I161">
        <v>93.418000000000006</v>
      </c>
      <c r="J161">
        <v>-7.7013584340557305E-4</v>
      </c>
      <c r="K161" t="s">
        <v>1100</v>
      </c>
      <c r="L161" t="s">
        <v>941</v>
      </c>
    </row>
    <row r="162" spans="1:12" x14ac:dyDescent="0.3">
      <c r="A162">
        <v>1.5538458112328299E-2</v>
      </c>
      <c r="B162">
        <v>2.5706833981413501E-2</v>
      </c>
      <c r="C162">
        <v>4.6975487060338501E-2</v>
      </c>
      <c r="D162">
        <v>1.13952226394907E-2</v>
      </c>
      <c r="E162" t="s">
        <v>1616</v>
      </c>
      <c r="F162" t="s">
        <v>1456</v>
      </c>
      <c r="G162">
        <v>93.771000000000001</v>
      </c>
      <c r="H162">
        <v>1.15424860573241E-2</v>
      </c>
      <c r="I162">
        <v>93.683000000000007</v>
      </c>
      <c r="J162">
        <v>2.8367124108843499E-3</v>
      </c>
      <c r="K162" t="s">
        <v>1101</v>
      </c>
      <c r="L162" t="s">
        <v>941</v>
      </c>
    </row>
    <row r="163" spans="1:12" x14ac:dyDescent="0.3">
      <c r="A163">
        <v>6.2204942357442202E-3</v>
      </c>
      <c r="B163">
        <v>3.1017939025557401E-2</v>
      </c>
      <c r="C163">
        <v>2.9062361366274402E-2</v>
      </c>
      <c r="D163">
        <v>1.7491325837778699E-2</v>
      </c>
      <c r="E163" t="s">
        <v>1617</v>
      </c>
      <c r="F163" t="s">
        <v>1456</v>
      </c>
      <c r="G163">
        <v>94.444999999999993</v>
      </c>
      <c r="H163">
        <v>7.18772328331774E-3</v>
      </c>
      <c r="I163">
        <v>94.09</v>
      </c>
      <c r="J163">
        <v>4.3444381584705196E-3</v>
      </c>
      <c r="K163" t="s">
        <v>1102</v>
      </c>
      <c r="L163" t="s">
        <v>941</v>
      </c>
    </row>
    <row r="164" spans="1:12" x14ac:dyDescent="0.3">
      <c r="A164">
        <v>7.72594376628044E-3</v>
      </c>
      <c r="B164">
        <v>1.59750935835106E-2</v>
      </c>
      <c r="C164">
        <v>2.3067349052007899E-2</v>
      </c>
      <c r="D164">
        <v>1.2643202128826501E-2</v>
      </c>
      <c r="E164" t="s">
        <v>1618</v>
      </c>
      <c r="F164" t="s">
        <v>1456</v>
      </c>
      <c r="G164">
        <v>94.984999999999999</v>
      </c>
      <c r="H164">
        <v>5.7176134258034601E-3</v>
      </c>
      <c r="I164">
        <v>94.385999999999996</v>
      </c>
      <c r="J164">
        <v>3.1459241152087501E-3</v>
      </c>
      <c r="K164" t="s">
        <v>1103</v>
      </c>
      <c r="L164" t="s">
        <v>941</v>
      </c>
    </row>
    <row r="165" spans="1:12" x14ac:dyDescent="0.3">
      <c r="A165">
        <v>2.5862689650447499E-2</v>
      </c>
      <c r="B165">
        <v>3.29452826155043E-2</v>
      </c>
      <c r="C165">
        <v>3.7879756208726099E-2</v>
      </c>
      <c r="D165">
        <v>1.8090208281751299E-2</v>
      </c>
      <c r="E165" t="s">
        <v>1619</v>
      </c>
      <c r="F165" t="s">
        <v>1456</v>
      </c>
      <c r="G165">
        <v>95.872</v>
      </c>
      <c r="H165">
        <v>9.3383165763014607E-3</v>
      </c>
      <c r="I165">
        <v>94.81</v>
      </c>
      <c r="J165">
        <v>4.4921916385904899E-3</v>
      </c>
      <c r="K165" t="s">
        <v>1104</v>
      </c>
      <c r="L165" t="s">
        <v>941</v>
      </c>
    </row>
    <row r="166" spans="1:12" x14ac:dyDescent="0.3">
      <c r="A166">
        <v>3.4016266815046298E-2</v>
      </c>
      <c r="B166">
        <v>3.64259738306612E-2</v>
      </c>
      <c r="C166">
        <v>4.5137017344844002E-2</v>
      </c>
      <c r="D166">
        <v>2.4394704867924499E-2</v>
      </c>
      <c r="E166" t="s">
        <v>1620</v>
      </c>
      <c r="F166" t="s">
        <v>1456</v>
      </c>
      <c r="G166">
        <v>96.936000000000007</v>
      </c>
      <c r="H166">
        <v>1.10981308411215E-2</v>
      </c>
      <c r="I166">
        <v>95.382999999999996</v>
      </c>
      <c r="J166">
        <v>6.0436662799281402E-3</v>
      </c>
      <c r="K166" t="s">
        <v>1105</v>
      </c>
      <c r="L166" t="s">
        <v>941</v>
      </c>
    </row>
    <row r="167" spans="1:12" x14ac:dyDescent="0.3">
      <c r="A167">
        <v>3.9906323464895102E-2</v>
      </c>
      <c r="B167">
        <v>3.6682670107609103E-2</v>
      </c>
      <c r="C167">
        <v>5.0829697512543702E-2</v>
      </c>
      <c r="D167">
        <v>4.1043493786856698E-2</v>
      </c>
      <c r="E167" t="s">
        <v>1621</v>
      </c>
      <c r="F167" t="s">
        <v>1456</v>
      </c>
      <c r="G167">
        <v>98.144999999999996</v>
      </c>
      <c r="H167">
        <v>1.24721465709332E-2</v>
      </c>
      <c r="I167">
        <v>96.346999999999994</v>
      </c>
      <c r="J167">
        <v>1.01066227734501E-2</v>
      </c>
      <c r="K167" t="s">
        <v>1106</v>
      </c>
      <c r="L167" t="s">
        <v>941</v>
      </c>
    </row>
    <row r="168" spans="1:12" x14ac:dyDescent="0.3">
      <c r="A168">
        <v>1.8640626124373699E-2</v>
      </c>
      <c r="B168">
        <v>1.39908352832361E-2</v>
      </c>
      <c r="C168">
        <v>1.5247657751557699E-2</v>
      </c>
      <c r="D168">
        <v>4.5983903903995101E-2</v>
      </c>
      <c r="E168" t="s">
        <v>1622</v>
      </c>
      <c r="F168" t="s">
        <v>1456</v>
      </c>
      <c r="G168">
        <v>98.516999999999996</v>
      </c>
      <c r="H168">
        <v>3.7903102552345699E-3</v>
      </c>
      <c r="I168">
        <v>97.436000000000007</v>
      </c>
      <c r="J168">
        <v>1.13028947450362E-2</v>
      </c>
      <c r="K168" t="s">
        <v>1107</v>
      </c>
      <c r="L168" t="s">
        <v>941</v>
      </c>
    </row>
    <row r="169" spans="1:12" x14ac:dyDescent="0.3">
      <c r="A169">
        <v>1.32561299755005E-2</v>
      </c>
      <c r="B169">
        <v>-5.33618345022691E-3</v>
      </c>
      <c r="C169">
        <v>-1.40950235359611E-2</v>
      </c>
      <c r="D169">
        <v>3.8137779822804398E-2</v>
      </c>
      <c r="E169" t="s">
        <v>1623</v>
      </c>
      <c r="F169" t="s">
        <v>1456</v>
      </c>
      <c r="G169">
        <v>98.168000000000006</v>
      </c>
      <c r="H169">
        <v>-3.54253580600294E-3</v>
      </c>
      <c r="I169">
        <v>98.352000000000004</v>
      </c>
      <c r="J169">
        <v>9.4010427357444897E-3</v>
      </c>
      <c r="K169" t="s">
        <v>1108</v>
      </c>
      <c r="L169" t="s">
        <v>941</v>
      </c>
    </row>
    <row r="170" spans="1:12" x14ac:dyDescent="0.3">
      <c r="A170">
        <v>2.6761481120787502E-2</v>
      </c>
      <c r="B170">
        <v>1.39201532997375E-2</v>
      </c>
      <c r="C170">
        <v>5.4116713606157101E-2</v>
      </c>
      <c r="D170">
        <v>3.0312571909831599E-2</v>
      </c>
      <c r="E170" t="s">
        <v>1624</v>
      </c>
      <c r="F170" t="s">
        <v>1456</v>
      </c>
      <c r="G170">
        <v>99.47</v>
      </c>
      <c r="H170">
        <v>1.32629777524242E-2</v>
      </c>
      <c r="I170">
        <v>99.088999999999999</v>
      </c>
      <c r="J170">
        <v>7.4934927606962196E-3</v>
      </c>
      <c r="K170" t="s">
        <v>1109</v>
      </c>
      <c r="L170" t="s">
        <v>941</v>
      </c>
    </row>
    <row r="171" spans="1:12" x14ac:dyDescent="0.3">
      <c r="A171">
        <v>9.7203652064314899E-3</v>
      </c>
      <c r="B171">
        <v>8.8550245823753003E-3</v>
      </c>
      <c r="C171">
        <v>-6.9787462524018001E-3</v>
      </c>
      <c r="D171">
        <v>3.2273930792219303E-2</v>
      </c>
      <c r="E171" t="s">
        <v>1625</v>
      </c>
      <c r="F171" t="s">
        <v>1456</v>
      </c>
      <c r="G171">
        <v>99.296000000000006</v>
      </c>
      <c r="H171">
        <v>-1.7492711370261599E-3</v>
      </c>
      <c r="I171">
        <v>99.879000000000005</v>
      </c>
      <c r="J171">
        <v>7.9726306653615797E-3</v>
      </c>
      <c r="K171" t="s">
        <v>1110</v>
      </c>
      <c r="L171" t="s">
        <v>941</v>
      </c>
    </row>
    <row r="172" spans="1:12" x14ac:dyDescent="0.3">
      <c r="A172">
        <v>1.1676944984941699E-2</v>
      </c>
      <c r="B172">
        <v>7.7077122555302396E-3</v>
      </c>
      <c r="C172">
        <v>2.44311343320835E-2</v>
      </c>
      <c r="D172">
        <v>2.17207841742009E-2</v>
      </c>
      <c r="E172" t="s">
        <v>1626</v>
      </c>
      <c r="F172" t="s">
        <v>1456</v>
      </c>
      <c r="G172">
        <v>99.897000000000006</v>
      </c>
      <c r="H172">
        <v>6.0526103770543998E-3</v>
      </c>
      <c r="I172">
        <v>100.417</v>
      </c>
      <c r="J172">
        <v>5.3865176864005297E-3</v>
      </c>
      <c r="K172" t="s">
        <v>1111</v>
      </c>
      <c r="L172" t="s">
        <v>941</v>
      </c>
    </row>
    <row r="173" spans="1:12" x14ac:dyDescent="0.3">
      <c r="A173">
        <v>2.2614716677978E-2</v>
      </c>
      <c r="B173">
        <v>4.9632662336496196E-3</v>
      </c>
      <c r="C173">
        <v>5.8918140200379103E-2</v>
      </c>
      <c r="D173">
        <v>7.9104688711333394E-3</v>
      </c>
      <c r="E173" t="s">
        <v>1627</v>
      </c>
      <c r="F173" t="s">
        <v>1456</v>
      </c>
      <c r="G173">
        <v>101.337</v>
      </c>
      <c r="H173">
        <v>1.4414847292711501E-2</v>
      </c>
      <c r="I173">
        <v>100.61499999999999</v>
      </c>
      <c r="J173">
        <v>1.9717776870449301E-3</v>
      </c>
      <c r="K173" t="s">
        <v>1112</v>
      </c>
      <c r="L173" t="s">
        <v>941</v>
      </c>
    </row>
    <row r="174" spans="1:12" x14ac:dyDescent="0.3">
      <c r="A174">
        <v>1.45079389824292E-2</v>
      </c>
      <c r="B174">
        <v>-1.9949826125076301E-4</v>
      </c>
      <c r="C174">
        <v>5.3376513955371498E-2</v>
      </c>
      <c r="D174">
        <v>1.6319173615011201E-2</v>
      </c>
      <c r="E174" t="s">
        <v>1628</v>
      </c>
      <c r="F174" t="s">
        <v>1456</v>
      </c>
      <c r="G174">
        <v>102.663</v>
      </c>
      <c r="H174">
        <v>1.3085052843482501E-2</v>
      </c>
      <c r="I174">
        <v>101.023</v>
      </c>
      <c r="J174">
        <v>4.05506137255873E-3</v>
      </c>
      <c r="K174" t="s">
        <v>1113</v>
      </c>
      <c r="L174" t="s">
        <v>941</v>
      </c>
    </row>
    <row r="175" spans="1:12" x14ac:dyDescent="0.3">
      <c r="A175">
        <v>2.8548469670495202E-3</v>
      </c>
      <c r="B175">
        <v>7.9245575399269404E-3</v>
      </c>
      <c r="C175">
        <v>2.14833879994034E-2</v>
      </c>
      <c r="D175">
        <v>2.0547855013869399E-2</v>
      </c>
      <c r="E175" t="s">
        <v>1629</v>
      </c>
      <c r="F175" t="s">
        <v>1456</v>
      </c>
      <c r="G175">
        <v>103.21</v>
      </c>
      <c r="H175">
        <v>5.3281123676494103E-3</v>
      </c>
      <c r="I175">
        <v>101.538</v>
      </c>
      <c r="J175">
        <v>5.0978490046820202E-3</v>
      </c>
      <c r="K175" t="s">
        <v>1114</v>
      </c>
      <c r="L175" t="s">
        <v>941</v>
      </c>
    </row>
    <row r="176" spans="1:12" x14ac:dyDescent="0.3">
      <c r="A176">
        <v>1.6326843500240801E-2</v>
      </c>
      <c r="B176">
        <v>1.3006397529373E-2</v>
      </c>
      <c r="C176">
        <v>3.4225885044726997E-2</v>
      </c>
      <c r="D176">
        <v>2.1723337040250802E-2</v>
      </c>
      <c r="E176" t="s">
        <v>1630</v>
      </c>
      <c r="F176" t="s">
        <v>1456</v>
      </c>
      <c r="G176">
        <v>104.08199999999999</v>
      </c>
      <c r="H176">
        <v>8.4487937215385108E-3</v>
      </c>
      <c r="I176">
        <v>102.08499999999999</v>
      </c>
      <c r="J176">
        <v>5.3871456991470001E-3</v>
      </c>
      <c r="K176" t="s">
        <v>1115</v>
      </c>
      <c r="L176" t="s">
        <v>941</v>
      </c>
    </row>
    <row r="177" spans="1:12" x14ac:dyDescent="0.3">
      <c r="A177">
        <v>1.6859105016114002E-2</v>
      </c>
      <c r="B177">
        <v>6.2259222369993199E-2</v>
      </c>
      <c r="C177">
        <v>2.1461497744286601E-2</v>
      </c>
      <c r="D177">
        <v>3.0554089712781E-2</v>
      </c>
      <c r="E177" t="s">
        <v>1631</v>
      </c>
      <c r="F177" t="s">
        <v>1456</v>
      </c>
      <c r="G177">
        <v>104.636</v>
      </c>
      <c r="H177">
        <v>5.3227263119464104E-3</v>
      </c>
      <c r="I177">
        <v>102.85599999999999</v>
      </c>
      <c r="J177">
        <v>7.55252975461618E-3</v>
      </c>
      <c r="K177" t="s">
        <v>1116</v>
      </c>
      <c r="L177" t="s">
        <v>941</v>
      </c>
    </row>
    <row r="178" spans="1:12" x14ac:dyDescent="0.3">
      <c r="A178">
        <v>1.93744928521071E-2</v>
      </c>
      <c r="B178">
        <v>-1.02831916231174E-2</v>
      </c>
      <c r="C178">
        <v>3.4027993671362999E-2</v>
      </c>
      <c r="D178">
        <v>2.27077607090642E-2</v>
      </c>
      <c r="E178" t="s">
        <v>1632</v>
      </c>
      <c r="F178" t="s">
        <v>1456</v>
      </c>
      <c r="G178">
        <v>105.515</v>
      </c>
      <c r="H178">
        <v>8.4005504797584098E-3</v>
      </c>
      <c r="I178">
        <v>103.435</v>
      </c>
      <c r="J178">
        <v>5.6292292136579398E-3</v>
      </c>
      <c r="K178" t="s">
        <v>1117</v>
      </c>
      <c r="L178" t="s">
        <v>941</v>
      </c>
    </row>
    <row r="179" spans="1:12" x14ac:dyDescent="0.3">
      <c r="A179">
        <v>2.0192934056340501E-2</v>
      </c>
      <c r="B179">
        <v>1.7798477087045E-2</v>
      </c>
      <c r="C179">
        <v>1.2683683496116101E-2</v>
      </c>
      <c r="D179">
        <v>1.8378329285591199E-2</v>
      </c>
      <c r="E179" t="s">
        <v>1633</v>
      </c>
      <c r="F179" t="s">
        <v>1456</v>
      </c>
      <c r="G179">
        <v>105.848</v>
      </c>
      <c r="H179">
        <v>3.1559493910817702E-3</v>
      </c>
      <c r="I179">
        <v>103.907</v>
      </c>
      <c r="J179">
        <v>4.5632522840430801E-3</v>
      </c>
      <c r="K179" t="s">
        <v>1118</v>
      </c>
      <c r="L179" t="s">
        <v>941</v>
      </c>
    </row>
    <row r="180" spans="1:12" x14ac:dyDescent="0.3">
      <c r="A180">
        <v>1.13601398604235E-2</v>
      </c>
      <c r="B180">
        <v>1.8827452214838801E-2</v>
      </c>
      <c r="C180">
        <v>2.3098181930942801E-2</v>
      </c>
      <c r="D180">
        <v>1.94654703730235E-2</v>
      </c>
      <c r="E180" t="s">
        <v>1634</v>
      </c>
      <c r="F180" t="s">
        <v>1456</v>
      </c>
      <c r="G180">
        <v>106.45399999999999</v>
      </c>
      <c r="H180">
        <v>5.7251908396946903E-3</v>
      </c>
      <c r="I180">
        <v>104.40900000000001</v>
      </c>
      <c r="J180">
        <v>4.8312433233566E-3</v>
      </c>
      <c r="K180" t="s">
        <v>1119</v>
      </c>
      <c r="L180" t="s">
        <v>941</v>
      </c>
    </row>
    <row r="181" spans="1:12" x14ac:dyDescent="0.3">
      <c r="A181">
        <v>-4.6048768205230201E-3</v>
      </c>
      <c r="B181">
        <v>5.3720415632923001E-3</v>
      </c>
      <c r="C181">
        <v>-3.1150724387948299E-3</v>
      </c>
      <c r="D181">
        <v>7.0678568534106E-3</v>
      </c>
      <c r="E181" t="s">
        <v>1635</v>
      </c>
      <c r="F181" t="s">
        <v>1456</v>
      </c>
      <c r="G181">
        <v>106.371</v>
      </c>
      <c r="H181">
        <v>-7.7967948597512703E-4</v>
      </c>
      <c r="I181">
        <v>104.593</v>
      </c>
      <c r="J181">
        <v>1.76230018484991E-3</v>
      </c>
      <c r="K181" t="s">
        <v>1120</v>
      </c>
      <c r="L181" t="s">
        <v>941</v>
      </c>
    </row>
    <row r="182" spans="1:12" x14ac:dyDescent="0.3">
      <c r="A182">
        <v>-1.65067373701384E-2</v>
      </c>
      <c r="B182">
        <v>-6.4248737444822001E-3</v>
      </c>
      <c r="C182">
        <v>-3.9305105462135198E-2</v>
      </c>
      <c r="D182">
        <v>-1.18502082280647E-3</v>
      </c>
      <c r="E182" t="s">
        <v>1636</v>
      </c>
      <c r="F182" t="s">
        <v>1456</v>
      </c>
      <c r="G182">
        <v>105.31</v>
      </c>
      <c r="H182">
        <v>-9.9745231313045392E-3</v>
      </c>
      <c r="I182">
        <v>104.562</v>
      </c>
      <c r="J182">
        <v>-2.9638694750133698E-4</v>
      </c>
      <c r="K182" t="s">
        <v>1121</v>
      </c>
      <c r="L182" t="s">
        <v>941</v>
      </c>
    </row>
    <row r="183" spans="1:12" x14ac:dyDescent="0.3">
      <c r="A183">
        <v>1.9548766403745001E-2</v>
      </c>
      <c r="B183">
        <v>7.87290366046434E-3</v>
      </c>
      <c r="C183">
        <v>2.82887807392058E-2</v>
      </c>
      <c r="D183">
        <v>1.76749178700988E-2</v>
      </c>
      <c r="E183" t="s">
        <v>1637</v>
      </c>
      <c r="F183" t="s">
        <v>1456</v>
      </c>
      <c r="G183">
        <v>106.047</v>
      </c>
      <c r="H183">
        <v>6.9983857183553199E-3</v>
      </c>
      <c r="I183">
        <v>105.021</v>
      </c>
      <c r="J183">
        <v>4.3897400585299904E-3</v>
      </c>
      <c r="K183" t="s">
        <v>1122</v>
      </c>
      <c r="L183" t="s">
        <v>941</v>
      </c>
    </row>
    <row r="184" spans="1:12" x14ac:dyDescent="0.3">
      <c r="A184">
        <v>9.6917092109320997E-3</v>
      </c>
      <c r="B184">
        <v>6.1419866574232698E-3</v>
      </c>
      <c r="C184">
        <v>2.4162101667697402E-3</v>
      </c>
      <c r="D184">
        <v>1.1398511762960899E-2</v>
      </c>
      <c r="E184" t="s">
        <v>1638</v>
      </c>
      <c r="F184" t="s">
        <v>1456</v>
      </c>
      <c r="G184">
        <v>106.111</v>
      </c>
      <c r="H184">
        <v>6.0350599262592997E-4</v>
      </c>
      <c r="I184">
        <v>105.319</v>
      </c>
      <c r="J184">
        <v>2.8375277325487498E-3</v>
      </c>
      <c r="K184" t="s">
        <v>1123</v>
      </c>
      <c r="L184" t="s">
        <v>941</v>
      </c>
    </row>
    <row r="185" spans="1:12" x14ac:dyDescent="0.3">
      <c r="A185">
        <v>-3.9403871252573497E-3</v>
      </c>
      <c r="B185">
        <v>-3.1716537268759999E-3</v>
      </c>
      <c r="C185">
        <v>-1.5664221695060501E-2</v>
      </c>
      <c r="D185">
        <v>-2.2010123911118101E-3</v>
      </c>
      <c r="E185" t="s">
        <v>1639</v>
      </c>
      <c r="F185" t="s">
        <v>1456</v>
      </c>
      <c r="G185">
        <v>105.693</v>
      </c>
      <c r="H185">
        <v>-3.9392711405981098E-3</v>
      </c>
      <c r="I185">
        <v>105.261</v>
      </c>
      <c r="J185">
        <v>-5.5070784948596497E-4</v>
      </c>
      <c r="K185" t="s">
        <v>1124</v>
      </c>
      <c r="L185" t="s">
        <v>941</v>
      </c>
    </row>
    <row r="186" spans="1:12" x14ac:dyDescent="0.3">
      <c r="A186">
        <v>2.1316685833889801E-3</v>
      </c>
      <c r="B186">
        <v>-9.9615046560082004E-3</v>
      </c>
      <c r="C186">
        <v>-3.3665208430493802E-2</v>
      </c>
      <c r="D186">
        <v>-9.6550430027560995E-3</v>
      </c>
      <c r="E186" t="s">
        <v>1640</v>
      </c>
      <c r="F186" t="s">
        <v>1456</v>
      </c>
      <c r="G186">
        <v>104.792</v>
      </c>
      <c r="H186">
        <v>-8.5246894307096106E-3</v>
      </c>
      <c r="I186">
        <v>105.006</v>
      </c>
      <c r="J186">
        <v>-2.4225496622680702E-3</v>
      </c>
      <c r="K186" t="s">
        <v>1125</v>
      </c>
      <c r="L186" t="s">
        <v>941</v>
      </c>
    </row>
    <row r="187" spans="1:12" x14ac:dyDescent="0.3">
      <c r="A187">
        <v>2.5357857709627601E-2</v>
      </c>
      <c r="B187">
        <v>2.1698746196001199E-2</v>
      </c>
      <c r="C187">
        <v>3.0770998377488399E-2</v>
      </c>
      <c r="D187">
        <v>3.3008554152673703E-2</v>
      </c>
      <c r="E187" t="s">
        <v>1641</v>
      </c>
      <c r="F187" t="s">
        <v>1456</v>
      </c>
      <c r="G187">
        <v>105.589</v>
      </c>
      <c r="H187">
        <v>7.6055424078174099E-3</v>
      </c>
      <c r="I187">
        <v>105.86199999999999</v>
      </c>
      <c r="J187">
        <v>8.1519151286593202E-3</v>
      </c>
      <c r="K187" t="s">
        <v>1126</v>
      </c>
      <c r="L187" t="s">
        <v>941</v>
      </c>
    </row>
    <row r="188" spans="1:12" x14ac:dyDescent="0.3">
      <c r="A188">
        <v>1.5085753101185199E-2</v>
      </c>
      <c r="B188">
        <v>1.5625918949128799E-2</v>
      </c>
      <c r="C188">
        <v>1.5469326265677499E-2</v>
      </c>
      <c r="D188">
        <v>3.0262315011426702E-3</v>
      </c>
      <c r="E188" t="s">
        <v>1642</v>
      </c>
      <c r="F188" t="s">
        <v>1456</v>
      </c>
      <c r="G188">
        <v>105.995</v>
      </c>
      <c r="H188">
        <v>3.8450975006867299E-3</v>
      </c>
      <c r="I188">
        <v>105.94199999999999</v>
      </c>
      <c r="J188">
        <v>7.5570081804610101E-4</v>
      </c>
      <c r="K188" t="s">
        <v>1127</v>
      </c>
      <c r="L188" t="s">
        <v>941</v>
      </c>
    </row>
    <row r="189" spans="1:12" x14ac:dyDescent="0.3">
      <c r="A189">
        <v>1.9065277405527499E-2</v>
      </c>
      <c r="B189">
        <v>1.9426037707255001E-2</v>
      </c>
      <c r="C189">
        <v>1.98067429774604E-2</v>
      </c>
      <c r="D189">
        <v>1.9471921944120799E-2</v>
      </c>
      <c r="E189" t="s">
        <v>1643</v>
      </c>
      <c r="F189" t="s">
        <v>1456</v>
      </c>
      <c r="G189">
        <v>106.51600000000001</v>
      </c>
      <c r="H189">
        <v>4.9153261946317502E-3</v>
      </c>
      <c r="I189">
        <v>106.45399999999999</v>
      </c>
      <c r="J189">
        <v>4.8328330595985803E-3</v>
      </c>
      <c r="K189" t="s">
        <v>1128</v>
      </c>
      <c r="L189" t="s">
        <v>941</v>
      </c>
    </row>
    <row r="190" spans="1:12" x14ac:dyDescent="0.3">
      <c r="A190">
        <v>2.3896314746341098E-2</v>
      </c>
      <c r="B190">
        <v>1.9409885132803301E-2</v>
      </c>
      <c r="C190">
        <v>3.9514900887574103E-2</v>
      </c>
      <c r="D190">
        <v>2.7099611156277601E-2</v>
      </c>
      <c r="E190" t="s">
        <v>1644</v>
      </c>
      <c r="F190" t="s">
        <v>1456</v>
      </c>
      <c r="G190">
        <v>107.53400000000001</v>
      </c>
      <c r="H190">
        <v>9.5572496150813108E-3</v>
      </c>
      <c r="I190">
        <v>107.188</v>
      </c>
      <c r="J190">
        <v>6.8949969000695601E-3</v>
      </c>
      <c r="K190" t="s">
        <v>1129</v>
      </c>
      <c r="L190" t="s">
        <v>941</v>
      </c>
    </row>
    <row r="191" spans="1:12" x14ac:dyDescent="0.3">
      <c r="A191">
        <v>9.9328007831764892E-3</v>
      </c>
      <c r="B191">
        <v>1.3103273651826199E-2</v>
      </c>
      <c r="C191">
        <v>9.0306358829268501E-3</v>
      </c>
      <c r="D191">
        <v>2.1521193573355E-2</v>
      </c>
      <c r="E191" t="s">
        <v>1645</v>
      </c>
      <c r="F191" t="s">
        <v>1456</v>
      </c>
      <c r="G191">
        <v>107.80200000000001</v>
      </c>
      <c r="H191">
        <v>2.49223501404217E-3</v>
      </c>
      <c r="I191">
        <v>107.712</v>
      </c>
      <c r="J191">
        <v>4.8886069336120403E-3</v>
      </c>
      <c r="K191" t="s">
        <v>1130</v>
      </c>
      <c r="L191" t="s">
        <v>941</v>
      </c>
    </row>
    <row r="192" spans="1:12" x14ac:dyDescent="0.3">
      <c r="A192">
        <v>1.4603017582518699E-2</v>
      </c>
      <c r="B192">
        <v>1.7788818797953999E-2</v>
      </c>
      <c r="C192">
        <v>3.6635495652026999E-2</v>
      </c>
      <c r="D192">
        <v>3.6311211479282998E-2</v>
      </c>
      <c r="E192" t="s">
        <v>1646</v>
      </c>
      <c r="F192" t="s">
        <v>1456</v>
      </c>
      <c r="G192">
        <v>108.785</v>
      </c>
      <c r="H192">
        <v>9.1185692287711895E-3</v>
      </c>
      <c r="I192">
        <v>108.676</v>
      </c>
      <c r="J192">
        <v>8.94979203802726E-3</v>
      </c>
      <c r="K192" t="s">
        <v>1131</v>
      </c>
      <c r="L192" t="s">
        <v>941</v>
      </c>
    </row>
    <row r="193" spans="1:12" x14ac:dyDescent="0.3">
      <c r="A193">
        <v>2.5719713356744601E-2</v>
      </c>
      <c r="B193">
        <v>2.90667642529692E-2</v>
      </c>
      <c r="C193">
        <v>5.7042627848445E-2</v>
      </c>
      <c r="D193">
        <v>2.3197124388088401E-2</v>
      </c>
      <c r="E193" t="s">
        <v>1647</v>
      </c>
      <c r="F193" t="s">
        <v>1456</v>
      </c>
      <c r="G193">
        <v>110.252</v>
      </c>
      <c r="H193">
        <v>1.3485315071011699E-2</v>
      </c>
      <c r="I193">
        <v>109.285</v>
      </c>
      <c r="J193">
        <v>5.6038131694209304E-3</v>
      </c>
      <c r="K193" t="s">
        <v>1132</v>
      </c>
      <c r="L193" t="s">
        <v>941</v>
      </c>
    </row>
    <row r="194" spans="1:12" x14ac:dyDescent="0.3">
      <c r="A194">
        <v>2.9147369447939799E-2</v>
      </c>
      <c r="B194">
        <v>4.11537159385129E-2</v>
      </c>
      <c r="C194">
        <v>5.2316315130779299E-2</v>
      </c>
      <c r="D194">
        <v>3.8107075575473298E-2</v>
      </c>
      <c r="E194" t="s">
        <v>1648</v>
      </c>
      <c r="F194" t="s">
        <v>1456</v>
      </c>
      <c r="G194">
        <v>111.627</v>
      </c>
      <c r="H194">
        <v>1.24714290897217E-2</v>
      </c>
      <c r="I194">
        <v>110.291</v>
      </c>
      <c r="J194">
        <v>9.2052889234570702E-3</v>
      </c>
      <c r="K194" t="s">
        <v>1133</v>
      </c>
      <c r="L194" t="s">
        <v>941</v>
      </c>
    </row>
    <row r="195" spans="1:12" x14ac:dyDescent="0.3">
      <c r="A195">
        <v>2.1663179127611398E-2</v>
      </c>
      <c r="B195">
        <v>2.95524402709311E-2</v>
      </c>
      <c r="C195">
        <v>4.1414814571916599E-2</v>
      </c>
      <c r="D195">
        <v>5.71493007542314E-2</v>
      </c>
      <c r="E195" t="s">
        <v>1649</v>
      </c>
      <c r="F195" t="s">
        <v>1456</v>
      </c>
      <c r="G195">
        <v>112.81100000000001</v>
      </c>
      <c r="H195">
        <v>1.06067528465337E-2</v>
      </c>
      <c r="I195">
        <v>111.736</v>
      </c>
      <c r="J195">
        <v>1.3101703674824E-2</v>
      </c>
      <c r="K195" t="s">
        <v>1134</v>
      </c>
      <c r="L195" t="s">
        <v>941</v>
      </c>
    </row>
    <row r="196" spans="1:12" x14ac:dyDescent="0.3">
      <c r="A196">
        <v>1.4350946991545E-2</v>
      </c>
      <c r="B196">
        <v>2.3387558006987101E-2</v>
      </c>
      <c r="C196">
        <v>3.8836746328921902E-2</v>
      </c>
      <c r="D196">
        <v>2.9745006586506799E-2</v>
      </c>
      <c r="E196" t="s">
        <v>1650</v>
      </c>
      <c r="F196" t="s">
        <v>1456</v>
      </c>
      <c r="G196">
        <v>113.875</v>
      </c>
      <c r="H196">
        <v>9.4317043550717905E-3</v>
      </c>
      <c r="I196">
        <v>112.542</v>
      </c>
      <c r="J196">
        <v>7.2134316603422698E-3</v>
      </c>
      <c r="K196" t="s">
        <v>1135</v>
      </c>
      <c r="L196" t="s">
        <v>941</v>
      </c>
    </row>
    <row r="197" spans="1:12" x14ac:dyDescent="0.3">
      <c r="A197">
        <v>1.51565091171486E-2</v>
      </c>
      <c r="B197">
        <v>2.9652502701153601E-2</v>
      </c>
      <c r="C197">
        <v>1.6036274889288799E-2</v>
      </c>
      <c r="D197">
        <v>4.1912016313216102E-2</v>
      </c>
      <c r="E197" t="s">
        <v>1651</v>
      </c>
      <c r="F197" t="s">
        <v>1456</v>
      </c>
      <c r="G197">
        <v>114.43899999999999</v>
      </c>
      <c r="H197">
        <v>4.9527991218440998E-3</v>
      </c>
      <c r="I197">
        <v>113.715</v>
      </c>
      <c r="J197">
        <v>1.0422775497147801E-2</v>
      </c>
      <c r="K197" t="s">
        <v>1136</v>
      </c>
      <c r="L197" t="s">
        <v>941</v>
      </c>
    </row>
    <row r="198" spans="1:12" x14ac:dyDescent="0.3">
      <c r="A198">
        <v>8.3593342288621492E-3</v>
      </c>
      <c r="B198">
        <v>4.3357912415273203E-2</v>
      </c>
      <c r="C198">
        <v>-1.6750426853228501E-2</v>
      </c>
      <c r="D198">
        <v>1.5721372171975601E-2</v>
      </c>
      <c r="E198" t="s">
        <v>1652</v>
      </c>
      <c r="F198" t="s">
        <v>1456</v>
      </c>
      <c r="G198">
        <v>113.98</v>
      </c>
      <c r="H198">
        <v>-4.0108704200489996E-3</v>
      </c>
      <c r="I198">
        <v>114.175</v>
      </c>
      <c r="J198">
        <v>4.0452007211009304E-3</v>
      </c>
      <c r="K198" t="s">
        <v>1137</v>
      </c>
      <c r="L198" t="s">
        <v>941</v>
      </c>
    </row>
    <row r="199" spans="1:12" x14ac:dyDescent="0.3">
      <c r="A199">
        <v>2.4734353401226102E-2</v>
      </c>
      <c r="B199">
        <v>-2.6343933972632301E-2</v>
      </c>
      <c r="C199">
        <v>2.5813818283005E-2</v>
      </c>
      <c r="D199">
        <v>4.8037769815769002E-2</v>
      </c>
      <c r="E199" t="s">
        <v>1653</v>
      </c>
      <c r="F199" t="s">
        <v>1456</v>
      </c>
      <c r="G199">
        <v>114.758</v>
      </c>
      <c r="H199">
        <v>6.8257589050710896E-3</v>
      </c>
      <c r="I199">
        <v>115.41800000000001</v>
      </c>
      <c r="J199">
        <v>1.0886796584191E-2</v>
      </c>
      <c r="K199" t="s">
        <v>1138</v>
      </c>
      <c r="L199" t="s">
        <v>941</v>
      </c>
    </row>
    <row r="200" spans="1:12" x14ac:dyDescent="0.3">
      <c r="A200">
        <v>1.0490970472330399E-2</v>
      </c>
      <c r="B200">
        <v>1.0018821110834301E-2</v>
      </c>
      <c r="C200">
        <v>8.6124156242581903E-3</v>
      </c>
      <c r="D200">
        <v>1.9083730667159401E-2</v>
      </c>
      <c r="E200" t="s">
        <v>1654</v>
      </c>
      <c r="F200" t="s">
        <v>1456</v>
      </c>
      <c r="G200">
        <v>114.919</v>
      </c>
      <c r="H200">
        <v>1.40295229962173E-3</v>
      </c>
      <c r="I200">
        <v>115.982</v>
      </c>
      <c r="J200">
        <v>4.8865861477411796E-3</v>
      </c>
      <c r="K200" t="s">
        <v>1139</v>
      </c>
      <c r="L200" t="s">
        <v>941</v>
      </c>
    </row>
    <row r="201" spans="1:12" x14ac:dyDescent="0.3">
      <c r="A201">
        <v>1.45690487077856E-2</v>
      </c>
      <c r="B201">
        <v>1.6245763277308499E-2</v>
      </c>
      <c r="C201">
        <v>1.6996215944869601E-2</v>
      </c>
      <c r="D201">
        <v>5.8979339636946503E-3</v>
      </c>
      <c r="E201" t="s">
        <v>1655</v>
      </c>
      <c r="F201" t="s">
        <v>1456</v>
      </c>
      <c r="G201">
        <v>115.285</v>
      </c>
      <c r="H201">
        <v>3.1848519391919298E-3</v>
      </c>
      <c r="I201">
        <v>116.167</v>
      </c>
      <c r="J201">
        <v>1.59507509785994E-3</v>
      </c>
      <c r="K201" t="s">
        <v>1140</v>
      </c>
      <c r="L201" t="s">
        <v>941</v>
      </c>
    </row>
    <row r="202" spans="1:12" x14ac:dyDescent="0.3">
      <c r="A202">
        <v>1.46624987744557E-2</v>
      </c>
      <c r="B202">
        <v>1.3591255249432201E-2</v>
      </c>
      <c r="C202">
        <v>5.0660572456327199E-2</v>
      </c>
      <c r="D202">
        <v>1.0418465412080901E-2</v>
      </c>
      <c r="E202" t="s">
        <v>1656</v>
      </c>
      <c r="F202" t="s">
        <v>1456</v>
      </c>
      <c r="G202">
        <v>116.54600000000001</v>
      </c>
      <c r="H202">
        <v>1.09381099015484E-2</v>
      </c>
      <c r="I202">
        <v>116.5</v>
      </c>
      <c r="J202">
        <v>2.86656279322006E-3</v>
      </c>
      <c r="K202" t="s">
        <v>1141</v>
      </c>
      <c r="L202" t="s">
        <v>941</v>
      </c>
    </row>
    <row r="203" spans="1:12" x14ac:dyDescent="0.3">
      <c r="A203">
        <v>-1.7940859457881899E-2</v>
      </c>
      <c r="B203">
        <v>3.31045118831508E-3</v>
      </c>
      <c r="C203">
        <v>-1.06133933402519E-3</v>
      </c>
      <c r="D203">
        <v>-7.65559802497651E-3</v>
      </c>
      <c r="E203" t="s">
        <v>1657</v>
      </c>
      <c r="F203" t="s">
        <v>1456</v>
      </c>
      <c r="G203">
        <v>116.072</v>
      </c>
      <c r="H203">
        <v>-4.0670636486881398E-3</v>
      </c>
      <c r="I203">
        <v>116.19499999999999</v>
      </c>
      <c r="J203">
        <v>-2.61802575107306E-3</v>
      </c>
      <c r="K203" t="s">
        <v>1142</v>
      </c>
      <c r="L203" t="s">
        <v>941</v>
      </c>
    </row>
    <row r="204" spans="1:12" x14ac:dyDescent="0.3">
      <c r="A204">
        <v>3.3775526155126898E-2</v>
      </c>
      <c r="B204">
        <v>2.5959727144998501E-2</v>
      </c>
      <c r="C204">
        <v>3.4596703938155803E-2</v>
      </c>
      <c r="D204">
        <v>4.1355015452944698E-2</v>
      </c>
      <c r="E204" t="s">
        <v>1658</v>
      </c>
      <c r="F204" t="s">
        <v>1456</v>
      </c>
      <c r="G204">
        <v>116.51900000000001</v>
      </c>
      <c r="H204">
        <v>3.8510579640223001E-3</v>
      </c>
      <c r="I204">
        <v>117.285</v>
      </c>
      <c r="J204">
        <v>9.3807823056069103E-3</v>
      </c>
      <c r="K204" t="s">
        <v>1143</v>
      </c>
      <c r="L204" t="s">
        <v>941</v>
      </c>
    </row>
    <row r="205" spans="1:12" x14ac:dyDescent="0.3">
      <c r="A205">
        <v>1.6442937470855502E-2</v>
      </c>
      <c r="B205">
        <v>2.4447407360365301E-2</v>
      </c>
      <c r="C205">
        <v>5.1547958936444697E-2</v>
      </c>
      <c r="D205">
        <v>1.8415186976738801E-2</v>
      </c>
      <c r="E205" t="s">
        <v>1659</v>
      </c>
      <c r="F205" t="s">
        <v>1456</v>
      </c>
      <c r="G205">
        <v>117.593</v>
      </c>
      <c r="H205">
        <v>9.2173808563409398E-3</v>
      </c>
      <c r="I205">
        <v>117.706</v>
      </c>
      <c r="J205">
        <v>3.5895468303705999E-3</v>
      </c>
      <c r="K205" t="s">
        <v>1144</v>
      </c>
      <c r="L205" t="s">
        <v>941</v>
      </c>
    </row>
    <row r="206" spans="1:12" x14ac:dyDescent="0.3">
      <c r="A206">
        <v>4.5025943450948999E-2</v>
      </c>
      <c r="B206">
        <v>4.0827649049089101E-2</v>
      </c>
      <c r="C206">
        <v>9.2834286401326696E-2</v>
      </c>
      <c r="D206">
        <v>6.4160755006020101E-2</v>
      </c>
      <c r="E206" t="s">
        <v>1660</v>
      </c>
      <c r="F206" t="s">
        <v>1456</v>
      </c>
      <c r="G206">
        <v>119.419</v>
      </c>
      <c r="H206">
        <v>1.5528135178114201E-2</v>
      </c>
      <c r="I206">
        <v>119.416</v>
      </c>
      <c r="J206">
        <v>1.45277216114725E-2</v>
      </c>
      <c r="K206" t="s">
        <v>1145</v>
      </c>
      <c r="L206" t="s">
        <v>941</v>
      </c>
    </row>
    <row r="207" spans="1:12" x14ac:dyDescent="0.3">
      <c r="A207">
        <v>6.4441802743663304E-2</v>
      </c>
      <c r="B207">
        <v>4.1247362410053098E-2</v>
      </c>
      <c r="C207">
        <v>8.0575514620662397E-2</v>
      </c>
      <c r="D207">
        <v>0.104589902157439</v>
      </c>
      <c r="E207" t="s">
        <v>1661</v>
      </c>
      <c r="F207" t="s">
        <v>1456</v>
      </c>
      <c r="G207">
        <v>121.425</v>
      </c>
      <c r="H207">
        <v>1.6797996968656699E-2</v>
      </c>
      <c r="I207">
        <v>122.101</v>
      </c>
      <c r="J207">
        <v>2.24844241977624E-2</v>
      </c>
      <c r="K207" t="s">
        <v>1146</v>
      </c>
      <c r="L207" t="s">
        <v>941</v>
      </c>
    </row>
    <row r="208" spans="1:12" x14ac:dyDescent="0.3">
      <c r="A208">
        <v>5.5998846943190198E-2</v>
      </c>
      <c r="B208">
        <v>4.40178580952795E-2</v>
      </c>
      <c r="C208">
        <v>6.4680375979367696E-2</v>
      </c>
      <c r="D208">
        <v>9.3631239224950299E-2</v>
      </c>
      <c r="E208" t="s">
        <v>1662</v>
      </c>
      <c r="F208" t="s">
        <v>1456</v>
      </c>
      <c r="G208">
        <v>123.291</v>
      </c>
      <c r="H208">
        <v>1.53675108091413E-2</v>
      </c>
      <c r="I208">
        <v>124.71</v>
      </c>
      <c r="J208">
        <v>2.13675563672697E-2</v>
      </c>
      <c r="K208" t="s">
        <v>1147</v>
      </c>
      <c r="L208" t="s">
        <v>941</v>
      </c>
    </row>
    <row r="209" spans="1:12" x14ac:dyDescent="0.3">
      <c r="A209">
        <v>6.1859650545573498E-2</v>
      </c>
      <c r="B209">
        <v>4.34322998250962E-2</v>
      </c>
      <c r="C209">
        <v>8.4136934840178798E-2</v>
      </c>
      <c r="D209">
        <v>0.12124821634027599</v>
      </c>
      <c r="E209" t="s">
        <v>1663</v>
      </c>
      <c r="F209" t="s">
        <v>1456</v>
      </c>
      <c r="G209">
        <v>125.712</v>
      </c>
      <c r="H209">
        <v>1.96364698153151E-2</v>
      </c>
      <c r="I209">
        <v>128.44900000000001</v>
      </c>
      <c r="J209">
        <v>2.9981557212733798E-2</v>
      </c>
      <c r="K209" t="s">
        <v>1148</v>
      </c>
      <c r="L209" t="s">
        <v>941</v>
      </c>
    </row>
    <row r="210" spans="1:12" x14ac:dyDescent="0.3">
      <c r="A210">
        <v>7.4784916271317198E-2</v>
      </c>
      <c r="B210">
        <v>5.6798579453040801E-2</v>
      </c>
      <c r="C210">
        <v>0.10120576467409099</v>
      </c>
      <c r="D210">
        <v>0.12687792670398401</v>
      </c>
      <c r="E210" t="s">
        <v>1664</v>
      </c>
      <c r="F210" t="s">
        <v>1456</v>
      </c>
      <c r="G210">
        <v>129</v>
      </c>
      <c r="H210">
        <v>2.6155021000381799E-2</v>
      </c>
      <c r="I210">
        <v>132.33099999999999</v>
      </c>
      <c r="J210">
        <v>3.0222111499505398E-2</v>
      </c>
      <c r="K210" t="s">
        <v>1149</v>
      </c>
      <c r="L210" t="s">
        <v>941</v>
      </c>
    </row>
    <row r="211" spans="1:12" x14ac:dyDescent="0.3">
      <c r="A211">
        <v>7.2922192171477093E-2</v>
      </c>
      <c r="B211">
        <v>5.9959109255099501E-2</v>
      </c>
      <c r="C211">
        <v>0.15221841372862299</v>
      </c>
      <c r="D211">
        <v>0.13796693794697101</v>
      </c>
      <c r="E211" t="s">
        <v>1665</v>
      </c>
      <c r="F211" t="s">
        <v>1456</v>
      </c>
      <c r="G211">
        <v>133.62100000000001</v>
      </c>
      <c r="H211">
        <v>3.5821705426356799E-2</v>
      </c>
      <c r="I211">
        <v>136.69900000000001</v>
      </c>
      <c r="J211">
        <v>3.3008138682546297E-2</v>
      </c>
      <c r="K211" t="s">
        <v>1150</v>
      </c>
      <c r="L211" t="s">
        <v>941</v>
      </c>
    </row>
    <row r="212" spans="1:12" x14ac:dyDescent="0.3">
      <c r="A212">
        <v>4.1796200977757901E-2</v>
      </c>
      <c r="B212">
        <v>4.8377032065661102E-2</v>
      </c>
      <c r="C212">
        <v>8.9811228034972802E-3</v>
      </c>
      <c r="D212">
        <v>8.9581033951388098E-2</v>
      </c>
      <c r="E212" t="s">
        <v>1666</v>
      </c>
      <c r="F212" t="s">
        <v>1456</v>
      </c>
      <c r="H212">
        <v>1.10762503071244E-2</v>
      </c>
      <c r="J212">
        <v>1.10762503071244E-2</v>
      </c>
      <c r="K212" t="s">
        <v>1151</v>
      </c>
      <c r="L212" t="s">
        <v>1152</v>
      </c>
    </row>
    <row r="213" spans="1:12" x14ac:dyDescent="0.3">
      <c r="A213">
        <v>2.7447616796656402E-2</v>
      </c>
      <c r="B213">
        <v>2.3249618404576101E-2</v>
      </c>
      <c r="C213">
        <v>3.8298767461848897E-2</v>
      </c>
      <c r="D213">
        <v>3.8298767461848897E-2</v>
      </c>
      <c r="E213" t="s">
        <v>1667</v>
      </c>
      <c r="F213" t="s">
        <v>1668</v>
      </c>
      <c r="H213">
        <v>9.4401732935755992E-3</v>
      </c>
      <c r="J213">
        <v>9.4401732935755992E-3</v>
      </c>
      <c r="K213" t="s">
        <v>1153</v>
      </c>
      <c r="L213" t="s">
        <v>1152</v>
      </c>
    </row>
    <row r="214" spans="1:12" x14ac:dyDescent="0.3">
      <c r="A214">
        <v>2.49173870638888E-2</v>
      </c>
      <c r="B214">
        <v>2.1715756912072299E-2</v>
      </c>
      <c r="C214">
        <v>3.6085750781477598E-2</v>
      </c>
      <c r="D214">
        <v>3.6085750781477598E-2</v>
      </c>
      <c r="E214" t="s">
        <v>1669</v>
      </c>
      <c r="F214" t="s">
        <v>1668</v>
      </c>
      <c r="H214">
        <v>8.9018658885664497E-3</v>
      </c>
      <c r="J214">
        <v>8.9018658885664497E-3</v>
      </c>
      <c r="K214" t="s">
        <v>1154</v>
      </c>
      <c r="L214" t="s">
        <v>1152</v>
      </c>
    </row>
    <row r="215" spans="1:12" x14ac:dyDescent="0.3">
      <c r="A215">
        <v>2.33440010578361E-2</v>
      </c>
      <c r="B215">
        <v>2.1485909848918801E-2</v>
      </c>
      <c r="C215">
        <v>3.2005284910624002E-2</v>
      </c>
      <c r="D215">
        <v>3.2005284910624002E-2</v>
      </c>
      <c r="E215" t="s">
        <v>1670</v>
      </c>
      <c r="F215" t="s">
        <v>1668</v>
      </c>
      <c r="H215">
        <v>7.9070438771131606E-3</v>
      </c>
      <c r="J215">
        <v>7.9070438771131606E-3</v>
      </c>
      <c r="K215" t="s">
        <v>1155</v>
      </c>
      <c r="L215" t="s">
        <v>1152</v>
      </c>
    </row>
    <row r="216" spans="1:12" x14ac:dyDescent="0.3">
      <c r="A216">
        <v>2.2676579457354702E-2</v>
      </c>
      <c r="B216">
        <v>2.1729771469873E-2</v>
      </c>
      <c r="C216">
        <v>2.9538555790939999E-2</v>
      </c>
      <c r="D216">
        <v>2.9538555790939999E-2</v>
      </c>
      <c r="E216" t="s">
        <v>1671</v>
      </c>
      <c r="F216" t="s">
        <v>1668</v>
      </c>
      <c r="H216">
        <v>7.3042210756391101E-3</v>
      </c>
      <c r="J216">
        <v>7.3042210756391101E-3</v>
      </c>
      <c r="K216" t="s">
        <v>1156</v>
      </c>
      <c r="L216" t="s">
        <v>1152</v>
      </c>
    </row>
    <row r="217" spans="1:12" x14ac:dyDescent="0.3">
      <c r="A217">
        <v>2.2178287431426899E-2</v>
      </c>
      <c r="B217">
        <v>2.22727407121028E-2</v>
      </c>
      <c r="C217">
        <v>2.8512142036472E-2</v>
      </c>
      <c r="D217">
        <v>2.8512142036472E-2</v>
      </c>
      <c r="E217" t="s">
        <v>1672</v>
      </c>
      <c r="F217" t="s">
        <v>1668</v>
      </c>
      <c r="H217">
        <v>7.0530654325617901E-3</v>
      </c>
      <c r="J217">
        <v>7.0530654325617901E-3</v>
      </c>
      <c r="K217" t="s">
        <v>1157</v>
      </c>
      <c r="L217" t="s">
        <v>1152</v>
      </c>
    </row>
    <row r="218" spans="1:12" x14ac:dyDescent="0.3">
      <c r="A218">
        <v>2.1434276652948898E-2</v>
      </c>
      <c r="B218">
        <v>2.23623952750127E-2</v>
      </c>
      <c r="C218">
        <v>2.8283584176253401E-2</v>
      </c>
      <c r="D218">
        <v>2.8283584176253401E-2</v>
      </c>
      <c r="E218" t="s">
        <v>1673</v>
      </c>
      <c r="F218" t="s">
        <v>1668</v>
      </c>
      <c r="H218">
        <v>6.9971134735056202E-3</v>
      </c>
      <c r="J218">
        <v>6.9971134735056202E-3</v>
      </c>
      <c r="K218" t="s">
        <v>1158</v>
      </c>
      <c r="L218" t="s">
        <v>1152</v>
      </c>
    </row>
    <row r="219" spans="1:12" x14ac:dyDescent="0.3">
      <c r="A219">
        <v>2.10072065089228E-2</v>
      </c>
      <c r="B219">
        <v>2.2496789219665199E-2</v>
      </c>
      <c r="C219">
        <v>2.7654852328046001E-2</v>
      </c>
      <c r="D219">
        <v>2.7654852328046001E-2</v>
      </c>
      <c r="E219" t="s">
        <v>1674</v>
      </c>
      <c r="F219" t="s">
        <v>1668</v>
      </c>
      <c r="H219">
        <v>6.8431490448084302E-3</v>
      </c>
      <c r="J219">
        <v>6.8431490448084302E-3</v>
      </c>
      <c r="K219" t="s">
        <v>1159</v>
      </c>
      <c r="L219" t="s">
        <v>1152</v>
      </c>
    </row>
    <row r="220" spans="1:12" x14ac:dyDescent="0.3">
      <c r="A220">
        <v>2.0591622707038602E-2</v>
      </c>
      <c r="B220">
        <v>2.25123599902981E-2</v>
      </c>
      <c r="C220">
        <v>2.7753662335143502E-2</v>
      </c>
      <c r="D220">
        <v>2.7753662335143502E-2</v>
      </c>
      <c r="E220" t="s">
        <v>1675</v>
      </c>
      <c r="F220" t="s">
        <v>1668</v>
      </c>
      <c r="H220">
        <v>6.8673504076357502E-3</v>
      </c>
      <c r="J220">
        <v>6.8673504076357502E-3</v>
      </c>
      <c r="K220" t="s">
        <v>1160</v>
      </c>
      <c r="L220" t="s">
        <v>1152</v>
      </c>
    </row>
    <row r="221" spans="1:12" x14ac:dyDescent="0.3">
      <c r="A221">
        <v>2.0347186911993099E-2</v>
      </c>
      <c r="B221">
        <v>2.2891901714989799E-2</v>
      </c>
      <c r="C221">
        <v>2.8110399323646899E-2</v>
      </c>
      <c r="D221">
        <v>2.8110399323646899E-2</v>
      </c>
      <c r="E221" t="s">
        <v>1676</v>
      </c>
      <c r="F221" t="s">
        <v>1668</v>
      </c>
      <c r="H221">
        <v>6.9547108559351303E-3</v>
      </c>
      <c r="J221">
        <v>6.9547108559351303E-3</v>
      </c>
      <c r="K221" t="s">
        <v>1161</v>
      </c>
      <c r="L221" t="s">
        <v>1152</v>
      </c>
    </row>
    <row r="222" spans="1:12" x14ac:dyDescent="0.3">
      <c r="A222">
        <v>2.03844462174123E-2</v>
      </c>
      <c r="B222">
        <v>2.2688598137850801E-2</v>
      </c>
      <c r="C222">
        <v>2.89673943247446E-2</v>
      </c>
      <c r="D222">
        <v>2.89673943247446E-2</v>
      </c>
      <c r="E222" t="s">
        <v>1677</v>
      </c>
      <c r="F222" t="s">
        <v>1668</v>
      </c>
      <c r="H222">
        <v>7.1644853940870902E-3</v>
      </c>
      <c r="J222">
        <v>7.1644853940870902E-3</v>
      </c>
      <c r="K222" t="s">
        <v>1162</v>
      </c>
      <c r="L222" t="s">
        <v>1152</v>
      </c>
    </row>
    <row r="223" spans="1:12" x14ac:dyDescent="0.3">
      <c r="A223">
        <v>2.02121429685698E-2</v>
      </c>
      <c r="B223">
        <v>2.2861927422401802E-2</v>
      </c>
      <c r="C223">
        <v>2.97171972862664E-2</v>
      </c>
      <c r="D223">
        <v>2.97171972862664E-2</v>
      </c>
      <c r="E223" t="s">
        <v>1678</v>
      </c>
      <c r="F223" t="s">
        <v>1668</v>
      </c>
      <c r="H223">
        <v>7.3479141028771596E-3</v>
      </c>
      <c r="J223">
        <v>7.3479141028771596E-3</v>
      </c>
      <c r="K223" t="s">
        <v>1163</v>
      </c>
      <c r="L223" t="s">
        <v>1152</v>
      </c>
    </row>
    <row r="224" spans="1:12" x14ac:dyDescent="0.3">
      <c r="A224">
        <v>2.00951255413373E-2</v>
      </c>
      <c r="B224">
        <v>2.2789213164977801E-2</v>
      </c>
      <c r="C224">
        <v>2.9972823640437098E-2</v>
      </c>
      <c r="D224">
        <v>2.9972823640437098E-2</v>
      </c>
      <c r="E224" t="s">
        <v>1679</v>
      </c>
      <c r="F224" t="s">
        <v>1668</v>
      </c>
      <c r="H224">
        <v>7.4104265836887296E-3</v>
      </c>
      <c r="J224">
        <v>7.4104265836887296E-3</v>
      </c>
      <c r="K224" t="s">
        <v>1164</v>
      </c>
      <c r="L224" t="s">
        <v>1152</v>
      </c>
    </row>
    <row r="225" spans="1:12" x14ac:dyDescent="0.3">
      <c r="A225">
        <v>2.0005533751415599E-2</v>
      </c>
      <c r="B225">
        <v>2.30067515754304E-2</v>
      </c>
      <c r="C225">
        <v>3.0378543432117301E-2</v>
      </c>
      <c r="D225">
        <v>3.0378543432117301E-2</v>
      </c>
      <c r="E225" t="s">
        <v>1680</v>
      </c>
      <c r="F225" t="s">
        <v>1668</v>
      </c>
      <c r="H225">
        <v>7.5096199742570296E-3</v>
      </c>
      <c r="J225">
        <v>7.5096199742570296E-3</v>
      </c>
      <c r="K225" t="s">
        <v>1165</v>
      </c>
      <c r="L225" t="s">
        <v>1152</v>
      </c>
    </row>
    <row r="226" spans="1:12" x14ac:dyDescent="0.3">
      <c r="A226">
        <v>1.9992497685795502E-2</v>
      </c>
      <c r="B226">
        <v>2.28689196510703E-2</v>
      </c>
      <c r="C226">
        <v>3.0384347471833498E-2</v>
      </c>
      <c r="D226">
        <v>3.0384347471833498E-2</v>
      </c>
      <c r="E226" t="s">
        <v>1681</v>
      </c>
      <c r="F226" t="s">
        <v>1668</v>
      </c>
      <c r="H226">
        <v>7.5110387764860701E-3</v>
      </c>
      <c r="J226">
        <v>7.5110387764860701E-3</v>
      </c>
      <c r="K226" t="s">
        <v>1166</v>
      </c>
      <c r="L226" t="s">
        <v>1152</v>
      </c>
    </row>
    <row r="227" spans="1:12" x14ac:dyDescent="0.3">
      <c r="A227">
        <v>1.99491524210023E-2</v>
      </c>
      <c r="B227">
        <v>2.2952518060170599E-2</v>
      </c>
      <c r="C227">
        <v>3.0780667439755299E-2</v>
      </c>
      <c r="D227">
        <v>3.0780667439755299E-2</v>
      </c>
      <c r="E227" t="s">
        <v>1682</v>
      </c>
      <c r="F227" t="s">
        <v>1668</v>
      </c>
      <c r="H227">
        <v>7.6079053396602703E-3</v>
      </c>
      <c r="J227">
        <v>7.6079053396602703E-3</v>
      </c>
      <c r="K227" t="s">
        <v>1167</v>
      </c>
      <c r="L227" t="s">
        <v>1152</v>
      </c>
    </row>
    <row r="228" spans="1:12" x14ac:dyDescent="0.3">
      <c r="A228">
        <v>1.99785657506244E-2</v>
      </c>
      <c r="B228">
        <v>2.3092018308592099E-2</v>
      </c>
      <c r="C228">
        <v>3.09234356698747E-2</v>
      </c>
      <c r="D228">
        <v>3.09234356698747E-2</v>
      </c>
      <c r="E228" t="s">
        <v>1683</v>
      </c>
      <c r="F228" t="s">
        <v>1668</v>
      </c>
      <c r="H228">
        <v>7.6427931995954896E-3</v>
      </c>
      <c r="J228">
        <v>7.6427931995954896E-3</v>
      </c>
      <c r="K228" t="s">
        <v>1168</v>
      </c>
      <c r="L228" t="s">
        <v>1152</v>
      </c>
    </row>
    <row r="229" spans="1:12" x14ac:dyDescent="0.3">
      <c r="A229">
        <v>1.9973482507164499E-2</v>
      </c>
      <c r="B229">
        <v>2.29188557927167E-2</v>
      </c>
      <c r="C229">
        <v>3.0940126349132901E-2</v>
      </c>
      <c r="D229">
        <v>3.0940126349132901E-2</v>
      </c>
      <c r="E229" t="s">
        <v>1684</v>
      </c>
      <c r="F229" t="s">
        <v>1668</v>
      </c>
      <c r="H229">
        <v>7.6468716160857904E-3</v>
      </c>
      <c r="J229">
        <v>7.6468716160857904E-3</v>
      </c>
      <c r="K229" t="s">
        <v>1169</v>
      </c>
      <c r="L229" t="s">
        <v>1152</v>
      </c>
    </row>
    <row r="230" spans="1:12" x14ac:dyDescent="0.3">
      <c r="A230">
        <v>2.00262569988248E-2</v>
      </c>
      <c r="B230">
        <v>2.34219478386497E-2</v>
      </c>
      <c r="C230">
        <v>3.08963138434795E-2</v>
      </c>
      <c r="D230">
        <v>3.08963138434795E-2</v>
      </c>
      <c r="E230" t="s">
        <v>1685</v>
      </c>
      <c r="F230" t="s">
        <v>1668</v>
      </c>
      <c r="H230">
        <v>7.6361657960506398E-3</v>
      </c>
      <c r="J230">
        <v>7.6361657960506398E-3</v>
      </c>
      <c r="K230" t="s">
        <v>1170</v>
      </c>
      <c r="L230" t="s">
        <v>1152</v>
      </c>
    </row>
    <row r="231" spans="1:12" x14ac:dyDescent="0.3">
      <c r="A231">
        <v>2.0068184200822601E-2</v>
      </c>
      <c r="B231">
        <v>2.29559923804479E-2</v>
      </c>
      <c r="C231">
        <v>3.1171169586274899E-2</v>
      </c>
      <c r="D231">
        <v>3.1171169586274899E-2</v>
      </c>
      <c r="E231" t="s">
        <v>1686</v>
      </c>
      <c r="F231" t="s">
        <v>1668</v>
      </c>
      <c r="H231">
        <v>7.7033226228278E-3</v>
      </c>
      <c r="J231">
        <v>7.7033226228278E-3</v>
      </c>
      <c r="K231" t="s">
        <v>1171</v>
      </c>
      <c r="L231" t="s">
        <v>1152</v>
      </c>
    </row>
    <row r="232" spans="1:12" x14ac:dyDescent="0.3">
      <c r="A232">
        <v>2.00733299513789E-2</v>
      </c>
      <c r="B232">
        <v>2.3089907346120601E-2</v>
      </c>
      <c r="C232">
        <v>3.11290252355114E-2</v>
      </c>
      <c r="D232">
        <v>3.11290252355114E-2</v>
      </c>
      <c r="E232" t="s">
        <v>1687</v>
      </c>
      <c r="F232" t="s">
        <v>1668</v>
      </c>
      <c r="H232">
        <v>7.6930261622452098E-3</v>
      </c>
      <c r="J232">
        <v>7.6930261622452098E-3</v>
      </c>
      <c r="K232" t="s">
        <v>1172</v>
      </c>
      <c r="L232" t="s">
        <v>1152</v>
      </c>
    </row>
    <row r="233" spans="1:12" x14ac:dyDescent="0.3">
      <c r="A233">
        <v>2.00833471581769E-2</v>
      </c>
      <c r="B233">
        <v>2.2986135275529802E-2</v>
      </c>
      <c r="C233">
        <v>3.12799263503531E-2</v>
      </c>
      <c r="D233">
        <v>3.12799263503531E-2</v>
      </c>
      <c r="E233" t="s">
        <v>1688</v>
      </c>
      <c r="F233" t="s">
        <v>1668</v>
      </c>
      <c r="H233">
        <v>7.72989197946106E-3</v>
      </c>
      <c r="J233">
        <v>7.72989197946106E-3</v>
      </c>
      <c r="K233" t="s">
        <v>1173</v>
      </c>
      <c r="L233" t="s">
        <v>1152</v>
      </c>
    </row>
    <row r="234" spans="1:12" x14ac:dyDescent="0.3">
      <c r="A234">
        <v>2.0140093939852201E-2</v>
      </c>
      <c r="B234">
        <v>2.31414769468055E-2</v>
      </c>
      <c r="C234">
        <v>3.1432246791632999E-2</v>
      </c>
      <c r="D234">
        <v>3.1432246791632999E-2</v>
      </c>
      <c r="E234" t="s">
        <v>1689</v>
      </c>
      <c r="F234" t="s">
        <v>1668</v>
      </c>
      <c r="H234">
        <v>7.76710044167461E-3</v>
      </c>
      <c r="J234">
        <v>7.76710044167461E-3</v>
      </c>
      <c r="K234" t="s">
        <v>1174</v>
      </c>
      <c r="L234" t="s">
        <v>1152</v>
      </c>
    </row>
    <row r="235" spans="1:12" x14ac:dyDescent="0.3">
      <c r="A235">
        <v>2.02021592909249E-2</v>
      </c>
      <c r="B235">
        <v>2.2984714477401601E-2</v>
      </c>
      <c r="C235">
        <v>3.1205847095053599E-2</v>
      </c>
      <c r="D235">
        <v>3.1205847095053599E-2</v>
      </c>
      <c r="E235" t="s">
        <v>1690</v>
      </c>
      <c r="F235" t="s">
        <v>1668</v>
      </c>
      <c r="H235">
        <v>7.7117945916846996E-3</v>
      </c>
      <c r="J235">
        <v>7.7117945916846996E-3</v>
      </c>
      <c r="K235" t="s">
        <v>1175</v>
      </c>
      <c r="L235" t="s">
        <v>1152</v>
      </c>
    </row>
    <row r="236" spans="1:12" x14ac:dyDescent="0.3">
      <c r="A236">
        <v>2.0211898969260102E-2</v>
      </c>
      <c r="B236">
        <v>2.2913195171825301E-2</v>
      </c>
      <c r="C236">
        <v>3.14110402970686E-2</v>
      </c>
      <c r="D236">
        <v>3.14110402970686E-2</v>
      </c>
      <c r="E236" t="s">
        <v>1691</v>
      </c>
      <c r="F236" t="s">
        <v>1668</v>
      </c>
      <c r="H236">
        <v>7.7619204183672101E-3</v>
      </c>
      <c r="J236">
        <v>7.7619204183672101E-3</v>
      </c>
      <c r="K236" t="s">
        <v>1176</v>
      </c>
      <c r="L236" t="s">
        <v>1152</v>
      </c>
    </row>
    <row r="237" spans="1:12" x14ac:dyDescent="0.3">
      <c r="A237">
        <v>2.0290430669000999E-2</v>
      </c>
      <c r="B237">
        <v>2.29758501503456E-2</v>
      </c>
      <c r="C237">
        <v>3.1565029186180898E-2</v>
      </c>
      <c r="D237">
        <v>3.1565029186180898E-2</v>
      </c>
      <c r="E237" t="s">
        <v>1692</v>
      </c>
      <c r="F237" t="s">
        <v>1668</v>
      </c>
      <c r="H237">
        <v>7.7995328359632401E-3</v>
      </c>
      <c r="J237">
        <v>7.7995328359632401E-3</v>
      </c>
      <c r="K237" t="s">
        <v>1177</v>
      </c>
      <c r="L237" t="s">
        <v>1152</v>
      </c>
    </row>
    <row r="238" spans="1:12" x14ac:dyDescent="0.3">
      <c r="A238">
        <v>2.0308808571870299E-2</v>
      </c>
      <c r="B238">
        <v>2.2824531954790599E-2</v>
      </c>
      <c r="C238">
        <v>3.1531274423854297E-2</v>
      </c>
      <c r="D238">
        <v>3.1531274423854297E-2</v>
      </c>
      <c r="E238" t="s">
        <v>1693</v>
      </c>
      <c r="F238" t="s">
        <v>1668</v>
      </c>
      <c r="H238">
        <v>7.7912884572341997E-3</v>
      </c>
      <c r="J238">
        <v>7.7912884572341997E-3</v>
      </c>
      <c r="K238" t="s">
        <v>1178</v>
      </c>
      <c r="L238" t="s">
        <v>1152</v>
      </c>
    </row>
    <row r="239" spans="1:12" x14ac:dyDescent="0.3">
      <c r="A239">
        <v>2.03080060292413E-2</v>
      </c>
      <c r="B239">
        <v>2.2972481063801901E-2</v>
      </c>
      <c r="C239">
        <v>3.1542996473644003E-2</v>
      </c>
      <c r="D239">
        <v>3.1542996473644003E-2</v>
      </c>
      <c r="E239" t="s">
        <v>1694</v>
      </c>
      <c r="F239" t="s">
        <v>1668</v>
      </c>
      <c r="H239">
        <v>7.7941515137436301E-3</v>
      </c>
      <c r="J239">
        <v>7.7941515137436301E-3</v>
      </c>
      <c r="K239" t="s">
        <v>1179</v>
      </c>
      <c r="L239" t="s">
        <v>1152</v>
      </c>
    </row>
    <row r="240" spans="1:12" x14ac:dyDescent="0.3">
      <c r="A240">
        <v>2.0323983720006399E-2</v>
      </c>
      <c r="B240">
        <v>2.2824566637221998E-2</v>
      </c>
      <c r="C240">
        <v>3.1855243350590097E-2</v>
      </c>
      <c r="D240">
        <v>3.1855243350590097E-2</v>
      </c>
      <c r="E240" t="s">
        <v>1695</v>
      </c>
      <c r="F240" t="s">
        <v>1668</v>
      </c>
      <c r="H240">
        <v>7.8704073905595494E-3</v>
      </c>
      <c r="J240">
        <v>7.8704073905595494E-3</v>
      </c>
      <c r="K240" t="s">
        <v>1180</v>
      </c>
      <c r="L240" t="s">
        <v>1152</v>
      </c>
    </row>
    <row r="241" spans="1:12" x14ac:dyDescent="0.3">
      <c r="A241">
        <v>2.0325704902500501E-2</v>
      </c>
      <c r="B241">
        <v>2.2886555231629101E-2</v>
      </c>
      <c r="C241">
        <v>3.1708818720508798E-2</v>
      </c>
      <c r="D241">
        <v>3.1708818720508798E-2</v>
      </c>
      <c r="E241" t="s">
        <v>1696</v>
      </c>
      <c r="F241" t="s">
        <v>1668</v>
      </c>
      <c r="H241">
        <v>7.8346502176538397E-3</v>
      </c>
      <c r="J241">
        <v>7.8346502176538397E-3</v>
      </c>
      <c r="K241" t="s">
        <v>1181</v>
      </c>
      <c r="L241" t="s">
        <v>1152</v>
      </c>
    </row>
    <row r="242" spans="1:12" x14ac:dyDescent="0.3">
      <c r="A242">
        <v>2.0305041683886599E-2</v>
      </c>
      <c r="B242">
        <v>2.29465623765257E-2</v>
      </c>
      <c r="C242">
        <v>3.1893508731351002E-2</v>
      </c>
      <c r="D242">
        <v>3.1893508731351002E-2</v>
      </c>
      <c r="E242" t="s">
        <v>1697</v>
      </c>
      <c r="F242" t="s">
        <v>1668</v>
      </c>
      <c r="H242">
        <v>7.8797512420421007E-3</v>
      </c>
      <c r="J242">
        <v>7.8797512420421007E-3</v>
      </c>
      <c r="K242" t="s">
        <v>1182</v>
      </c>
      <c r="L242" t="s">
        <v>1152</v>
      </c>
    </row>
    <row r="243" spans="1:12" x14ac:dyDescent="0.3">
      <c r="A243">
        <v>2.0287096358251301E-2</v>
      </c>
      <c r="B243">
        <v>2.2798980065175601E-2</v>
      </c>
      <c r="C243">
        <v>3.1810408581062898E-2</v>
      </c>
      <c r="D243">
        <v>3.1810408581062898E-2</v>
      </c>
      <c r="E243" t="s">
        <v>1698</v>
      </c>
      <c r="F243" t="s">
        <v>1668</v>
      </c>
      <c r="H243">
        <v>7.8594590588953999E-3</v>
      </c>
      <c r="J243">
        <v>7.8594590588953999E-3</v>
      </c>
      <c r="K243" t="s">
        <v>1183</v>
      </c>
      <c r="L243" t="s">
        <v>1152</v>
      </c>
    </row>
    <row r="244" spans="1:12" x14ac:dyDescent="0.3">
      <c r="A244">
        <v>2.0271579331879098E-2</v>
      </c>
      <c r="B244">
        <v>2.2857567238674801E-2</v>
      </c>
      <c r="C244">
        <v>3.1611362599311098E-2</v>
      </c>
      <c r="D244">
        <v>3.1611362599311098E-2</v>
      </c>
      <c r="E244" t="s">
        <v>1699</v>
      </c>
      <c r="F244" t="s">
        <v>1668</v>
      </c>
      <c r="H244">
        <v>7.8108491379678098E-3</v>
      </c>
      <c r="J244">
        <v>7.8108491379678098E-3</v>
      </c>
      <c r="K244" t="s">
        <v>1184</v>
      </c>
      <c r="L244" t="s">
        <v>1152</v>
      </c>
    </row>
    <row r="245" spans="1:12" x14ac:dyDescent="0.3">
      <c r="A245">
        <v>2.0226750918557398E-2</v>
      </c>
      <c r="B245">
        <v>2.30078651102898E-2</v>
      </c>
      <c r="C245">
        <v>3.1895036638032601E-2</v>
      </c>
      <c r="D245">
        <v>3.1895036638032601E-2</v>
      </c>
      <c r="E245" t="s">
        <v>1700</v>
      </c>
      <c r="F245" t="s">
        <v>1668</v>
      </c>
      <c r="H245">
        <v>7.8801243293176206E-3</v>
      </c>
      <c r="J245">
        <v>7.8801243293176206E-3</v>
      </c>
      <c r="K245" t="s">
        <v>1185</v>
      </c>
      <c r="L245" t="s">
        <v>1152</v>
      </c>
    </row>
    <row r="246" spans="1:12" x14ac:dyDescent="0.3">
      <c r="A246">
        <v>2.0229639632362201E-2</v>
      </c>
      <c r="B246">
        <v>2.2755662461575201E-2</v>
      </c>
      <c r="C246">
        <v>3.1906732152356301E-2</v>
      </c>
      <c r="D246">
        <v>3.1906732152356301E-2</v>
      </c>
      <c r="E246" t="s">
        <v>1701</v>
      </c>
      <c r="F246" t="s">
        <v>1668</v>
      </c>
      <c r="H246">
        <v>7.88298014941358E-3</v>
      </c>
      <c r="J246">
        <v>7.88298014941358E-3</v>
      </c>
      <c r="K246" t="s">
        <v>1186</v>
      </c>
      <c r="L246" t="s">
        <v>1152</v>
      </c>
    </row>
    <row r="247" spans="1:12" x14ac:dyDescent="0.3">
      <c r="A247">
        <v>2.0196749252488402E-2</v>
      </c>
      <c r="B247">
        <v>2.2817811468051102E-2</v>
      </c>
      <c r="C247">
        <v>3.1666344390047098E-2</v>
      </c>
      <c r="D247">
        <v>3.1666344390047098E-2</v>
      </c>
      <c r="E247" t="s">
        <v>1702</v>
      </c>
      <c r="F247" t="s">
        <v>1668</v>
      </c>
      <c r="H247">
        <v>7.8242771932854893E-3</v>
      </c>
      <c r="J247">
        <v>7.8242771932854893E-3</v>
      </c>
      <c r="K247" t="s">
        <v>1187</v>
      </c>
      <c r="L247" t="s">
        <v>1152</v>
      </c>
    </row>
    <row r="248" spans="1:12" x14ac:dyDescent="0.3">
      <c r="A248">
        <v>2.0138226913895701E-2</v>
      </c>
      <c r="B248">
        <v>2.3174738681931199E-2</v>
      </c>
      <c r="C248">
        <v>3.1749922428638201E-2</v>
      </c>
      <c r="D248">
        <v>3.1749922428638201E-2</v>
      </c>
      <c r="E248" t="s">
        <v>1703</v>
      </c>
      <c r="F248" t="s">
        <v>1668</v>
      </c>
      <c r="H248">
        <v>7.8446882055194199E-3</v>
      </c>
      <c r="J248">
        <v>7.8446882055194199E-3</v>
      </c>
      <c r="K248" t="s">
        <v>1188</v>
      </c>
      <c r="L248" t="s">
        <v>1152</v>
      </c>
    </row>
    <row r="249" spans="1:12" x14ac:dyDescent="0.3">
      <c r="A249">
        <v>2.0129535533826501E-2</v>
      </c>
      <c r="B249">
        <v>2.27379267080541E-2</v>
      </c>
      <c r="C249">
        <v>3.1908648163189397E-2</v>
      </c>
      <c r="D249">
        <v>3.1908648163189397E-2</v>
      </c>
      <c r="E249" t="s">
        <v>1704</v>
      </c>
      <c r="F249" t="s">
        <v>1668</v>
      </c>
      <c r="H249">
        <v>7.8834480001659397E-3</v>
      </c>
      <c r="J249">
        <v>7.8834480001659397E-3</v>
      </c>
      <c r="K249" t="s">
        <v>1189</v>
      </c>
      <c r="L249" t="s">
        <v>1152</v>
      </c>
    </row>
    <row r="250" spans="1:12" x14ac:dyDescent="0.3">
      <c r="A250">
        <v>2.0106884793451098E-2</v>
      </c>
      <c r="B250">
        <v>2.3093327603912001E-2</v>
      </c>
      <c r="C250">
        <v>3.1692204125751702E-2</v>
      </c>
      <c r="D250">
        <v>3.1692204125751702E-2</v>
      </c>
      <c r="E250" t="s">
        <v>1705</v>
      </c>
      <c r="F250" t="s">
        <v>1668</v>
      </c>
      <c r="H250">
        <v>7.8305926616084598E-3</v>
      </c>
      <c r="J250">
        <v>7.8305926616084598E-3</v>
      </c>
      <c r="K250" t="s">
        <v>1190</v>
      </c>
      <c r="L250" t="s">
        <v>1152</v>
      </c>
    </row>
    <row r="251" spans="1:12" x14ac:dyDescent="0.3">
      <c r="A251">
        <v>2.0037252982960399E-2</v>
      </c>
      <c r="B251">
        <v>2.2853757020905099E-2</v>
      </c>
      <c r="C251">
        <v>3.1763978164364597E-2</v>
      </c>
      <c r="D251">
        <v>3.1763978164364597E-2</v>
      </c>
      <c r="E251" t="s">
        <v>1706</v>
      </c>
      <c r="F251" t="s">
        <v>1668</v>
      </c>
      <c r="H251">
        <v>7.8481207054677E-3</v>
      </c>
      <c r="J251">
        <v>7.8481207054677E-3</v>
      </c>
      <c r="K251" t="s">
        <v>1191</v>
      </c>
      <c r="L251" t="s">
        <v>1152</v>
      </c>
    </row>
    <row r="252" spans="1:12" x14ac:dyDescent="0.3">
      <c r="A252">
        <v>2.0056022895238401E-2</v>
      </c>
      <c r="B252">
        <v>2.2713969923905002E-2</v>
      </c>
      <c r="C252">
        <v>3.17278315390737E-2</v>
      </c>
      <c r="D252">
        <v>3.17278315390737E-2</v>
      </c>
      <c r="E252" t="s">
        <v>1707</v>
      </c>
      <c r="F252" t="s">
        <v>1668</v>
      </c>
      <c r="H252">
        <v>7.8392933990876195E-3</v>
      </c>
      <c r="J252">
        <v>7.8392933990876195E-3</v>
      </c>
      <c r="K252" t="s">
        <v>1192</v>
      </c>
      <c r="L252" t="s">
        <v>1152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883</v>
      </c>
      <c r="B2" s="42" t="s">
        <v>913</v>
      </c>
      <c r="C2" s="42" t="s">
        <v>914</v>
      </c>
      <c r="D2" s="38" t="s">
        <v>928</v>
      </c>
    </row>
    <row r="3" spans="1:4" ht="63.75" customHeight="1" x14ac:dyDescent="0.3">
      <c r="A3" s="19" t="s">
        <v>79</v>
      </c>
      <c r="B3" s="37" t="s">
        <v>40</v>
      </c>
      <c r="C3" s="37" t="s">
        <v>41</v>
      </c>
      <c r="D3" s="39" t="s">
        <v>928</v>
      </c>
    </row>
    <row r="4" spans="1:4" ht="137.25" customHeight="1" x14ac:dyDescent="0.3">
      <c r="A4" s="47" t="s">
        <v>80</v>
      </c>
      <c r="B4" s="37" t="s">
        <v>912</v>
      </c>
      <c r="C4" s="14" t="s">
        <v>885</v>
      </c>
      <c r="D4" s="39"/>
    </row>
    <row r="5" spans="1:4" ht="29.25" customHeight="1" x14ac:dyDescent="0.3">
      <c r="A5" s="47" t="s">
        <v>81</v>
      </c>
      <c r="B5" s="48" t="s">
        <v>82</v>
      </c>
      <c r="C5" s="35" t="s">
        <v>83</v>
      </c>
      <c r="D5" s="39"/>
    </row>
    <row r="6" spans="1:4" ht="43.35" customHeight="1" x14ac:dyDescent="0.3">
      <c r="A6" s="21" t="s">
        <v>84</v>
      </c>
      <c r="B6" s="43" t="s">
        <v>887</v>
      </c>
      <c r="C6" s="36" t="s">
        <v>886</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4140625" defaultRowHeight="14.4" x14ac:dyDescent="0.3"/>
  <cols>
    <col min="1" max="214" width="11.77734375" customWidth="1"/>
  </cols>
  <sheetData>
    <row r="1" spans="1:214" x14ac:dyDescent="0.3">
      <c r="A1" s="74" t="s">
        <v>1912</v>
      </c>
      <c r="B1" s="74" t="s">
        <v>1913</v>
      </c>
      <c r="C1" s="74" t="s">
        <v>1914</v>
      </c>
      <c r="D1" s="74" t="s">
        <v>1915</v>
      </c>
      <c r="E1" s="74" t="s">
        <v>1916</v>
      </c>
      <c r="F1" s="74" t="s">
        <v>1917</v>
      </c>
      <c r="G1" s="74" t="s">
        <v>1918</v>
      </c>
      <c r="H1" s="74" t="s">
        <v>1919</v>
      </c>
      <c r="I1" s="74" t="s">
        <v>1920</v>
      </c>
      <c r="J1" s="74" t="s">
        <v>1921</v>
      </c>
      <c r="K1" s="74" t="s">
        <v>1922</v>
      </c>
      <c r="L1" s="74" t="s">
        <v>1923</v>
      </c>
      <c r="M1" s="74" t="s">
        <v>1924</v>
      </c>
      <c r="N1" s="74" t="s">
        <v>1925</v>
      </c>
      <c r="O1" s="74" t="s">
        <v>1926</v>
      </c>
      <c r="P1" s="74" t="s">
        <v>1927</v>
      </c>
      <c r="Q1" s="74" t="s">
        <v>1928</v>
      </c>
      <c r="R1" s="74" t="s">
        <v>1929</v>
      </c>
      <c r="S1" s="74" t="s">
        <v>1930</v>
      </c>
      <c r="T1" s="74" t="s">
        <v>1931</v>
      </c>
      <c r="U1" s="74" t="s">
        <v>1932</v>
      </c>
      <c r="V1" s="74" t="s">
        <v>1933</v>
      </c>
      <c r="W1" s="74" t="s">
        <v>1934</v>
      </c>
      <c r="X1" s="74" t="s">
        <v>1935</v>
      </c>
      <c r="Y1" s="74" t="s">
        <v>1936</v>
      </c>
      <c r="Z1" s="74" t="s">
        <v>1937</v>
      </c>
      <c r="AA1" s="74" t="s">
        <v>1938</v>
      </c>
      <c r="AB1" s="74" t="s">
        <v>1939</v>
      </c>
      <c r="AC1" s="74" t="s">
        <v>1940</v>
      </c>
      <c r="AD1" s="74" t="s">
        <v>1941</v>
      </c>
      <c r="AE1" s="74" t="s">
        <v>1942</v>
      </c>
      <c r="AF1" s="74" t="s">
        <v>1943</v>
      </c>
      <c r="AG1" s="74" t="s">
        <v>1944</v>
      </c>
      <c r="AH1" s="74" t="s">
        <v>1945</v>
      </c>
      <c r="AI1" s="74" t="s">
        <v>1946</v>
      </c>
      <c r="AJ1" s="74" t="s">
        <v>1947</v>
      </c>
      <c r="AK1" s="74" t="s">
        <v>1948</v>
      </c>
      <c r="AL1" s="74" t="s">
        <v>1949</v>
      </c>
      <c r="AM1" s="74" t="s">
        <v>1950</v>
      </c>
      <c r="AN1" s="74" t="s">
        <v>1951</v>
      </c>
      <c r="AO1" s="74" t="s">
        <v>1952</v>
      </c>
      <c r="AP1" s="74" t="s">
        <v>1953</v>
      </c>
      <c r="AQ1" s="74" t="s">
        <v>1954</v>
      </c>
      <c r="AR1" s="74" t="s">
        <v>1955</v>
      </c>
      <c r="AS1" s="74" t="s">
        <v>1956</v>
      </c>
      <c r="AT1" s="74" t="s">
        <v>1957</v>
      </c>
      <c r="AU1" s="74" t="s">
        <v>1958</v>
      </c>
      <c r="AV1" s="74" t="s">
        <v>1959</v>
      </c>
      <c r="AW1" s="74" t="s">
        <v>1960</v>
      </c>
      <c r="AX1" s="74" t="s">
        <v>1961</v>
      </c>
      <c r="AY1" s="74" t="s">
        <v>1962</v>
      </c>
      <c r="AZ1" s="74" t="s">
        <v>1963</v>
      </c>
      <c r="BA1" s="74" t="s">
        <v>1964</v>
      </c>
      <c r="BB1" s="74" t="s">
        <v>1965</v>
      </c>
      <c r="BC1" s="74" t="s">
        <v>1966</v>
      </c>
      <c r="BD1" s="74" t="s">
        <v>1967</v>
      </c>
      <c r="BE1" s="74" t="s">
        <v>1968</v>
      </c>
      <c r="BF1" s="74" t="s">
        <v>1969</v>
      </c>
      <c r="BG1" s="74" t="s">
        <v>1970</v>
      </c>
      <c r="BH1" s="74" t="s">
        <v>1971</v>
      </c>
      <c r="BI1" s="74" t="s">
        <v>1972</v>
      </c>
      <c r="BJ1" s="74" t="s">
        <v>1973</v>
      </c>
      <c r="BK1" s="74" t="s">
        <v>1974</v>
      </c>
      <c r="BL1" s="74" t="s">
        <v>1975</v>
      </c>
      <c r="BM1" s="74" t="s">
        <v>1976</v>
      </c>
      <c r="BN1" s="74" t="s">
        <v>1977</v>
      </c>
      <c r="BO1" s="74" t="s">
        <v>1978</v>
      </c>
      <c r="BP1" s="74" t="s">
        <v>1979</v>
      </c>
      <c r="BQ1" s="74" t="s">
        <v>1980</v>
      </c>
      <c r="BR1" s="74" t="s">
        <v>1981</v>
      </c>
      <c r="BS1" s="74" t="s">
        <v>1982</v>
      </c>
      <c r="BT1" s="74" t="s">
        <v>1983</v>
      </c>
      <c r="BU1" s="74" t="s">
        <v>1984</v>
      </c>
      <c r="BV1" s="74" t="s">
        <v>1985</v>
      </c>
      <c r="BW1" s="74" t="s">
        <v>1986</v>
      </c>
      <c r="BX1" s="74" t="s">
        <v>1987</v>
      </c>
      <c r="BY1" s="74" t="s">
        <v>1988</v>
      </c>
      <c r="BZ1" s="74" t="s">
        <v>1989</v>
      </c>
      <c r="CA1" s="74" t="s">
        <v>1990</v>
      </c>
      <c r="CB1" s="74" t="s">
        <v>1991</v>
      </c>
      <c r="CC1" s="74" t="s">
        <v>1992</v>
      </c>
      <c r="CD1" s="74" t="s">
        <v>1993</v>
      </c>
      <c r="CE1" s="74" t="s">
        <v>1994</v>
      </c>
      <c r="CF1" s="74" t="s">
        <v>1995</v>
      </c>
      <c r="CG1" s="74" t="s">
        <v>1996</v>
      </c>
      <c r="CH1" s="74" t="s">
        <v>1997</v>
      </c>
      <c r="CI1" s="74" t="s">
        <v>1998</v>
      </c>
      <c r="CJ1" s="74" t="s">
        <v>1999</v>
      </c>
      <c r="CK1" s="74" t="s">
        <v>2000</v>
      </c>
      <c r="CL1" s="74" t="s">
        <v>2001</v>
      </c>
      <c r="CM1" s="74" t="s">
        <v>2002</v>
      </c>
      <c r="CN1" s="74" t="s">
        <v>2003</v>
      </c>
      <c r="CO1" s="74" t="s">
        <v>2004</v>
      </c>
      <c r="CP1" s="74" t="s">
        <v>2005</v>
      </c>
      <c r="CQ1" s="74" t="s">
        <v>2006</v>
      </c>
      <c r="CR1" s="74" t="s">
        <v>2007</v>
      </c>
      <c r="CS1" s="74" t="s">
        <v>2008</v>
      </c>
      <c r="CT1" s="74" t="s">
        <v>2009</v>
      </c>
      <c r="CU1" s="74" t="s">
        <v>2010</v>
      </c>
      <c r="CV1" s="74" t="s">
        <v>2011</v>
      </c>
      <c r="CW1" s="74" t="s">
        <v>2012</v>
      </c>
      <c r="CX1" s="74" t="s">
        <v>2013</v>
      </c>
      <c r="CY1" s="74" t="s">
        <v>2014</v>
      </c>
      <c r="CZ1" s="74" t="s">
        <v>2015</v>
      </c>
      <c r="DA1" s="74" t="s">
        <v>2016</v>
      </c>
      <c r="DB1" s="74" t="s">
        <v>2017</v>
      </c>
      <c r="DC1" s="74" t="s">
        <v>2018</v>
      </c>
      <c r="DD1" s="74" t="s">
        <v>2019</v>
      </c>
      <c r="DE1" s="74" t="s">
        <v>2020</v>
      </c>
      <c r="DF1" s="74" t="s">
        <v>2021</v>
      </c>
      <c r="DG1" s="74" t="s">
        <v>2022</v>
      </c>
      <c r="DH1" s="74" t="s">
        <v>2023</v>
      </c>
      <c r="DI1" s="74" t="s">
        <v>2024</v>
      </c>
      <c r="DJ1" s="74" t="s">
        <v>2025</v>
      </c>
      <c r="DK1" s="74" t="s">
        <v>2026</v>
      </c>
      <c r="DL1" s="74" t="s">
        <v>2027</v>
      </c>
      <c r="DM1" s="74" t="s">
        <v>2028</v>
      </c>
      <c r="DN1" s="74" t="s">
        <v>2029</v>
      </c>
      <c r="DO1" s="74" t="s">
        <v>2030</v>
      </c>
      <c r="DP1" s="74" t="s">
        <v>2031</v>
      </c>
      <c r="DQ1" s="74" t="s">
        <v>2032</v>
      </c>
      <c r="DR1" s="74" t="s">
        <v>2033</v>
      </c>
      <c r="DS1" s="74" t="s">
        <v>2034</v>
      </c>
      <c r="DT1" s="74" t="s">
        <v>2035</v>
      </c>
      <c r="DU1" s="74" t="s">
        <v>2036</v>
      </c>
      <c r="DV1" s="74" t="s">
        <v>2037</v>
      </c>
      <c r="DW1" s="74" t="s">
        <v>2038</v>
      </c>
      <c r="DX1" s="74" t="s">
        <v>2039</v>
      </c>
      <c r="DY1" s="74" t="s">
        <v>2040</v>
      </c>
      <c r="DZ1" s="74" t="s">
        <v>2041</v>
      </c>
      <c r="EA1" s="74" t="s">
        <v>2042</v>
      </c>
      <c r="EB1" s="74" t="s">
        <v>2043</v>
      </c>
      <c r="EC1" s="74" t="s">
        <v>2044</v>
      </c>
      <c r="ED1" s="74" t="s">
        <v>2045</v>
      </c>
      <c r="EE1" s="74" t="s">
        <v>2046</v>
      </c>
      <c r="EF1" s="74" t="s">
        <v>2047</v>
      </c>
      <c r="EG1" s="74" t="s">
        <v>2048</v>
      </c>
      <c r="EH1" s="74" t="s">
        <v>2049</v>
      </c>
      <c r="EI1" s="74" t="s">
        <v>2050</v>
      </c>
      <c r="EJ1" s="74" t="s">
        <v>2051</v>
      </c>
      <c r="EK1" s="74" t="s">
        <v>2052</v>
      </c>
      <c r="EL1" s="74" t="s">
        <v>2053</v>
      </c>
      <c r="EM1" s="74" t="s">
        <v>2054</v>
      </c>
      <c r="EN1" s="74" t="s">
        <v>2055</v>
      </c>
      <c r="EO1" s="74" t="s">
        <v>2056</v>
      </c>
      <c r="EP1" s="74" t="s">
        <v>2057</v>
      </c>
      <c r="EQ1" s="74" t="s">
        <v>2058</v>
      </c>
      <c r="ER1" s="74" t="s">
        <v>2059</v>
      </c>
      <c r="ES1" s="74" t="s">
        <v>2060</v>
      </c>
      <c r="ET1" s="74" t="s">
        <v>2061</v>
      </c>
      <c r="EU1" s="74" t="s">
        <v>2062</v>
      </c>
      <c r="EV1" s="74" t="s">
        <v>2063</v>
      </c>
      <c r="EW1" s="74" t="s">
        <v>2064</v>
      </c>
      <c r="EX1" s="74" t="s">
        <v>2065</v>
      </c>
      <c r="EY1" s="74" t="s">
        <v>2066</v>
      </c>
      <c r="EZ1" s="74" t="s">
        <v>2067</v>
      </c>
      <c r="FA1" s="74" t="s">
        <v>2068</v>
      </c>
      <c r="FB1" s="74" t="s">
        <v>2069</v>
      </c>
      <c r="FC1" s="74" t="s">
        <v>2070</v>
      </c>
      <c r="FD1" s="74" t="s">
        <v>2071</v>
      </c>
      <c r="FE1" s="74" t="s">
        <v>2072</v>
      </c>
      <c r="FF1" s="74" t="s">
        <v>2073</v>
      </c>
      <c r="FG1" s="74" t="s">
        <v>2074</v>
      </c>
      <c r="FH1" s="74" t="s">
        <v>2075</v>
      </c>
      <c r="FI1" s="74" t="s">
        <v>2076</v>
      </c>
      <c r="FJ1" s="74" t="s">
        <v>2077</v>
      </c>
      <c r="FK1" s="74" t="s">
        <v>2078</v>
      </c>
      <c r="FL1" s="74" t="s">
        <v>2079</v>
      </c>
      <c r="FM1" s="74" t="s">
        <v>2080</v>
      </c>
      <c r="FN1" s="74" t="s">
        <v>2081</v>
      </c>
      <c r="FO1" s="74" t="s">
        <v>2082</v>
      </c>
      <c r="FP1" s="74" t="s">
        <v>2083</v>
      </c>
      <c r="FQ1" s="74" t="s">
        <v>2084</v>
      </c>
      <c r="FR1" s="74" t="s">
        <v>2085</v>
      </c>
      <c r="FS1" s="74" t="s">
        <v>2086</v>
      </c>
      <c r="FT1" s="74" t="s">
        <v>2087</v>
      </c>
      <c r="FU1" s="74" t="s">
        <v>2088</v>
      </c>
      <c r="FV1" s="74" t="s">
        <v>2089</v>
      </c>
      <c r="FW1" s="74" t="s">
        <v>2090</v>
      </c>
      <c r="FX1" s="74" t="s">
        <v>2091</v>
      </c>
      <c r="FY1" s="74" t="s">
        <v>2092</v>
      </c>
      <c r="FZ1" s="74" t="s">
        <v>2093</v>
      </c>
      <c r="GA1" s="74" t="s">
        <v>2094</v>
      </c>
      <c r="GB1" s="74" t="s">
        <v>2095</v>
      </c>
      <c r="GC1" s="74" t="s">
        <v>2096</v>
      </c>
      <c r="GD1" s="74" t="s">
        <v>2097</v>
      </c>
      <c r="GE1" s="74" t="s">
        <v>2098</v>
      </c>
      <c r="GF1" s="74" t="s">
        <v>2099</v>
      </c>
      <c r="GG1" s="74" t="s">
        <v>2100</v>
      </c>
      <c r="GH1" s="74" t="s">
        <v>2101</v>
      </c>
      <c r="GI1" s="74" t="s">
        <v>2102</v>
      </c>
      <c r="GJ1" s="74" t="s">
        <v>2103</v>
      </c>
      <c r="GK1" s="74" t="s">
        <v>2104</v>
      </c>
      <c r="GL1" s="74" t="s">
        <v>2105</v>
      </c>
      <c r="GM1" s="74" t="s">
        <v>2106</v>
      </c>
      <c r="GN1" s="74" t="s">
        <v>2107</v>
      </c>
      <c r="GO1" s="74" t="s">
        <v>2108</v>
      </c>
      <c r="GP1" s="74" t="s">
        <v>2109</v>
      </c>
      <c r="GQ1" s="74" t="s">
        <v>2110</v>
      </c>
      <c r="GR1" s="74" t="s">
        <v>2111</v>
      </c>
      <c r="GS1" s="74" t="s">
        <v>2112</v>
      </c>
      <c r="GT1" s="74" t="s">
        <v>2113</v>
      </c>
      <c r="GU1" s="74" t="s">
        <v>2114</v>
      </c>
      <c r="GV1" s="74" t="s">
        <v>2115</v>
      </c>
      <c r="GW1" s="74" t="s">
        <v>2116</v>
      </c>
      <c r="GX1" s="74" t="s">
        <v>2117</v>
      </c>
      <c r="GY1" s="74" t="s">
        <v>2118</v>
      </c>
      <c r="GZ1" s="74" t="s">
        <v>2119</v>
      </c>
      <c r="HA1" s="74" t="s">
        <v>2120</v>
      </c>
      <c r="HB1" s="74" t="s">
        <v>2121</v>
      </c>
      <c r="HC1" s="74" t="s">
        <v>2122</v>
      </c>
      <c r="HD1" s="74" t="s">
        <v>2123</v>
      </c>
      <c r="HE1" s="74" t="s">
        <v>2124</v>
      </c>
      <c r="HF1" s="1095" t="s">
        <v>2125</v>
      </c>
    </row>
    <row r="2" spans="1:214" x14ac:dyDescent="0.3">
      <c r="A2" s="35" t="s">
        <v>2126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
      <c r="A3" s="35" t="s">
        <v>2127</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
      <c r="A4" s="35" t="s">
        <v>2128</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
      <c r="A5" s="35" t="s">
        <v>2129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
      <c r="A6" s="35" t="s">
        <v>2130</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
      <c r="A7" s="35" t="s">
        <v>2131</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
      <c r="A8" s="35" t="s">
        <v>2132</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
      <c r="A9" s="35" t="s">
        <v>2133</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
      <c r="A10" s="35" t="s">
        <v>2134</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
      <c r="A11" s="35" t="s">
        <v>2135</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
      <c r="A12" s="35" t="s">
        <v>2136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
      <c r="A13" s="35" t="s">
        <v>2137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
      <c r="A14" s="35" t="s">
        <v>2138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
      <c r="A15" s="35" t="s">
        <v>2139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
      <c r="A16" s="35" t="s">
        <v>2140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
      <c r="A17" s="35" t="s">
        <v>2141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
      <c r="A18" s="35" t="s">
        <v>2142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
      <c r="A19" s="35" t="s">
        <v>2143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
      <c r="A20" s="35" t="s">
        <v>2144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
      <c r="A21" s="35" t="s">
        <v>2145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
      <c r="A22" s="35" t="s">
        <v>2146</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
      <c r="A23" s="35" t="s">
        <v>2147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
      <c r="A24" s="35" t="s">
        <v>2148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
      <c r="A25" s="35" t="s">
        <v>2149</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
      <c r="A26" s="35" t="s">
        <v>2150</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
      <c r="A27" s="35" t="s">
        <v>2151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
      <c r="A28" s="35" t="s">
        <v>2152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
      <c r="A29" s="35" t="s">
        <v>2153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
      <c r="A30" s="35" t="s">
        <v>2154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
      <c r="A31" s="35" t="s">
        <v>2155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
      <c r="A32" s="35" t="s">
        <v>2156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
      <c r="A33" s="35" t="s">
        <v>2157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
      <c r="A34" s="35" t="s">
        <v>492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
      <c r="A35" s="35" t="s">
        <v>2158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
      <c r="A36" s="35" t="s">
        <v>2159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
      <c r="A37" s="35" t="s">
        <v>2160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
      <c r="A38" s="35" t="s">
        <v>2161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
      <c r="A39" s="35" t="s">
        <v>2162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
      <c r="A40" s="35" t="s">
        <v>2163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
      <c r="A41" s="35" t="s">
        <v>2164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
      <c r="A42" s="35" t="s">
        <v>2165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
      <c r="A43" s="35" t="s">
        <v>2166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
      <c r="A44" s="35" t="s">
        <v>2167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
      <c r="A45" s="35" t="s">
        <v>2168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
      <c r="A46" s="35" t="s">
        <v>2169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
      <c r="A47" s="35" t="s">
        <v>2170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
      <c r="A48" s="35" t="s">
        <v>2171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2172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2173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2174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2175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2176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2177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2178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2179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2180</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2181</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2182</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2183</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2184</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2185</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2186</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
      <c r="A65" s="35" t="s">
        <v>2187</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
      <c r="A66" s="35" t="s">
        <v>2188</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
      <c r="A67" s="35" t="s">
        <v>2189</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
      <c r="A68" s="35" t="s">
        <v>2190</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
      <c r="A69" s="35" t="s">
        <v>2191</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
      <c r="A70" s="35" t="s">
        <v>2192</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
      <c r="A71" s="35" t="s">
        <v>2193</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
      <c r="A72" s="35" t="s">
        <v>2194</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
      <c r="A73" s="35" t="s">
        <v>2195</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
      <c r="A74" s="35" t="s">
        <v>2196</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
      <c r="A75" s="35" t="s">
        <v>2197</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
      <c r="A76" s="35" t="s">
        <v>2198</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
      <c r="A77" s="35" t="s">
        <v>2199</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
      <c r="A78" s="35" t="s">
        <v>2200</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
      <c r="A79" s="35" t="s">
        <v>2201</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
      <c r="A80" s="35" t="s">
        <v>2202</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
      <c r="A81" s="35" t="s">
        <v>787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
      <c r="A82" s="35" t="s">
        <v>2203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
      <c r="A83" s="35" t="s">
        <v>2204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
      <c r="A84" s="35" t="s">
        <v>2205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
      <c r="A85" s="35" t="s">
        <v>789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
      <c r="A86" s="35" t="s">
        <v>2206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
      <c r="A87" s="35" t="s">
        <v>2207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3">
      <c r="A88" s="35" t="s">
        <v>2208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
      <c r="A89" s="35" t="s">
        <v>2209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2213</v>
      </c>
      <c r="E2" s="61" t="s">
        <v>1898</v>
      </c>
      <c r="F2" s="61"/>
      <c r="H2" s="62"/>
    </row>
    <row r="3" spans="1:11" x14ac:dyDescent="0.3">
      <c r="B3" s="56" t="s">
        <v>91</v>
      </c>
      <c r="C3" s="56" t="str">
        <f>'Haver Pivoted'!A2</f>
        <v>gdp</v>
      </c>
      <c r="D3">
        <v>26138</v>
      </c>
      <c r="E3" s="56">
        <f>'Haver Pivoted'!HF2</f>
        <v>26465.9</v>
      </c>
      <c r="F3" s="56">
        <f>E3-D3</f>
        <v>327.90000000000146</v>
      </c>
      <c r="G3" s="63">
        <f>F3/D3</f>
        <v>1.2544953707246211E-2</v>
      </c>
      <c r="H3" s="64"/>
    </row>
    <row r="4" spans="1:11" x14ac:dyDescent="0.3">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
      <c r="B6" s="56" t="s">
        <v>94</v>
      </c>
      <c r="C6" s="56" t="str">
        <f>'Haver Pivoted'!A5</f>
        <v>c</v>
      </c>
      <c r="D6">
        <v>17749.900000000001</v>
      </c>
      <c r="E6" s="56">
        <f>'Haver Pivoted'!HF5</f>
        <v>18095.3</v>
      </c>
      <c r="F6" s="56">
        <f t="shared" si="0"/>
        <v>345.39999999999782</v>
      </c>
      <c r="G6" s="63">
        <f t="shared" si="1"/>
        <v>1.9459264559236827E-2</v>
      </c>
    </row>
    <row r="7" spans="1:11" x14ac:dyDescent="0.3">
      <c r="B7" s="56" t="s">
        <v>95</v>
      </c>
      <c r="C7" s="56" t="str">
        <f>'Haver Pivoted'!A6</f>
        <v>ch</v>
      </c>
      <c r="D7">
        <v>14214.9</v>
      </c>
      <c r="E7" s="56">
        <f>'Haver Pivoted'!HF6</f>
        <v>14344.5</v>
      </c>
      <c r="F7" s="56">
        <f t="shared" si="0"/>
        <v>129.60000000000036</v>
      </c>
      <c r="G7" s="63">
        <f t="shared" si="1"/>
        <v>9.1171939303125848E-3</v>
      </c>
      <c r="K7" s="65"/>
    </row>
    <row r="8" spans="1:11" x14ac:dyDescent="0.3">
      <c r="B8" s="56" t="s">
        <v>96</v>
      </c>
      <c r="C8" s="56" t="str">
        <f>'Haver Pivoted'!A7</f>
        <v>jc</v>
      </c>
      <c r="D8">
        <v>124.902</v>
      </c>
      <c r="E8" s="56">
        <f>'Haver Pivoted'!HF7</f>
        <v>126.182</v>
      </c>
      <c r="F8" s="56">
        <f t="shared" si="0"/>
        <v>1.2800000000000011</v>
      </c>
      <c r="G8" s="63">
        <f t="shared" si="1"/>
        <v>1.0248034459015877E-2</v>
      </c>
    </row>
    <row r="9" spans="1:11" x14ac:dyDescent="0.3">
      <c r="B9" s="56" t="s">
        <v>97</v>
      </c>
      <c r="C9" s="56" t="str">
        <f>'Haver Pivoted'!A8</f>
        <v>jgf</v>
      </c>
      <c r="D9">
        <v>123.336</v>
      </c>
      <c r="E9" s="56">
        <f>'Haver Pivoted'!HF8</f>
        <v>124.324</v>
      </c>
      <c r="F9" s="56">
        <f t="shared" si="0"/>
        <v>0.98799999999999955</v>
      </c>
      <c r="G9" s="63">
        <f t="shared" si="1"/>
        <v>8.0106376078355034E-3</v>
      </c>
    </row>
    <row r="10" spans="1:11" x14ac:dyDescent="0.3">
      <c r="B10" s="56" t="s">
        <v>98</v>
      </c>
      <c r="C10" s="56" t="str">
        <f>'Haver Pivoted'!A9</f>
        <v>jgs</v>
      </c>
      <c r="D10">
        <v>139.232</v>
      </c>
      <c r="E10" s="56">
        <f>'Haver Pivoted'!HF9</f>
        <v>139.43199999999999</v>
      </c>
      <c r="F10" s="56">
        <f t="shared" si="0"/>
        <v>0.19999999999998863</v>
      </c>
      <c r="G10" s="63">
        <f t="shared" si="1"/>
        <v>1.4364513904848643E-3</v>
      </c>
    </row>
    <row r="11" spans="1:11" x14ac:dyDescent="0.3">
      <c r="B11" s="56" t="s">
        <v>99</v>
      </c>
      <c r="C11" s="56" t="str">
        <f>'Haver Pivoted'!A10</f>
        <v>jgse</v>
      </c>
      <c r="D11">
        <v>138.524</v>
      </c>
      <c r="E11" s="56">
        <f>'Haver Pivoted'!HF10</f>
        <v>138.44300000000001</v>
      </c>
      <c r="F11" s="56">
        <f t="shared" si="0"/>
        <v>-8.0999999999988859E-2</v>
      </c>
      <c r="G11" s="63">
        <f t="shared" si="1"/>
        <v>-5.8473621899446198E-4</v>
      </c>
    </row>
    <row r="12" spans="1:11" x14ac:dyDescent="0.3">
      <c r="B12" s="56" t="s">
        <v>100</v>
      </c>
      <c r="C12" s="56" t="str">
        <f>'Haver Pivoted'!A11</f>
        <v>jgsi</v>
      </c>
      <c r="D12">
        <v>142.715</v>
      </c>
      <c r="E12" s="56">
        <f>'Haver Pivoted'!HF11</f>
        <v>144.28899999999999</v>
      </c>
      <c r="F12" s="56">
        <f t="shared" si="0"/>
        <v>1.5739999999999839</v>
      </c>
      <c r="G12" s="63">
        <f t="shared" si="1"/>
        <v>1.1028973828959702E-2</v>
      </c>
    </row>
    <row r="13" spans="1:11" x14ac:dyDescent="0.3">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
      <c r="A14" s="56" t="s">
        <v>54</v>
      </c>
      <c r="B14" s="56" t="s">
        <v>101</v>
      </c>
      <c r="C14" s="56" t="str">
        <f>'Haver Pivoted'!A13</f>
        <v>yptmd</v>
      </c>
      <c r="D14">
        <v>796.2</v>
      </c>
      <c r="E14" s="56">
        <f>'Haver Pivoted'!HF13</f>
        <v>813.1</v>
      </c>
      <c r="F14" s="56">
        <f t="shared" si="0"/>
        <v>16.899999999999977</v>
      </c>
      <c r="G14" s="63">
        <f t="shared" si="1"/>
        <v>2.1225822657623683E-2</v>
      </c>
    </row>
    <row r="15" spans="1:11" x14ac:dyDescent="0.3">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
      <c r="B16" s="56" t="s">
        <v>57</v>
      </c>
      <c r="C16" s="56" t="str">
        <f>'Haver Pivoted'!A15</f>
        <v>gtfp</v>
      </c>
      <c r="D16">
        <v>3928.7</v>
      </c>
      <c r="E16" s="56">
        <f>'Haver Pivoted'!HF15</f>
        <v>3966.4</v>
      </c>
      <c r="F16" s="56">
        <f t="shared" si="0"/>
        <v>37.700000000000273</v>
      </c>
      <c r="G16" s="63">
        <f t="shared" si="1"/>
        <v>9.5960495838318723E-3</v>
      </c>
    </row>
    <row r="17" spans="1:7" x14ac:dyDescent="0.3">
      <c r="B17" s="56" t="s">
        <v>103</v>
      </c>
      <c r="C17" s="56" t="str">
        <f>'Haver Pivoted'!A16</f>
        <v>ypog</v>
      </c>
      <c r="D17">
        <v>117</v>
      </c>
      <c r="E17" s="56">
        <f>'Haver Pivoted'!HF16</f>
        <v>117.8</v>
      </c>
      <c r="F17" s="56">
        <f t="shared" si="0"/>
        <v>0.79999999999999716</v>
      </c>
      <c r="G17" s="63">
        <f t="shared" si="1"/>
        <v>6.8376068376068133E-3</v>
      </c>
    </row>
    <row r="18" spans="1:7" x14ac:dyDescent="0.3">
      <c r="B18" s="56" t="s">
        <v>104</v>
      </c>
      <c r="C18" s="56" t="str">
        <f>'Haver Pivoted'!A17</f>
        <v>yptx</v>
      </c>
      <c r="D18">
        <v>3232.3</v>
      </c>
      <c r="E18" s="56">
        <f>'Haver Pivoted'!HF17</f>
        <v>2940</v>
      </c>
      <c r="F18" s="56">
        <f t="shared" si="0"/>
        <v>-292.30000000000018</v>
      </c>
      <c r="G18" s="63">
        <f t="shared" si="1"/>
        <v>-9.0430962472542828E-2</v>
      </c>
    </row>
    <row r="19" spans="1:7" x14ac:dyDescent="0.3">
      <c r="B19" s="56" t="s">
        <v>105</v>
      </c>
      <c r="C19" s="56" t="str">
        <f>'Haver Pivoted'!A18</f>
        <v>ytpi</v>
      </c>
      <c r="D19">
        <v>1779</v>
      </c>
      <c r="E19" s="56">
        <f>'Haver Pivoted'!HF18</f>
        <v>1793.2</v>
      </c>
      <c r="F19" s="56">
        <f t="shared" si="0"/>
        <v>14.200000000000045</v>
      </c>
      <c r="G19" s="63">
        <f t="shared" si="1"/>
        <v>7.9820123664980577E-3</v>
      </c>
    </row>
    <row r="20" spans="1:7" x14ac:dyDescent="0.3">
      <c r="B20" s="56" t="s">
        <v>106</v>
      </c>
      <c r="C20" s="56" t="str">
        <f>'Haver Pivoted'!A19</f>
        <v>yctlg</v>
      </c>
      <c r="D20">
        <v>449.3</v>
      </c>
      <c r="E20" s="56">
        <f>'Haver Pivoted'!HF19</f>
        <v>0</v>
      </c>
      <c r="F20" s="56">
        <f t="shared" si="0"/>
        <v>-449.3</v>
      </c>
      <c r="G20" s="63">
        <f t="shared" si="1"/>
        <v>-1</v>
      </c>
    </row>
    <row r="21" spans="1:7" x14ac:dyDescent="0.3">
      <c r="B21" s="56" t="s">
        <v>107</v>
      </c>
      <c r="C21" s="56" t="str">
        <f>'Haver Pivoted'!A20</f>
        <v>g</v>
      </c>
      <c r="D21">
        <v>4575.3999999999996</v>
      </c>
      <c r="E21" s="56">
        <f>'Haver Pivoted'!HF20</f>
        <v>4646.1000000000004</v>
      </c>
      <c r="F21" s="56">
        <f t="shared" si="0"/>
        <v>70.700000000000728</v>
      </c>
      <c r="G21" s="63">
        <f t="shared" si="1"/>
        <v>1.5452200900467878E-2</v>
      </c>
    </row>
    <row r="22" spans="1:7" x14ac:dyDescent="0.3">
      <c r="B22" s="56" t="s">
        <v>108</v>
      </c>
      <c r="C22" s="56" t="str">
        <f>'Haver Pivoted'!A21</f>
        <v>grcsi</v>
      </c>
      <c r="D22">
        <v>1727.2</v>
      </c>
      <c r="E22" s="56">
        <f>'Haver Pivoted'!HF21</f>
        <v>1760.7</v>
      </c>
      <c r="F22" s="56">
        <f t="shared" si="0"/>
        <v>33.5</v>
      </c>
      <c r="G22" s="63">
        <f t="shared" si="1"/>
        <v>1.9395553496989345E-2</v>
      </c>
    </row>
    <row r="23" spans="1:7" x14ac:dyDescent="0.3">
      <c r="B23" s="56" t="s">
        <v>96</v>
      </c>
      <c r="C23" s="56" t="str">
        <f>'Haver Pivoted'!A22</f>
        <v>dc</v>
      </c>
      <c r="D23">
        <v>124.869</v>
      </c>
      <c r="E23" s="56">
        <f>'Haver Pivoted'!HF22</f>
        <v>126.148</v>
      </c>
      <c r="F23" s="56">
        <f t="shared" si="0"/>
        <v>1.2789999999999964</v>
      </c>
      <c r="G23" s="63">
        <f t="shared" si="1"/>
        <v>1.0242734385636118E-2</v>
      </c>
    </row>
    <row r="24" spans="1:7" x14ac:dyDescent="0.3">
      <c r="A24" s="56" t="s">
        <v>109</v>
      </c>
      <c r="B24" s="56" t="s">
        <v>110</v>
      </c>
      <c r="C24" s="56" t="str">
        <f>'Haver Pivoted'!A23</f>
        <v>gf</v>
      </c>
      <c r="D24">
        <v>1693.8</v>
      </c>
      <c r="E24" s="56">
        <f>'Haver Pivoted'!HF23</f>
        <v>1739.8</v>
      </c>
      <c r="F24" s="56">
        <f t="shared" si="0"/>
        <v>46</v>
      </c>
      <c r="G24" s="63">
        <f t="shared" si="1"/>
        <v>2.7157869878379974E-2</v>
      </c>
    </row>
    <row r="25" spans="1:7" x14ac:dyDescent="0.3">
      <c r="A25" s="56" t="s">
        <v>109</v>
      </c>
      <c r="B25" s="56" t="s">
        <v>111</v>
      </c>
      <c r="C25" s="56" t="str">
        <f>'Haver Pivoted'!A24</f>
        <v>gs</v>
      </c>
      <c r="D25">
        <v>2881.6</v>
      </c>
      <c r="E25" s="56">
        <f>'Haver Pivoted'!HF24</f>
        <v>2906.3</v>
      </c>
      <c r="F25" s="56">
        <f t="shared" si="0"/>
        <v>24.700000000000273</v>
      </c>
      <c r="G25" s="63">
        <f t="shared" si="1"/>
        <v>8.5716268739590065E-3</v>
      </c>
    </row>
    <row r="26" spans="1:7" x14ac:dyDescent="0.3">
      <c r="B26" s="56" t="s">
        <v>112</v>
      </c>
      <c r="C26" s="56" t="str">
        <f>'Haver Pivoted'!A25</f>
        <v>gfh</v>
      </c>
      <c r="D26">
        <v>1373</v>
      </c>
      <c r="E26" s="56">
        <f>'Haver Pivoted'!HF25</f>
        <v>1399.1</v>
      </c>
      <c r="F26" s="56">
        <f t="shared" si="0"/>
        <v>26.099999999999909</v>
      </c>
      <c r="G26" s="63">
        <f t="shared" si="1"/>
        <v>1.9009468317552739E-2</v>
      </c>
    </row>
    <row r="27" spans="1:7" x14ac:dyDescent="0.3">
      <c r="B27" s="56" t="s">
        <v>113</v>
      </c>
      <c r="C27" s="56" t="str">
        <f>'Haver Pivoted'!A26</f>
        <v>gsh</v>
      </c>
      <c r="D27">
        <v>2069.8000000000002</v>
      </c>
      <c r="E27" s="56">
        <f>'Haver Pivoted'!HF26</f>
        <v>2084.6</v>
      </c>
      <c r="F27" s="56">
        <f t="shared" si="0"/>
        <v>14.799999999999727</v>
      </c>
      <c r="G27" s="63">
        <f t="shared" si="1"/>
        <v>7.1504493187746288E-3</v>
      </c>
    </row>
    <row r="28" spans="1:7" x14ac:dyDescent="0.3">
      <c r="A28" s="56" t="s">
        <v>58</v>
      </c>
      <c r="B28" s="56" t="s">
        <v>114</v>
      </c>
      <c r="C28" s="56" t="s">
        <v>115</v>
      </c>
      <c r="D28">
        <v>2650.1</v>
      </c>
      <c r="E28" s="56">
        <f>'Haver Pivoted'!HF27</f>
        <v>2418.6</v>
      </c>
      <c r="F28" s="56">
        <f t="shared" si="0"/>
        <v>-231.5</v>
      </c>
      <c r="G28" s="63">
        <f t="shared" si="1"/>
        <v>-8.7355194143617226E-2</v>
      </c>
    </row>
    <row r="29" spans="1:7" x14ac:dyDescent="0.3">
      <c r="A29" s="56" t="s">
        <v>58</v>
      </c>
      <c r="B29" s="56" t="s">
        <v>116</v>
      </c>
      <c r="C29" s="56" t="s">
        <v>117</v>
      </c>
      <c r="D29">
        <v>192.4</v>
      </c>
      <c r="E29" s="56">
        <f>'Haver Pivoted'!HF28</f>
        <v>189.8</v>
      </c>
      <c r="F29" s="56">
        <f t="shared" si="0"/>
        <v>-2.5999999999999943</v>
      </c>
      <c r="G29" s="63">
        <f t="shared" si="1"/>
        <v>-1.3513513513513483E-2</v>
      </c>
    </row>
    <row r="30" spans="1:7" x14ac:dyDescent="0.3">
      <c r="A30" s="56" t="s">
        <v>58</v>
      </c>
      <c r="B30" s="56" t="s">
        <v>118</v>
      </c>
      <c r="C30" s="56" t="s">
        <v>119</v>
      </c>
      <c r="D30">
        <v>332.2</v>
      </c>
      <c r="E30" s="56">
        <f>'Haver Pivoted'!HF29</f>
        <v>0</v>
      </c>
      <c r="F30" s="56">
        <f t="shared" si="0"/>
        <v>-332.2</v>
      </c>
      <c r="G30" s="63">
        <f t="shared" si="1"/>
        <v>-1</v>
      </c>
    </row>
    <row r="31" spans="1:7" x14ac:dyDescent="0.3">
      <c r="A31" s="56" t="s">
        <v>58</v>
      </c>
      <c r="B31" s="56" t="s">
        <v>120</v>
      </c>
      <c r="C31" s="56" t="s">
        <v>121</v>
      </c>
      <c r="D31">
        <v>1702.7</v>
      </c>
      <c r="E31" s="56">
        <f>'Haver Pivoted'!HF30</f>
        <v>1735.3</v>
      </c>
      <c r="F31" s="56">
        <f t="shared" si="0"/>
        <v>32.599999999999909</v>
      </c>
      <c r="G31" s="63">
        <f t="shared" si="1"/>
        <v>1.9146062136606513E-2</v>
      </c>
    </row>
    <row r="32" spans="1:7" x14ac:dyDescent="0.3">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
      <c r="A33" s="56" t="s">
        <v>51</v>
      </c>
      <c r="B33" s="55" t="s">
        <v>124</v>
      </c>
      <c r="C33" s="56" t="str">
        <f>'Haver Pivoted'!A32</f>
        <v>gfeg</v>
      </c>
      <c r="D33">
        <v>953.3</v>
      </c>
      <c r="E33" s="56">
        <f>'Haver Pivoted'!HF32</f>
        <v>980.5</v>
      </c>
      <c r="F33" s="56">
        <f t="shared" si="0"/>
        <v>27.200000000000045</v>
      </c>
      <c r="G33" s="63">
        <f t="shared" si="1"/>
        <v>2.8532466170145859E-2</v>
      </c>
    </row>
    <row r="34" spans="1:10" x14ac:dyDescent="0.3">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
      <c r="A36" s="56" t="s">
        <v>58</v>
      </c>
      <c r="B36" s="56" t="s">
        <v>127</v>
      </c>
      <c r="C36" s="56" t="str">
        <f>'Haver Pivoted'!A35</f>
        <v>gsrcp</v>
      </c>
      <c r="D36">
        <v>117.1</v>
      </c>
      <c r="E36" s="56">
        <f>'Haver Pivoted'!HF35</f>
        <v>0</v>
      </c>
      <c r="F36" s="56">
        <f t="shared" si="0"/>
        <v>-117.1</v>
      </c>
      <c r="G36" s="63">
        <f t="shared" si="1"/>
        <v>-1</v>
      </c>
    </row>
    <row r="37" spans="1:10" x14ac:dyDescent="0.3">
      <c r="A37" s="56" t="s">
        <v>58</v>
      </c>
      <c r="B37" s="56" t="s">
        <v>128</v>
      </c>
      <c r="C37" s="56" t="str">
        <f>'Haver Pivoted'!A36</f>
        <v>gsrs</v>
      </c>
      <c r="D37">
        <v>24.5</v>
      </c>
      <c r="E37" s="56">
        <f>'Haver Pivoted'!HF36</f>
        <v>25.4</v>
      </c>
      <c r="F37" s="56">
        <f t="shared" si="0"/>
        <v>0.89999999999999858</v>
      </c>
      <c r="G37" s="63">
        <f t="shared" si="1"/>
        <v>3.6734693877550961E-2</v>
      </c>
    </row>
    <row r="38" spans="1:10" x14ac:dyDescent="0.3">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
      <c r="B39" s="56" t="s">
        <v>130</v>
      </c>
      <c r="C39" s="56" t="str">
        <f>'Haver Pivoted'!A38</f>
        <v>gset</v>
      </c>
      <c r="D39">
        <v>3828.2</v>
      </c>
      <c r="E39" s="56">
        <f>'Haver Pivoted'!HF38</f>
        <v>3795.1</v>
      </c>
      <c r="F39" s="56">
        <f t="shared" si="0"/>
        <v>-33.099999999999909</v>
      </c>
      <c r="G39" s="63">
        <f t="shared" si="1"/>
        <v>-8.646361214147618E-3</v>
      </c>
    </row>
    <row r="40" spans="1:10" x14ac:dyDescent="0.3">
      <c r="B40" s="56" t="s">
        <v>131</v>
      </c>
      <c r="C40" s="56" t="str">
        <f>'Haver Pivoted'!A39</f>
        <v>gfeghhx</v>
      </c>
      <c r="D40">
        <v>640.79</v>
      </c>
      <c r="E40" s="56">
        <f>'Haver Pivoted'!HF39</f>
        <v>660.94500000000005</v>
      </c>
      <c r="F40" s="56">
        <f t="shared" si="0"/>
        <v>20.155000000000086</v>
      </c>
      <c r="G40" s="63">
        <f t="shared" si="1"/>
        <v>3.1453362255965428E-2</v>
      </c>
    </row>
    <row r="41" spans="1:10" x14ac:dyDescent="0.3">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
      <c r="B43" s="56" t="s">
        <v>135</v>
      </c>
      <c r="C43" s="56" t="str">
        <f>'Haver Pivoted'!A42</f>
        <v>gfsub</v>
      </c>
      <c r="D43">
        <v>110.8</v>
      </c>
      <c r="E43" s="56">
        <f>'Haver Pivoted'!HF42</f>
        <v>104.8</v>
      </c>
      <c r="F43" s="56">
        <f t="shared" si="0"/>
        <v>-6</v>
      </c>
      <c r="G43" s="63">
        <f t="shared" si="1"/>
        <v>-5.4151624548736461E-2</v>
      </c>
      <c r="I43" s="67"/>
      <c r="J43" s="64"/>
    </row>
    <row r="44" spans="1:10" x14ac:dyDescent="0.3">
      <c r="B44" s="56" t="s">
        <v>136</v>
      </c>
      <c r="C44" s="56" t="str">
        <f>'Haver Pivoted'!A43</f>
        <v>gssub</v>
      </c>
      <c r="D44">
        <v>0.7</v>
      </c>
      <c r="E44" s="56">
        <f>'Haver Pivoted'!HF43</f>
        <v>0.7</v>
      </c>
      <c r="F44" s="56">
        <f t="shared" si="0"/>
        <v>0</v>
      </c>
      <c r="G44" s="63">
        <f t="shared" si="1"/>
        <v>0</v>
      </c>
      <c r="I44" s="57"/>
      <c r="J44" s="64"/>
    </row>
    <row r="45" spans="1:10" x14ac:dyDescent="0.3">
      <c r="B45" s="56" t="s">
        <v>52</v>
      </c>
      <c r="C45" s="56" t="str">
        <f>'Haver Pivoted'!A44</f>
        <v>gsub</v>
      </c>
      <c r="D45">
        <v>111.5</v>
      </c>
      <c r="E45" s="56">
        <f>'Haver Pivoted'!HF44</f>
        <v>105.5</v>
      </c>
      <c r="F45" s="56">
        <f t="shared" si="0"/>
        <v>-6</v>
      </c>
      <c r="G45" s="63">
        <f t="shared" si="1"/>
        <v>-5.3811659192825115E-2</v>
      </c>
      <c r="I45" s="57"/>
      <c r="J45" s="65"/>
    </row>
    <row r="46" spans="1:10" x14ac:dyDescent="0.3">
      <c r="A46" s="56" t="s">
        <v>56</v>
      </c>
      <c r="B46" s="56" t="s">
        <v>56</v>
      </c>
      <c r="C46" s="56" t="str">
        <f>'Haver Pivoted'!A45</f>
        <v>gftfpe</v>
      </c>
      <c r="D46">
        <v>0</v>
      </c>
      <c r="E46" s="56">
        <f>'Haver Pivoted'!HF45</f>
        <v>0</v>
      </c>
      <c r="F46" s="56">
        <f t="shared" si="0"/>
        <v>0</v>
      </c>
      <c r="G46" s="63" t="e">
        <f t="shared" si="1"/>
        <v>#DIV/0!</v>
      </c>
      <c r="I46" s="57"/>
      <c r="J46" s="65"/>
    </row>
    <row r="47" spans="1:10" x14ac:dyDescent="0.3">
      <c r="B47" s="56" t="s">
        <v>137</v>
      </c>
      <c r="C47" s="56" t="str">
        <f>'Haver Pivoted'!A46</f>
        <v>gftfpr</v>
      </c>
      <c r="D47">
        <v>0</v>
      </c>
      <c r="E47" s="56">
        <f>'Haver Pivoted'!HF46</f>
        <v>0</v>
      </c>
      <c r="F47" s="56">
        <f t="shared" si="0"/>
        <v>0</v>
      </c>
      <c r="G47" s="63" t="e">
        <f t="shared" si="1"/>
        <v>#DIV/0!</v>
      </c>
      <c r="I47" s="57"/>
      <c r="J47" s="65"/>
    </row>
    <row r="48" spans="1:10" x14ac:dyDescent="0.3">
      <c r="A48" s="56" t="s">
        <v>50</v>
      </c>
      <c r="B48" s="56" t="s">
        <v>138</v>
      </c>
      <c r="C48" s="56" t="str">
        <f>'Haver Pivoted'!A47</f>
        <v>gftfpp</v>
      </c>
      <c r="D48">
        <v>0</v>
      </c>
      <c r="E48" s="56">
        <f>'Haver Pivoted'!HF47</f>
        <v>0</v>
      </c>
      <c r="F48" s="56">
        <f t="shared" si="0"/>
        <v>0</v>
      </c>
      <c r="G48" s="63" t="e">
        <f t="shared" si="1"/>
        <v>#DIV/0!</v>
      </c>
      <c r="J48" s="65"/>
    </row>
    <row r="49" spans="1:9" x14ac:dyDescent="0.3">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
      <c r="A50" s="56" t="s">
        <v>140</v>
      </c>
      <c r="B50" s="53" t="s">
        <v>141</v>
      </c>
      <c r="C50" s="56" t="str">
        <f>'Haver Pivoted'!A49</f>
        <v>gfsubp</v>
      </c>
      <c r="D50">
        <v>0</v>
      </c>
      <c r="E50" s="56">
        <f>'Haver Pivoted'!HF49</f>
        <v>0</v>
      </c>
      <c r="F50" s="56">
        <f t="shared" si="0"/>
        <v>0</v>
      </c>
      <c r="G50" s="63" t="e">
        <f t="shared" si="1"/>
        <v>#DIV/0!</v>
      </c>
      <c r="H50" s="49"/>
      <c r="I50" s="50"/>
    </row>
    <row r="51" spans="1:9" x14ac:dyDescent="0.3">
      <c r="A51" s="56" t="s">
        <v>52</v>
      </c>
      <c r="B51" s="53" t="s">
        <v>142</v>
      </c>
      <c r="C51" s="56" t="str">
        <f>'Haver Pivoted'!A50</f>
        <v>gfsubg</v>
      </c>
      <c r="D51">
        <v>0.4</v>
      </c>
      <c r="E51" s="56">
        <f>'Haver Pivoted'!HF50</f>
        <v>0</v>
      </c>
      <c r="F51" s="56">
        <f t="shared" si="0"/>
        <v>-0.4</v>
      </c>
      <c r="G51" s="63">
        <f t="shared" si="1"/>
        <v>-1</v>
      </c>
      <c r="H51" s="69"/>
      <c r="I51" s="68"/>
    </row>
    <row r="52" spans="1:9" x14ac:dyDescent="0.3">
      <c r="A52" s="56" t="s">
        <v>52</v>
      </c>
      <c r="B52" s="53" t="s">
        <v>143</v>
      </c>
      <c r="C52" s="56" t="str">
        <f>'Haver Pivoted'!A51</f>
        <v>gfsube</v>
      </c>
      <c r="D52">
        <v>0</v>
      </c>
      <c r="E52" s="56">
        <f>'Haver Pivoted'!HF51</f>
        <v>0</v>
      </c>
      <c r="F52" s="56">
        <f t="shared" si="0"/>
        <v>0</v>
      </c>
      <c r="G52" s="63" t="e">
        <f t="shared" si="1"/>
        <v>#DIV/0!</v>
      </c>
      <c r="H52" s="52"/>
      <c r="I52" s="50"/>
    </row>
    <row r="53" spans="1:9" x14ac:dyDescent="0.3">
      <c r="A53" s="56" t="s">
        <v>52</v>
      </c>
      <c r="B53" s="53" t="s">
        <v>144</v>
      </c>
      <c r="C53" s="56" t="str">
        <f>'Haver Pivoted'!A52</f>
        <v>gfsubs</v>
      </c>
      <c r="D53">
        <v>15.8</v>
      </c>
      <c r="E53" s="56">
        <f>'Haver Pivoted'!HF52</f>
        <v>0</v>
      </c>
      <c r="F53" s="56">
        <f t="shared" si="0"/>
        <v>-15.8</v>
      </c>
      <c r="G53" s="63">
        <f t="shared" si="1"/>
        <v>-1</v>
      </c>
      <c r="H53" s="52"/>
      <c r="I53" s="50"/>
    </row>
    <row r="54" spans="1:9" x14ac:dyDescent="0.3">
      <c r="A54" s="56" t="s">
        <v>52</v>
      </c>
      <c r="B54" s="53" t="s">
        <v>145</v>
      </c>
      <c r="C54" s="56" t="str">
        <f>'Haver Pivoted'!A53</f>
        <v>gfsubf</v>
      </c>
      <c r="D54">
        <v>0</v>
      </c>
      <c r="E54" s="56">
        <f>'Haver Pivoted'!HF53</f>
        <v>0</v>
      </c>
      <c r="F54" s="56">
        <f t="shared" si="0"/>
        <v>0</v>
      </c>
      <c r="G54" s="63" t="e">
        <f t="shared" si="1"/>
        <v>#DIV/0!</v>
      </c>
      <c r="H54" s="49"/>
      <c r="I54" s="50"/>
    </row>
    <row r="55" spans="1:9" x14ac:dyDescent="0.3">
      <c r="A55" s="56" t="s">
        <v>146</v>
      </c>
      <c r="B55" s="53" t="s">
        <v>147</v>
      </c>
      <c r="C55" s="56" t="str">
        <f>'Haver Pivoted'!A54</f>
        <v>gfsubv</v>
      </c>
      <c r="D55">
        <v>3.6</v>
      </c>
      <c r="E55" s="56">
        <f>'Haver Pivoted'!HF54</f>
        <v>0</v>
      </c>
      <c r="F55" s="56">
        <f t="shared" si="0"/>
        <v>-3.6</v>
      </c>
      <c r="G55" s="63">
        <f t="shared" si="1"/>
        <v>-1</v>
      </c>
    </row>
    <row r="56" spans="1:9" x14ac:dyDescent="0.3">
      <c r="A56" s="56" t="s">
        <v>52</v>
      </c>
      <c r="B56" s="53" t="s">
        <v>148</v>
      </c>
      <c r="C56" s="56" t="str">
        <f>'Haver Pivoted'!A55</f>
        <v>gfsubk</v>
      </c>
      <c r="D56">
        <v>0</v>
      </c>
      <c r="E56" s="56">
        <f>'Haver Pivoted'!HF55</f>
        <v>0</v>
      </c>
      <c r="F56" s="56">
        <f t="shared" si="0"/>
        <v>0</v>
      </c>
      <c r="G56" s="63" t="e">
        <f t="shared" si="1"/>
        <v>#DIV/0!</v>
      </c>
      <c r="H56" s="49"/>
      <c r="I56" s="50"/>
    </row>
    <row r="57" spans="1:9" x14ac:dyDescent="0.3">
      <c r="A57" s="56" t="s">
        <v>51</v>
      </c>
      <c r="B57" s="55" t="s">
        <v>149</v>
      </c>
      <c r="C57" s="56" t="str">
        <f>'Haver Pivoted'!A56</f>
        <v>gfegc</v>
      </c>
      <c r="D57">
        <v>0</v>
      </c>
      <c r="E57" s="56">
        <f>'Haver Pivoted'!HF56</f>
        <v>0</v>
      </c>
      <c r="F57" s="56">
        <f t="shared" si="0"/>
        <v>0</v>
      </c>
      <c r="G57" s="63"/>
      <c r="H57" s="49"/>
      <c r="I57" s="50"/>
    </row>
    <row r="58" spans="1:9" x14ac:dyDescent="0.3">
      <c r="A58" s="56" t="s">
        <v>51</v>
      </c>
      <c r="B58" s="55" t="s">
        <v>150</v>
      </c>
      <c r="C58" s="56" t="str">
        <f>'Haver Pivoted'!A57</f>
        <v>gfege</v>
      </c>
      <c r="D58">
        <v>64</v>
      </c>
      <c r="E58" s="56">
        <f>'Haver Pivoted'!HF57</f>
        <v>0</v>
      </c>
      <c r="F58" s="56">
        <f t="shared" si="0"/>
        <v>-64</v>
      </c>
      <c r="G58" s="63">
        <f t="shared" si="1"/>
        <v>-1</v>
      </c>
      <c r="H58" s="49"/>
      <c r="I58" s="50"/>
    </row>
    <row r="59" spans="1:9" x14ac:dyDescent="0.3">
      <c r="A59" s="56" t="s">
        <v>151</v>
      </c>
      <c r="B59" s="55" t="s">
        <v>152</v>
      </c>
      <c r="C59" s="56" t="str">
        <f>'Haver Pivoted'!A58</f>
        <v>gfegv</v>
      </c>
      <c r="D59">
        <v>6.2</v>
      </c>
      <c r="E59" s="56">
        <f>'Haver Pivoted'!HF58</f>
        <v>0</v>
      </c>
      <c r="F59" s="56">
        <f t="shared" si="0"/>
        <v>-6.2</v>
      </c>
      <c r="G59" s="63">
        <f t="shared" si="1"/>
        <v>-1</v>
      </c>
    </row>
    <row r="60" spans="1:9" x14ac:dyDescent="0.3">
      <c r="A60" s="56" t="s">
        <v>53</v>
      </c>
      <c r="B60" s="56" t="s">
        <v>153</v>
      </c>
      <c r="C60" s="56" t="str">
        <f>'Haver Pivoted'!A59</f>
        <v>yptue</v>
      </c>
      <c r="D60">
        <v>0.2</v>
      </c>
      <c r="E60" s="56">
        <f>'Haver Pivoted'!HF59</f>
        <v>0</v>
      </c>
      <c r="F60" s="56">
        <f t="shared" si="0"/>
        <v>-0.2</v>
      </c>
      <c r="G60" s="63">
        <f t="shared" si="1"/>
        <v>-1</v>
      </c>
    </row>
    <row r="61" spans="1:9" x14ac:dyDescent="0.3">
      <c r="A61" s="56" t="s">
        <v>53</v>
      </c>
      <c r="B61" s="56" t="s">
        <v>154</v>
      </c>
      <c r="C61" s="56" t="str">
        <f>'Haver Pivoted'!A60</f>
        <v>yptup</v>
      </c>
      <c r="D61">
        <v>0.1</v>
      </c>
      <c r="E61" s="56">
        <f>'Haver Pivoted'!HF60</f>
        <v>0</v>
      </c>
      <c r="F61" s="56">
        <f t="shared" si="0"/>
        <v>-0.1</v>
      </c>
      <c r="G61" s="63">
        <f t="shared" si="1"/>
        <v>-1</v>
      </c>
    </row>
    <row r="62" spans="1:9" x14ac:dyDescent="0.3">
      <c r="A62" s="56" t="s">
        <v>53</v>
      </c>
      <c r="B62" s="56" t="s">
        <v>155</v>
      </c>
      <c r="C62" s="56" t="str">
        <f>'Haver Pivoted'!A61</f>
        <v>yptuc</v>
      </c>
      <c r="D62">
        <v>0</v>
      </c>
      <c r="E62" s="56">
        <f>'Haver Pivoted'!HF61</f>
        <v>0</v>
      </c>
      <c r="F62" s="56">
        <f t="shared" si="0"/>
        <v>0</v>
      </c>
      <c r="G62" s="63" t="e">
        <f t="shared" si="1"/>
        <v>#DIV/0!</v>
      </c>
    </row>
    <row r="63" spans="1:9" x14ac:dyDescent="0.3">
      <c r="B63" s="56" t="s">
        <v>156</v>
      </c>
      <c r="C63" s="56" t="str">
        <f>'Haver Pivoted'!A62</f>
        <v>gftfpu</v>
      </c>
      <c r="D63">
        <v>0.3</v>
      </c>
      <c r="E63" s="56">
        <f>'Haver Pivoted'!HF62</f>
        <v>0</v>
      </c>
      <c r="F63" s="56">
        <f t="shared" si="0"/>
        <v>-0.3</v>
      </c>
      <c r="G63" s="63">
        <f t="shared" si="1"/>
        <v>-1</v>
      </c>
      <c r="H63" s="55"/>
      <c r="I63" s="55"/>
    </row>
    <row r="64" spans="1:9" x14ac:dyDescent="0.3">
      <c r="A64" s="56" t="s">
        <v>53</v>
      </c>
      <c r="B64" s="59" t="s">
        <v>157</v>
      </c>
      <c r="C64" s="56" t="str">
        <f>'Haver Pivoted'!A63</f>
        <v>yptub</v>
      </c>
      <c r="D64">
        <v>0</v>
      </c>
      <c r="E64" s="56">
        <f>'Haver Pivoted'!HF63</f>
        <v>0</v>
      </c>
      <c r="F64" s="56">
        <f t="shared" si="0"/>
        <v>0</v>
      </c>
      <c r="G64" s="63" t="e">
        <f t="shared" si="1"/>
        <v>#DIV/0!</v>
      </c>
      <c r="H64" s="55"/>
      <c r="I64" s="55"/>
    </row>
    <row r="65" spans="1:9" x14ac:dyDescent="0.3">
      <c r="A65" s="56" t="s">
        <v>53</v>
      </c>
      <c r="B65" s="56" t="s">
        <v>158</v>
      </c>
      <c r="C65" s="56" t="str">
        <f>'Haver Pivoted'!A64</f>
        <v>yptol</v>
      </c>
      <c r="D65">
        <v>0</v>
      </c>
      <c r="E65" s="56">
        <f>'Haver Pivoted'!HF64</f>
        <v>0</v>
      </c>
      <c r="F65" s="56">
        <f t="shared" si="0"/>
        <v>0</v>
      </c>
      <c r="G65" s="63" t="e">
        <f t="shared" si="1"/>
        <v>#DIV/0!</v>
      </c>
      <c r="H65" s="55"/>
      <c r="I65" s="55"/>
    </row>
    <row r="66" spans="1:9" x14ac:dyDescent="0.3">
      <c r="B66" s="56" t="s">
        <v>159</v>
      </c>
      <c r="C66" s="56" t="str">
        <f>'Haver Pivoted'!A65</f>
        <v>gfctp</v>
      </c>
      <c r="D66">
        <v>109.9</v>
      </c>
      <c r="E66" s="56">
        <f>'Haver Pivoted'!HF65</f>
        <v>110.6</v>
      </c>
      <c r="F66" s="56">
        <f t="shared" si="0"/>
        <v>0.69999999999998863</v>
      </c>
      <c r="G66" s="63">
        <f t="shared" si="1"/>
        <v>6.3694267515922529E-3</v>
      </c>
      <c r="H66" s="55"/>
      <c r="I66" s="55"/>
    </row>
    <row r="67" spans="1:9" x14ac:dyDescent="0.3">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
      <c r="C69" s="56" t="str">
        <f>'Haver Pivoted'!A68</f>
        <v>pcw</v>
      </c>
      <c r="D69">
        <v>293.31766666666698</v>
      </c>
      <c r="E69" s="56">
        <f>'Haver Pivoted'!HF68</f>
        <v>295.71766666666701</v>
      </c>
      <c r="F69" s="56">
        <f t="shared" si="2"/>
        <v>2.4000000000000341</v>
      </c>
      <c r="G69" s="63">
        <f t="shared" si="3"/>
        <v>8.1822551886295003E-3</v>
      </c>
    </row>
    <row r="70" spans="1:9" x14ac:dyDescent="0.3">
      <c r="B70" s="56" t="s">
        <v>162</v>
      </c>
      <c r="C70" s="56" t="str">
        <f>'Haver Pivoted'!A69</f>
        <v>gdppothq</v>
      </c>
      <c r="D70">
        <v>20362</v>
      </c>
      <c r="E70" s="56">
        <f>'Haver Pivoted'!HF69</f>
        <v>20453.7</v>
      </c>
      <c r="F70" s="56">
        <f t="shared" si="2"/>
        <v>91.700000000000728</v>
      </c>
      <c r="G70" s="63">
        <f t="shared" si="3"/>
        <v>4.503486887339197E-3</v>
      </c>
    </row>
    <row r="71" spans="1:9" x14ac:dyDescent="0.3">
      <c r="B71" s="56" t="s">
        <v>163</v>
      </c>
      <c r="C71" s="56" t="str">
        <f>'Haver Pivoted'!A70</f>
        <v>gdppotq</v>
      </c>
      <c r="D71">
        <v>26355.7</v>
      </c>
      <c r="E71" s="56">
        <f>'Haver Pivoted'!HF70</f>
        <v>26705.1</v>
      </c>
      <c r="F71" s="56">
        <f t="shared" si="2"/>
        <v>349.39999999999782</v>
      </c>
      <c r="G71" s="63">
        <f t="shared" si="3"/>
        <v>1.3257094290798492E-2</v>
      </c>
    </row>
    <row r="72" spans="1:9" x14ac:dyDescent="0.3">
      <c r="B72" s="56" t="s">
        <v>164</v>
      </c>
      <c r="C72" s="56" t="str">
        <f>'Haver Pivoted'!A71</f>
        <v>recessq</v>
      </c>
      <c r="D72">
        <v>-1</v>
      </c>
      <c r="E72" s="56">
        <f>'Haver Pivoted'!HF71</f>
        <v>-1</v>
      </c>
      <c r="F72" s="56">
        <f t="shared" si="2"/>
        <v>0</v>
      </c>
      <c r="G72" s="63">
        <f t="shared" si="3"/>
        <v>0</v>
      </c>
    </row>
    <row r="73" spans="1:9" x14ac:dyDescent="0.3">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
      <c r="A75" s="56" t="s">
        <v>165</v>
      </c>
      <c r="B75" s="56" t="s">
        <v>168</v>
      </c>
      <c r="C75" s="56" t="str">
        <f>'Haver Pivoted'!A74</f>
        <v>cpgs</v>
      </c>
      <c r="D75">
        <v>355447.33333333302</v>
      </c>
      <c r="E75" s="56">
        <f>'Haver Pivoted'!HF74</f>
        <v>0</v>
      </c>
      <c r="F75" s="56">
        <f t="shared" si="2"/>
        <v>-355447.33333333302</v>
      </c>
      <c r="G75" s="63">
        <f t="shared" si="3"/>
        <v>-1</v>
      </c>
    </row>
    <row r="76" spans="1:9" x14ac:dyDescent="0.3">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31" zoomScale="93" zoomScaleNormal="130" workbookViewId="0">
      <selection activeCell="D71" sqref="D71"/>
    </sheetView>
  </sheetViews>
  <sheetFormatPr defaultColWidth="11.44140625" defaultRowHeight="14.4" x14ac:dyDescent="0.3"/>
  <cols>
    <col min="2" max="2" width="26.44140625" customWidth="1"/>
    <col min="3" max="3" width="20.21875" customWidth="1"/>
    <col min="4" max="9" width="9.44140625" customWidth="1"/>
  </cols>
  <sheetData>
    <row r="2" spans="2:12" x14ac:dyDescent="0.3">
      <c r="B2" s="1563" t="s">
        <v>2214</v>
      </c>
      <c r="C2" s="1563"/>
      <c r="D2" s="1563"/>
      <c r="E2" s="1563"/>
      <c r="F2" s="1563"/>
      <c r="G2" s="1563"/>
      <c r="H2" s="1563"/>
      <c r="I2" s="1563"/>
      <c r="J2" s="1563"/>
      <c r="K2" s="1563"/>
      <c r="L2" s="1563"/>
    </row>
    <row r="3" spans="2:12" x14ac:dyDescent="0.3">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
      <c r="B4" t="str">
        <f>forecast!A2</f>
        <v>Consumption Grants</v>
      </c>
      <c r="C4" t="str">
        <f>forecast!B2</f>
        <v>consumption_grants</v>
      </c>
      <c r="D4" s="71">
        <f>forecast!C2</f>
        <v>448.74654320000008</v>
      </c>
      <c r="E4" s="71">
        <f>forecast!D2</f>
        <v>509.15888270020872</v>
      </c>
      <c r="F4" s="71">
        <f>forecast!E2</f>
        <v>508.58759583602955</v>
      </c>
      <c r="G4" s="71">
        <f>forecast!F2</f>
        <v>509.55611433062063</v>
      </c>
      <c r="H4" s="71">
        <f>forecast!G2</f>
        <v>498.76001866666672</v>
      </c>
      <c r="I4" s="71">
        <f>forecast!H2</f>
        <v>479.51787724821708</v>
      </c>
      <c r="J4" s="71">
        <f>forecast!I2</f>
        <v>484.60394742947074</v>
      </c>
      <c r="K4" s="71">
        <f>forecast!J2</f>
        <v>489.9870852438454</v>
      </c>
      <c r="L4" s="71">
        <f>forecast!K2</f>
        <v>473.79449993333344</v>
      </c>
    </row>
    <row r="5" spans="2:12" x14ac:dyDescent="0.3">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
      <c r="B6" t="str">
        <f>forecast!A4</f>
        <v>Federal Purchases (NIPA Consistent)</v>
      </c>
      <c r="C6" t="str">
        <f>forecast!B4</f>
        <v>federal_purchases</v>
      </c>
      <c r="D6" s="71">
        <f>forecast!C4</f>
        <v>1739.8</v>
      </c>
      <c r="E6" s="71">
        <f>forecast!D4</f>
        <v>1756.1312975285171</v>
      </c>
      <c r="F6" s="71">
        <f>forecast!E4</f>
        <v>1778.9744415399239</v>
      </c>
      <c r="G6" s="71">
        <f>forecast!F4</f>
        <v>1799.2335194866921</v>
      </c>
      <c r="H6" s="71">
        <f>forecast!G4</f>
        <v>1817.3219819391636</v>
      </c>
      <c r="I6" s="71">
        <f>forecast!H4</f>
        <v>1833.8600047528516</v>
      </c>
      <c r="J6" s="71">
        <f>forecast!I4</f>
        <v>1850.6047528517108</v>
      </c>
      <c r="K6" s="71">
        <f>forecast!J4</f>
        <v>1866.2125118821291</v>
      </c>
      <c r="L6" s="71">
        <f>forecast!K4</f>
        <v>1880.1664686311785</v>
      </c>
    </row>
    <row r="7" spans="2:12" x14ac:dyDescent="0.3">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
      <c r="B11" t="str">
        <f>forecast!A9</f>
        <v>State UI</v>
      </c>
      <c r="C11" t="str">
        <f>forecast!B9</f>
        <v>state_ui</v>
      </c>
      <c r="D11" s="71">
        <f>forecast!C9</f>
        <v>22.8</v>
      </c>
      <c r="E11" s="71">
        <f>forecast!D9</f>
        <v>29.959200000000003</v>
      </c>
      <c r="F11" s="71">
        <f>forecast!E9</f>
        <v>31.913485714285713</v>
      </c>
      <c r="G11" s="71">
        <f>forecast!F9</f>
        <v>33.314057142857138</v>
      </c>
      <c r="H11" s="71">
        <f>forecast!G9</f>
        <v>33.216342857142855</v>
      </c>
      <c r="I11" s="71">
        <f>forecast!H9</f>
        <v>32.200114285714285</v>
      </c>
      <c r="J11" s="71">
        <f>forecast!I9</f>
        <v>31.652914285714289</v>
      </c>
      <c r="K11" s="71">
        <f>forecast!J9</f>
        <v>31.262057142857149</v>
      </c>
      <c r="L11" s="71">
        <f>forecast!K9</f>
        <v>31.112228571428574</v>
      </c>
    </row>
    <row r="12" spans="2:12" x14ac:dyDescent="0.3">
      <c r="B12" t="str">
        <f>forecast!A10</f>
        <v>Federal Medicaid</v>
      </c>
      <c r="C12" t="str">
        <f>forecast!B10</f>
        <v>medicaid_grants</v>
      </c>
      <c r="D12" s="71">
        <f>forecast!C10</f>
        <v>627.72799999999995</v>
      </c>
      <c r="E12" s="71">
        <f>forecast!D10</f>
        <v>600.94087022445149</v>
      </c>
      <c r="F12" s="71">
        <f>forecast!E10</f>
        <v>590.38143529167962</v>
      </c>
      <c r="G12" s="71">
        <f>forecast!F10</f>
        <v>582.0469888702919</v>
      </c>
      <c r="H12" s="71">
        <f>forecast!G10</f>
        <v>574.26265620574009</v>
      </c>
      <c r="I12" s="71">
        <f>forecast!H10</f>
        <v>566.58243169085847</v>
      </c>
      <c r="J12" s="71">
        <f>forecast!I10</f>
        <v>559.00492297677215</v>
      </c>
      <c r="K12" s="71">
        <f>forecast!J10</f>
        <v>547.80853606152414</v>
      </c>
      <c r="L12" s="71">
        <f>forecast!K10</f>
        <v>540.48211059635548</v>
      </c>
    </row>
    <row r="13" spans="2:12" x14ac:dyDescent="0.3">
      <c r="B13" t="str">
        <f>forecast!A11</f>
        <v>Total Medicaid</v>
      </c>
      <c r="C13" t="str">
        <f>forecast!B11</f>
        <v>medicaid</v>
      </c>
      <c r="D13" s="71">
        <f>forecast!C11</f>
        <v>813.1</v>
      </c>
      <c r="E13" s="71">
        <f>forecast!D11</f>
        <v>815.38788361526656</v>
      </c>
      <c r="F13" s="71">
        <f>forecast!E11</f>
        <v>817.68220482915194</v>
      </c>
      <c r="G13" s="71">
        <f>forecast!F11</f>
        <v>806.74647211686954</v>
      </c>
      <c r="H13" s="71">
        <f>forecast!G11</f>
        <v>795.95699457468652</v>
      </c>
      <c r="I13" s="71">
        <f>forecast!H11</f>
        <v>785.31181617685274</v>
      </c>
      <c r="J13" s="71">
        <f>forecast!I11</f>
        <v>774.80900705762838</v>
      </c>
      <c r="K13" s="71">
        <f>forecast!J11</f>
        <v>764.44666316141809</v>
      </c>
      <c r="L13" s="71">
        <f>forecast!K11</f>
        <v>754.22290589758461</v>
      </c>
    </row>
    <row r="14" spans="2:12" x14ac:dyDescent="0.3">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1149.4760117984661</v>
      </c>
      <c r="L14" s="71">
        <f>forecast!K12</f>
        <v>1177.1941189570023</v>
      </c>
    </row>
    <row r="15" spans="2:12"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
      <c r="B19" t="str">
        <f>forecast!A17</f>
        <v>Other Federal Social Benefits (including all SNAP)</v>
      </c>
      <c r="C19" t="str">
        <f>forecast!B17</f>
        <v>federal_social_benefits</v>
      </c>
      <c r="D19" s="71">
        <f>forecast!C17</f>
        <v>1988.674</v>
      </c>
      <c r="E19" s="71">
        <f>forecast!D17</f>
        <v>2029.674</v>
      </c>
      <c r="F19" s="71">
        <f>forecast!E17</f>
        <v>2036.674</v>
      </c>
      <c r="G19" s="71">
        <f>forecast!F17</f>
        <v>2037.223</v>
      </c>
      <c r="H19" s="71">
        <f>forecast!G17</f>
        <v>2086.5698119999997</v>
      </c>
      <c r="I19" s="71">
        <f>forecast!H17</f>
        <v>2093.5698119999997</v>
      </c>
      <c r="J19" s="71">
        <f>forecast!I17</f>
        <v>2100.5698119999997</v>
      </c>
      <c r="K19" s="71">
        <f>forecast!J17</f>
        <v>2109.097812</v>
      </c>
      <c r="L19" s="71">
        <f>forecast!K17</f>
        <v>2145.5432441600001</v>
      </c>
    </row>
    <row r="20" spans="2:12" x14ac:dyDescent="0.3">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
      <c r="B21" t="str">
        <f>forecast!A19</f>
        <v>Federal Non-Corporate Taxes</v>
      </c>
      <c r="C21" t="str">
        <f>forecast!B19</f>
        <v>federal_non_corporate_taxes</v>
      </c>
      <c r="D21" s="71">
        <f>forecast!C19</f>
        <v>4343.7</v>
      </c>
      <c r="E21" s="71">
        <f>forecast!D19</f>
        <v>4344.3221711136493</v>
      </c>
      <c r="F21" s="71">
        <f>forecast!E19</f>
        <v>4342.4004049354362</v>
      </c>
      <c r="G21" s="71">
        <f>forecast!F19</f>
        <v>4355.9943010426095</v>
      </c>
      <c r="H21" s="71">
        <f>forecast!G19</f>
        <v>4364.9024259584885</v>
      </c>
      <c r="I21" s="71">
        <f>forecast!H19</f>
        <v>4374.1270302789117</v>
      </c>
      <c r="J21" s="71">
        <f>forecast!I19</f>
        <v>4383.6703962694774</v>
      </c>
      <c r="K21" s="71">
        <f>forecast!J19</f>
        <v>4413.5303912630416</v>
      </c>
      <c r="L21" s="71">
        <f>forecast!K19</f>
        <v>4443.6421523439622</v>
      </c>
    </row>
    <row r="22" spans="2:12" x14ac:dyDescent="0.3">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
      <c r="B27" s="1563" t="s">
        <v>2211</v>
      </c>
      <c r="C27" s="1563"/>
      <c r="D27" s="1563"/>
      <c r="E27" s="1563"/>
      <c r="F27" s="1563"/>
      <c r="G27" s="1563"/>
      <c r="H27" s="1563"/>
      <c r="I27" s="1563"/>
      <c r="J27" s="1563"/>
      <c r="K27" s="1563"/>
      <c r="L27" s="1563"/>
    </row>
    <row r="28" spans="2:12" x14ac:dyDescent="0.3">
      <c r="B28" t="s">
        <v>178</v>
      </c>
      <c r="C28" t="s">
        <v>179</v>
      </c>
      <c r="D28" t="s">
        <v>186</v>
      </c>
      <c r="E28" t="s">
        <v>187</v>
      </c>
      <c r="F28" t="s">
        <v>188</v>
      </c>
      <c r="G28" t="s">
        <v>189</v>
      </c>
      <c r="H28" t="s">
        <v>190</v>
      </c>
      <c r="I28" t="s">
        <v>191</v>
      </c>
      <c r="J28" t="s">
        <v>175</v>
      </c>
      <c r="K28" t="s">
        <v>176</v>
      </c>
      <c r="L28" t="s">
        <v>177</v>
      </c>
    </row>
    <row r="29" spans="2:12" x14ac:dyDescent="0.3">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
      <c r="B40" t="s">
        <v>212</v>
      </c>
      <c r="C40" t="s">
        <v>213</v>
      </c>
      <c r="D40" s="71">
        <v>0</v>
      </c>
      <c r="E40" s="71">
        <v>0</v>
      </c>
      <c r="F40" s="71">
        <v>0</v>
      </c>
      <c r="G40" s="71">
        <v>0</v>
      </c>
      <c r="H40" s="71">
        <v>0</v>
      </c>
      <c r="I40" s="71">
        <v>0</v>
      </c>
      <c r="J40" s="71">
        <v>0</v>
      </c>
      <c r="K40" s="71">
        <v>0</v>
      </c>
      <c r="L40" s="71">
        <v>0</v>
      </c>
    </row>
    <row r="41" spans="2:12" x14ac:dyDescent="0.3">
      <c r="B41" t="s">
        <v>214</v>
      </c>
      <c r="C41" t="s">
        <v>215</v>
      </c>
      <c r="D41" s="71">
        <v>0</v>
      </c>
      <c r="E41" s="71">
        <v>0</v>
      </c>
      <c r="F41" s="71">
        <v>0</v>
      </c>
      <c r="G41" s="71">
        <v>0</v>
      </c>
      <c r="H41" s="71">
        <v>0</v>
      </c>
      <c r="I41" s="71">
        <v>0</v>
      </c>
      <c r="J41" s="71">
        <v>0</v>
      </c>
      <c r="K41" s="71">
        <v>0</v>
      </c>
      <c r="L41" s="71">
        <v>0</v>
      </c>
    </row>
    <row r="42" spans="2:12" x14ac:dyDescent="0.3">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
      <c r="B43" t="s">
        <v>803</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
      <c r="B50" s="35" t="s">
        <v>1397</v>
      </c>
      <c r="C50" s="35" t="s">
        <v>1396</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
      <c r="D51" s="70"/>
      <c r="E51" s="70"/>
      <c r="F51" s="70"/>
      <c r="G51" s="70"/>
      <c r="H51" s="70"/>
      <c r="I51" s="70"/>
      <c r="J51" s="70"/>
      <c r="K51" s="70"/>
      <c r="L51" s="70"/>
    </row>
    <row r="52" spans="2:13" x14ac:dyDescent="0.3">
      <c r="B52" s="1563" t="s">
        <v>232</v>
      </c>
      <c r="C52" s="1563"/>
      <c r="D52" s="1563"/>
      <c r="E52" s="1563"/>
      <c r="F52" s="1563"/>
      <c r="G52" s="1563"/>
      <c r="H52" s="1563"/>
      <c r="I52" s="1563"/>
      <c r="J52" s="1563"/>
      <c r="K52" s="1563"/>
      <c r="L52" s="1563"/>
    </row>
    <row r="53" spans="2:13" x14ac:dyDescent="0.3">
      <c r="B53" t="s">
        <v>178</v>
      </c>
      <c r="C53" t="s">
        <v>179</v>
      </c>
      <c r="D53" t="s">
        <v>186</v>
      </c>
      <c r="E53" t="s">
        <v>187</v>
      </c>
      <c r="F53" t="s">
        <v>188</v>
      </c>
      <c r="G53" t="s">
        <v>189</v>
      </c>
      <c r="H53" t="s">
        <v>190</v>
      </c>
      <c r="I53" t="s">
        <v>191</v>
      </c>
      <c r="J53" t="s">
        <v>175</v>
      </c>
      <c r="K53" t="s">
        <v>176</v>
      </c>
      <c r="L53" t="s">
        <v>177</v>
      </c>
    </row>
    <row r="54" spans="2:13" x14ac:dyDescent="0.3">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c r="M54" t="s">
        <v>931</v>
      </c>
    </row>
    <row r="55" spans="2:13" x14ac:dyDescent="0.3">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931</v>
      </c>
    </row>
    <row r="56" spans="2:13" x14ac:dyDescent="0.3">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c r="M56" t="s">
        <v>931</v>
      </c>
    </row>
    <row r="57" spans="2:13" x14ac:dyDescent="0.3">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931</v>
      </c>
    </row>
    <row r="58" spans="2:13" x14ac:dyDescent="0.3">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931</v>
      </c>
    </row>
    <row r="59" spans="2:13" x14ac:dyDescent="0.3">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931</v>
      </c>
    </row>
    <row r="60" spans="2:13" x14ac:dyDescent="0.3">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931</v>
      </c>
    </row>
    <row r="61" spans="2:13" x14ac:dyDescent="0.3">
      <c r="B61" s="35" t="s">
        <v>205</v>
      </c>
      <c r="C61" s="35" t="s">
        <v>206</v>
      </c>
      <c r="D61" s="71">
        <f t="shared" ref="D61:L61" si="7">D11-D36</f>
        <v>0.30475000000000563</v>
      </c>
      <c r="E61" s="71">
        <f t="shared" si="7"/>
        <v>4.2814500000000066</v>
      </c>
      <c r="F61" s="71">
        <f t="shared" si="7"/>
        <v>4.5607357142857197</v>
      </c>
      <c r="G61" s="71">
        <f t="shared" si="7"/>
        <v>4.7608904761904789</v>
      </c>
      <c r="H61" s="71">
        <f t="shared" si="7"/>
        <v>4.746926190476195</v>
      </c>
      <c r="I61" s="71">
        <f t="shared" si="7"/>
        <v>4.6016976190476271</v>
      </c>
      <c r="J61" s="71">
        <f t="shared" si="7"/>
        <v>4.5234976190476317</v>
      </c>
      <c r="K61" s="71">
        <f t="shared" si="7"/>
        <v>4.4676404761904926</v>
      </c>
      <c r="L61" s="71">
        <f t="shared" si="7"/>
        <v>4.4462285714285876</v>
      </c>
      <c r="M61" t="s">
        <v>931</v>
      </c>
    </row>
    <row r="62" spans="2:13" x14ac:dyDescent="0.3">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c r="M62" t="s">
        <v>931</v>
      </c>
    </row>
    <row r="63" spans="2:13" x14ac:dyDescent="0.3">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c r="M63" t="s">
        <v>931</v>
      </c>
    </row>
    <row r="64" spans="2:13" x14ac:dyDescent="0.3">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-1.1736199156573548</v>
      </c>
      <c r="L64" s="71">
        <f t="shared" si="10"/>
        <v>-1.2019202214066809</v>
      </c>
      <c r="M64" t="s">
        <v>931</v>
      </c>
    </row>
    <row r="65" spans="2:13" x14ac:dyDescent="0.3">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931</v>
      </c>
    </row>
    <row r="66" spans="2:13" x14ac:dyDescent="0.3">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931</v>
      </c>
    </row>
    <row r="67" spans="2:13" x14ac:dyDescent="0.3">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931</v>
      </c>
    </row>
    <row r="68" spans="2:13" x14ac:dyDescent="0.3">
      <c r="B68" s="35" t="s">
        <v>829</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931</v>
      </c>
    </row>
    <row r="69" spans="2:13" x14ac:dyDescent="0.3">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c r="M69" t="s">
        <v>931</v>
      </c>
    </row>
    <row r="70" spans="2:13" x14ac:dyDescent="0.3">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931</v>
      </c>
    </row>
    <row r="71" spans="2:13" x14ac:dyDescent="0.3">
      <c r="B71" s="35" t="s">
        <v>224</v>
      </c>
      <c r="C71" s="35" t="s">
        <v>225</v>
      </c>
      <c r="D71" s="71">
        <f t="shared" ref="D71:L71" si="17">D21-D46</f>
        <v>-153.68075152657093</v>
      </c>
      <c r="E71" s="71">
        <f t="shared" si="17"/>
        <v>-148.92382117801299</v>
      </c>
      <c r="F71" s="71">
        <f t="shared" si="17"/>
        <v>-147.29321163978057</v>
      </c>
      <c r="G71" s="71">
        <f t="shared" si="17"/>
        <v>-146.43184705771819</v>
      </c>
      <c r="H71" s="71">
        <f t="shared" si="17"/>
        <v>-145.57481390477642</v>
      </c>
      <c r="I71" s="71">
        <f t="shared" si="17"/>
        <v>-144.72208293581571</v>
      </c>
      <c r="J71" s="71">
        <f t="shared" si="17"/>
        <v>-143.87362501135431</v>
      </c>
      <c r="K71" s="71">
        <f t="shared" si="17"/>
        <v>-144.49387358203512</v>
      </c>
      <c r="L71" s="71">
        <f t="shared" si="17"/>
        <v>-145.11669700230868</v>
      </c>
    </row>
    <row r="72" spans="2:13" x14ac:dyDescent="0.3">
      <c r="B72" s="35" t="s">
        <v>226</v>
      </c>
      <c r="C72" s="35" t="s">
        <v>227</v>
      </c>
      <c r="D72" s="71">
        <f t="shared" ref="D72:L72" si="18">D22-D47</f>
        <v>-69.554449268075132</v>
      </c>
      <c r="E72" s="71">
        <f t="shared" si="18"/>
        <v>-70.470300015449084</v>
      </c>
      <c r="F72" s="71">
        <f t="shared" si="18"/>
        <v>-71.329969187846928</v>
      </c>
      <c r="G72" s="71">
        <f t="shared" si="18"/>
        <v>-72.240419800034488</v>
      </c>
      <c r="H72" s="71">
        <f t="shared" si="18"/>
        <v>-73.02629315712602</v>
      </c>
      <c r="I72" s="71">
        <f t="shared" si="18"/>
        <v>-73.769102731669591</v>
      </c>
      <c r="J72" s="71">
        <f t="shared" si="18"/>
        <v>-74.514633720974416</v>
      </c>
      <c r="K72" s="71">
        <f t="shared" si="18"/>
        <v>-75.271587563148842</v>
      </c>
      <c r="L72" s="71">
        <f t="shared" si="18"/>
        <v>-76.053980892829713</v>
      </c>
    </row>
    <row r="73" spans="2:13" x14ac:dyDescent="0.3">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
      <c r="B75" s="35" t="s">
        <v>1397</v>
      </c>
      <c r="C75" s="35" t="s">
        <v>1396</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
      <c r="B76" s="35"/>
      <c r="C76" s="35"/>
      <c r="D76" s="71"/>
      <c r="E76" s="71"/>
      <c r="F76" s="71"/>
      <c r="G76" s="71"/>
      <c r="H76" s="71"/>
      <c r="I76" s="71"/>
      <c r="J76" s="71"/>
      <c r="K76" s="71"/>
      <c r="L76" s="71"/>
    </row>
    <row r="78" spans="2:13" x14ac:dyDescent="0.3">
      <c r="B78" s="1563" t="s">
        <v>233</v>
      </c>
      <c r="C78" s="1563"/>
      <c r="D78" s="1563"/>
      <c r="E78" s="1563"/>
      <c r="F78" s="1563"/>
      <c r="G78" s="1563"/>
      <c r="H78" s="1563"/>
      <c r="I78" s="1563"/>
      <c r="J78" s="1563"/>
      <c r="K78" s="1563"/>
      <c r="L78" s="1563"/>
    </row>
    <row r="79" spans="2:13" x14ac:dyDescent="0.3">
      <c r="B79" t="s">
        <v>178</v>
      </c>
      <c r="C79" t="s">
        <v>179</v>
      </c>
      <c r="D79" t="s">
        <v>186</v>
      </c>
      <c r="E79" t="s">
        <v>187</v>
      </c>
      <c r="F79" t="s">
        <v>188</v>
      </c>
      <c r="G79" t="s">
        <v>189</v>
      </c>
      <c r="H79" t="s">
        <v>190</v>
      </c>
      <c r="I79" t="s">
        <v>191</v>
      </c>
      <c r="J79" t="s">
        <v>175</v>
      </c>
      <c r="K79" t="s">
        <v>176</v>
      </c>
      <c r="L79" t="s">
        <v>177</v>
      </c>
    </row>
    <row r="80" spans="2:13" x14ac:dyDescent="0.3">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3">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3">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
      <c r="B87" t="s">
        <v>205</v>
      </c>
      <c r="C87" t="s">
        <v>206</v>
      </c>
      <c r="D87" s="70">
        <f t="shared" ref="D87:L87" si="29">(D11/D36-1)</f>
        <v>1.3547304430935769E-2</v>
      </c>
      <c r="E87" s="70">
        <f t="shared" si="29"/>
        <v>0.16673773987206841</v>
      </c>
      <c r="F87" s="70">
        <f t="shared" si="29"/>
        <v>0.16673773987206841</v>
      </c>
      <c r="G87" s="70">
        <f t="shared" si="29"/>
        <v>0.16673773987206841</v>
      </c>
      <c r="H87" s="70">
        <f t="shared" si="29"/>
        <v>0.16673773987206841</v>
      </c>
      <c r="I87" s="70">
        <f t="shared" si="29"/>
        <v>0.16673773987206864</v>
      </c>
      <c r="J87" s="70">
        <f t="shared" si="29"/>
        <v>0.16673773987206886</v>
      </c>
      <c r="K87" s="70">
        <f t="shared" si="29"/>
        <v>0.16673773987206886</v>
      </c>
      <c r="L87" s="70">
        <f t="shared" si="29"/>
        <v>0.16673773987206886</v>
      </c>
    </row>
    <row r="88" spans="2:12" x14ac:dyDescent="0.3">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3">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3">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-1.0199628829751228E-3</v>
      </c>
      <c r="L90" s="70">
        <f t="shared" si="32"/>
        <v>-1.0199628829750118E-3</v>
      </c>
    </row>
    <row r="91" spans="2:12" x14ac:dyDescent="0.3">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3">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
      <c r="B97" t="s">
        <v>224</v>
      </c>
      <c r="C97" t="s">
        <v>225</v>
      </c>
      <c r="D97" s="70">
        <f t="shared" ref="D97:L97" si="39">(D21/D46-1)</f>
        <v>-3.4171167623378573E-2</v>
      </c>
      <c r="E97" s="70">
        <f t="shared" si="39"/>
        <v>-3.3143927893887315E-2</v>
      </c>
      <c r="F97" s="70">
        <f t="shared" si="39"/>
        <v>-3.2806962839512677E-2</v>
      </c>
      <c r="G97" s="70">
        <f t="shared" si="39"/>
        <v>-3.252287594311809E-2</v>
      </c>
      <c r="H97" s="70">
        <f t="shared" si="39"/>
        <v>-3.2274813986022832E-2</v>
      </c>
      <c r="I97" s="70">
        <f t="shared" si="39"/>
        <v>-3.2026314512825116E-2</v>
      </c>
      <c r="J97" s="70">
        <f t="shared" si="39"/>
        <v>-3.1777410519942983E-2</v>
      </c>
      <c r="K97" s="70">
        <f t="shared" si="39"/>
        <v>-3.1700988232221783E-2</v>
      </c>
      <c r="L97" s="70">
        <f t="shared" si="39"/>
        <v>-3.1624389462737268E-2</v>
      </c>
    </row>
    <row r="98" spans="2:12" x14ac:dyDescent="0.3">
      <c r="B98" t="s">
        <v>226</v>
      </c>
      <c r="C98" t="s">
        <v>227</v>
      </c>
      <c r="D98" s="70">
        <f t="shared" ref="D98:L98" si="40">(D22/D47-1)</f>
        <v>-3.1334298841481978E-2</v>
      </c>
      <c r="E98" s="70">
        <f t="shared" si="40"/>
        <v>-3.1396465510977745E-2</v>
      </c>
      <c r="F98" s="70">
        <f t="shared" si="40"/>
        <v>-3.1423995260026816E-2</v>
      </c>
      <c r="G98" s="70">
        <f t="shared" si="40"/>
        <v>-3.1471065994989611E-2</v>
      </c>
      <c r="H98" s="70">
        <f t="shared" si="40"/>
        <v>-3.1489402302846581E-2</v>
      </c>
      <c r="I98" s="70">
        <f t="shared" si="40"/>
        <v>-3.1499036762503652E-2</v>
      </c>
      <c r="J98" s="70">
        <f t="shared" si="40"/>
        <v>-3.1510856022327727E-2</v>
      </c>
      <c r="K98" s="70">
        <f t="shared" si="40"/>
        <v>-3.1514681913360154E-2</v>
      </c>
      <c r="L98" s="70">
        <f t="shared" si="40"/>
        <v>-3.1519316255802177E-2</v>
      </c>
    </row>
    <row r="99" spans="2:12" x14ac:dyDescent="0.3">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
      <c r="B101" s="35" t="s">
        <v>1397</v>
      </c>
      <c r="C101" s="35" t="s">
        <v>1396</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tabSelected="1" zoomScaleNormal="100" workbookViewId="0">
      <selection activeCell="B27" sqref="B27"/>
    </sheetView>
  </sheetViews>
  <sheetFormatPr defaultColWidth="11.44140625" defaultRowHeight="14.4" x14ac:dyDescent="0.3"/>
  <cols>
    <col min="1" max="1" width="41.21875" customWidth="1"/>
    <col min="2" max="2" width="23.44140625" customWidth="1"/>
    <col min="3" max="7" width="10.44140625" customWidth="1"/>
  </cols>
  <sheetData>
    <row r="1" spans="1:12" x14ac:dyDescent="0.3">
      <c r="A1" s="74" t="s">
        <v>178</v>
      </c>
      <c r="B1" s="74" t="s">
        <v>179</v>
      </c>
      <c r="C1" s="75" t="s">
        <v>186</v>
      </c>
      <c r="D1" s="75" t="s">
        <v>187</v>
      </c>
      <c r="E1" s="75" t="s">
        <v>188</v>
      </c>
      <c r="F1" s="75" t="s">
        <v>189</v>
      </c>
      <c r="G1" s="75" t="s">
        <v>190</v>
      </c>
      <c r="H1" s="75" t="s">
        <v>191</v>
      </c>
      <c r="I1" s="75" t="s">
        <v>175</v>
      </c>
      <c r="J1" s="75" t="s">
        <v>176</v>
      </c>
      <c r="K1" s="75" t="s">
        <v>177</v>
      </c>
      <c r="L1" s="74"/>
    </row>
    <row r="2" spans="1:12" x14ac:dyDescent="0.3">
      <c r="A2" t="s">
        <v>192</v>
      </c>
      <c r="B2" t="s">
        <v>193</v>
      </c>
      <c r="C2" s="71">
        <f>Grants!U108</f>
        <v>448.74654320000008</v>
      </c>
      <c r="D2" s="71">
        <f>Grants!V108</f>
        <v>509.15888270020872</v>
      </c>
      <c r="E2" s="71">
        <f>Grants!W108</f>
        <v>508.58759583602955</v>
      </c>
      <c r="F2" s="71">
        <f>Grants!X108</f>
        <v>509.55611433062063</v>
      </c>
      <c r="G2" s="71">
        <f>Grants!Y108</f>
        <v>498.76001866666672</v>
      </c>
      <c r="H2" s="71">
        <f>Grants!Z108</f>
        <v>479.51787724821708</v>
      </c>
      <c r="I2" s="71">
        <f>Grants!AA108</f>
        <v>484.60394742947074</v>
      </c>
      <c r="J2" s="71">
        <f>Grants!AB108</f>
        <v>489.9870852438454</v>
      </c>
      <c r="K2" s="71">
        <f>Grants!AC108</f>
        <v>473.79449993333344</v>
      </c>
      <c r="L2" s="71"/>
    </row>
    <row r="3" spans="1:12" x14ac:dyDescent="0.3">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
      <c r="A4" t="s">
        <v>195</v>
      </c>
      <c r="B4" t="s">
        <v>196</v>
      </c>
      <c r="C4" s="71">
        <f>'Federal and State Purchases'!U11</f>
        <v>1739.8</v>
      </c>
      <c r="D4" s="71">
        <f>'Federal and State Purchases'!V11</f>
        <v>1756.1312975285171</v>
      </c>
      <c r="E4" s="71">
        <f>'Federal and State Purchases'!W11</f>
        <v>1778.9744415399239</v>
      </c>
      <c r="F4" s="71">
        <f>'Federal and State Purchases'!X11</f>
        <v>1799.2335194866921</v>
      </c>
      <c r="G4" s="71">
        <f>'Federal and State Purchases'!Y11</f>
        <v>1817.3219819391636</v>
      </c>
      <c r="H4" s="71">
        <f>'Federal and State Purchases'!Z11</f>
        <v>1833.8600047528516</v>
      </c>
      <c r="I4" s="71">
        <f>'Federal and State Purchases'!AA11</f>
        <v>1850.6047528517108</v>
      </c>
      <c r="J4" s="71">
        <f>'Federal and State Purchases'!AB11</f>
        <v>1866.2125118821291</v>
      </c>
      <c r="K4" s="71">
        <f>'Federal and State Purchases'!AC11</f>
        <v>1880.1664686311785</v>
      </c>
      <c r="L4" s="71"/>
    </row>
    <row r="5" spans="1:12" x14ac:dyDescent="0.3">
      <c r="A5" t="s">
        <v>197</v>
      </c>
      <c r="B5" t="s">
        <v>198</v>
      </c>
      <c r="C5" s="71">
        <f>'Federal and State Purchases'!U34</f>
        <v>2906.3</v>
      </c>
      <c r="D5" s="71">
        <f>'Federal and State Purchases'!V34</f>
        <v>2938.9696941484776</v>
      </c>
      <c r="E5" s="71">
        <f>'Federal and State Purchases'!W34</f>
        <v>2976.9507189407263</v>
      </c>
      <c r="F5" s="71">
        <f>'Federal and State Purchases'!X34</f>
        <v>3009.3197717320099</v>
      </c>
      <c r="G5" s="71">
        <f>'Federal and State Purchases'!Y34</f>
        <v>3040.8871142374405</v>
      </c>
      <c r="H5" s="71">
        <f>'Federal and State Purchases'!Z34</f>
        <v>3069.0471880279993</v>
      </c>
      <c r="I5" s="71">
        <f>'Federal and State Purchases'!AA34</f>
        <v>3096.7061928899002</v>
      </c>
      <c r="J5" s="71">
        <f>'Federal and State Purchases'!AB34</f>
        <v>3124.2649839660703</v>
      </c>
      <c r="K5" s="71">
        <f>'Federal and State Purchases'!AC34</f>
        <v>3152.8259128995555</v>
      </c>
      <c r="L5" s="71"/>
    </row>
    <row r="6" spans="1:12" x14ac:dyDescent="0.3">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
      <c r="A9" t="s">
        <v>205</v>
      </c>
      <c r="B9" t="s">
        <v>206</v>
      </c>
      <c r="C9" s="71">
        <f>'Unemployment Insurance'!U20</f>
        <v>22.8</v>
      </c>
      <c r="D9" s="71">
        <f>'Unemployment Insurance'!V20</f>
        <v>29.959200000000003</v>
      </c>
      <c r="E9" s="71">
        <f>'Unemployment Insurance'!W20</f>
        <v>31.913485714285713</v>
      </c>
      <c r="F9" s="71">
        <f>'Unemployment Insurance'!X20</f>
        <v>33.314057142857138</v>
      </c>
      <c r="G9" s="71">
        <f>'Unemployment Insurance'!Y20</f>
        <v>33.216342857142855</v>
      </c>
      <c r="H9" s="71">
        <f>'Unemployment Insurance'!Z20</f>
        <v>32.200114285714285</v>
      </c>
      <c r="I9" s="71">
        <f>'Unemployment Insurance'!AA20</f>
        <v>31.652914285714289</v>
      </c>
      <c r="J9" s="71">
        <f>'Unemployment Insurance'!AB20</f>
        <v>31.262057142857149</v>
      </c>
      <c r="K9" s="71">
        <f>'Unemployment Insurance'!AC20</f>
        <v>31.112228571428574</v>
      </c>
      <c r="L9" s="71"/>
    </row>
    <row r="10" spans="1:12" x14ac:dyDescent="0.3">
      <c r="A10" s="35" t="s">
        <v>207</v>
      </c>
      <c r="B10" s="35" t="s">
        <v>208</v>
      </c>
      <c r="C10" s="71">
        <f>Medicaid!U28</f>
        <v>627.72799999999995</v>
      </c>
      <c r="D10" s="71">
        <f>Medicaid!V28</f>
        <v>600.94087022445149</v>
      </c>
      <c r="E10" s="71">
        <f>Medicaid!W28</f>
        <v>590.38143529167962</v>
      </c>
      <c r="F10" s="71">
        <f>Medicaid!X28</f>
        <v>582.0469888702919</v>
      </c>
      <c r="G10" s="71">
        <f>Medicaid!Y28</f>
        <v>574.26265620574009</v>
      </c>
      <c r="H10" s="71">
        <f>Medicaid!Z28</f>
        <v>566.58243169085847</v>
      </c>
      <c r="I10" s="71">
        <f>Medicaid!AA28</f>
        <v>559.00492297677215</v>
      </c>
      <c r="J10" s="71">
        <f>Medicaid!AB28</f>
        <v>547.80853606152414</v>
      </c>
      <c r="K10" s="71">
        <f>Medicaid!AC28</f>
        <v>540.48211059635548</v>
      </c>
      <c r="L10" s="71"/>
    </row>
    <row r="11" spans="1:12" x14ac:dyDescent="0.3">
      <c r="A11" s="35" t="s">
        <v>209</v>
      </c>
      <c r="B11" s="35" t="s">
        <v>210</v>
      </c>
      <c r="C11" s="71">
        <f>Medicaid!U26</f>
        <v>813.1</v>
      </c>
      <c r="D11" s="71">
        <f>Medicaid!V26</f>
        <v>815.38788361526656</v>
      </c>
      <c r="E11" s="71">
        <f>Medicaid!W26</f>
        <v>817.68220482915194</v>
      </c>
      <c r="F11" s="71">
        <f>Medicaid!X26</f>
        <v>806.74647211686954</v>
      </c>
      <c r="G11" s="71">
        <f>Medicaid!Y26</f>
        <v>795.95699457468652</v>
      </c>
      <c r="H11" s="71">
        <f>Medicaid!Z26</f>
        <v>785.31181617685274</v>
      </c>
      <c r="I11" s="71">
        <f>Medicaid!AA26</f>
        <v>774.80900705762838</v>
      </c>
      <c r="J11" s="71">
        <f>Medicaid!AB26</f>
        <v>764.44666316141809</v>
      </c>
      <c r="K11" s="71">
        <f>Medicaid!AC26</f>
        <v>754.22290589758461</v>
      </c>
      <c r="L11" s="71"/>
    </row>
    <row r="12" spans="1:12" x14ac:dyDescent="0.3">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1149.4760117984661</v>
      </c>
      <c r="K12" s="71">
        <f>Medicare!AC10</f>
        <v>1177.1941189570023</v>
      </c>
      <c r="L12" s="71"/>
    </row>
    <row r="13" spans="1:12" x14ac:dyDescent="0.3">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
      <c r="A16" t="s">
        <v>803</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
      <c r="A17" t="s">
        <v>220</v>
      </c>
      <c r="B17" t="s">
        <v>221</v>
      </c>
      <c r="C17" s="71">
        <f>'Social Benefits'!U27</f>
        <v>1988.674</v>
      </c>
      <c r="D17" s="71">
        <f>'Social Benefits'!V27</f>
        <v>2029.674</v>
      </c>
      <c r="E17" s="71">
        <f>'Social Benefits'!W27</f>
        <v>2036.674</v>
      </c>
      <c r="F17" s="71">
        <f>'Social Benefits'!X27</f>
        <v>2037.223</v>
      </c>
      <c r="G17" s="71">
        <f>'Social Benefits'!Y27</f>
        <v>2086.5698119999997</v>
      </c>
      <c r="H17" s="71">
        <f>'Social Benefits'!Z27</f>
        <v>2093.5698119999997</v>
      </c>
      <c r="I17" s="71">
        <f>'Social Benefits'!AA27</f>
        <v>2100.5698119999997</v>
      </c>
      <c r="J17" s="71">
        <f>'Social Benefits'!AB27</f>
        <v>2109.097812</v>
      </c>
      <c r="K17" s="71">
        <f>'Social Benefits'!AC27</f>
        <v>2145.5432441600001</v>
      </c>
      <c r="L17" s="71"/>
    </row>
    <row r="18" spans="1:12" x14ac:dyDescent="0.3">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
      <c r="A19" t="s">
        <v>224</v>
      </c>
      <c r="B19" t="s">
        <v>225</v>
      </c>
      <c r="C19" s="71">
        <f>Taxes!U9</f>
        <v>4343.7</v>
      </c>
      <c r="D19" s="71">
        <f>Taxes!V9</f>
        <v>4344.3221711136493</v>
      </c>
      <c r="E19" s="71">
        <f>Taxes!W9</f>
        <v>4342.4004049354362</v>
      </c>
      <c r="F19" s="71">
        <f>Taxes!X9</f>
        <v>4355.9943010426095</v>
      </c>
      <c r="G19" s="71">
        <f>Taxes!Y9</f>
        <v>4364.9024259584885</v>
      </c>
      <c r="H19" s="71">
        <f>Taxes!Z9</f>
        <v>4374.1270302789117</v>
      </c>
      <c r="I19" s="71">
        <f>Taxes!AA9</f>
        <v>4383.6703962694774</v>
      </c>
      <c r="J19" s="71">
        <f>Taxes!AB9</f>
        <v>4413.5303912630416</v>
      </c>
      <c r="K19" s="71">
        <f>Taxes!AC9</f>
        <v>4443.6421523439622</v>
      </c>
      <c r="L19" s="71"/>
    </row>
    <row r="20" spans="1:12" x14ac:dyDescent="0.3">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
      <c r="A23" s="35" t="s">
        <v>1397</v>
      </c>
      <c r="B23" t="s">
        <v>1396</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
      <c r="A24" s="72"/>
      <c r="C24" s="73"/>
      <c r="D24" s="73"/>
      <c r="E24" s="73"/>
      <c r="F24" s="73"/>
      <c r="G24" s="73"/>
      <c r="H24" s="73"/>
      <c r="I24" s="73"/>
      <c r="J24" s="73"/>
      <c r="K24" s="73"/>
    </row>
    <row r="25" spans="1:12" x14ac:dyDescent="0.3">
      <c r="A25" s="47"/>
      <c r="C25" s="73"/>
      <c r="D25" s="73"/>
      <c r="E25" s="73"/>
      <c r="F25" s="73"/>
      <c r="G25" s="73"/>
      <c r="H25" s="73"/>
      <c r="I25" s="73"/>
      <c r="J25" s="73"/>
      <c r="K25" s="73"/>
    </row>
    <row r="26" spans="1:12" x14ac:dyDescent="0.3">
      <c r="A26" s="47"/>
      <c r="C26" s="73"/>
      <c r="D26" s="73"/>
      <c r="E26" s="73"/>
      <c r="F26" s="73"/>
      <c r="G26" s="73"/>
      <c r="H26" s="73"/>
      <c r="I26" s="73"/>
      <c r="J26" s="73"/>
      <c r="K26" s="73"/>
    </row>
    <row r="27" spans="1:12" x14ac:dyDescent="0.3">
      <c r="A27" s="47"/>
      <c r="C27" s="73"/>
      <c r="D27" s="73"/>
      <c r="E27" s="73"/>
      <c r="F27" s="73"/>
      <c r="G27" s="73"/>
      <c r="H27" s="73"/>
      <c r="I27" s="73"/>
      <c r="J27" s="73"/>
      <c r="K27" s="73"/>
    </row>
    <row r="28" spans="1:12" x14ac:dyDescent="0.3">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13" zoomScaleNormal="100" workbookViewId="0">
      <selection activeCell="M40" sqref="M40"/>
    </sheetView>
  </sheetViews>
  <sheetFormatPr defaultColWidth="11.44140625" defaultRowHeight="14.4" x14ac:dyDescent="0.3"/>
  <cols>
    <col min="1" max="1" width="6.5546875" customWidth="1"/>
    <col min="2" max="2" width="65" customWidth="1"/>
    <col min="3" max="11" width="11.5546875" customWidth="1"/>
    <col min="12" max="12" width="18.21875" style="1171" customWidth="1"/>
  </cols>
  <sheetData>
    <row r="2" spans="1:16" ht="21" customHeight="1" x14ac:dyDescent="0.4">
      <c r="A2" s="1564" t="s">
        <v>1896</v>
      </c>
      <c r="B2" s="1564"/>
      <c r="C2" s="1564"/>
      <c r="D2" s="1564"/>
      <c r="E2" s="1564"/>
      <c r="F2" s="1564"/>
      <c r="G2" s="1564"/>
      <c r="H2" s="1564"/>
      <c r="I2" s="1564"/>
      <c r="J2" s="1564"/>
      <c r="K2" s="1131"/>
      <c r="L2" s="1512"/>
      <c r="M2" s="74"/>
      <c r="N2" s="74"/>
      <c r="O2" s="74"/>
      <c r="P2" s="74"/>
    </row>
    <row r="3" spans="1:16" x14ac:dyDescent="0.3">
      <c r="A3" s="1569" t="s">
        <v>891</v>
      </c>
      <c r="B3" s="1569"/>
      <c r="C3" s="1569"/>
      <c r="D3" s="1569"/>
      <c r="E3" s="1569"/>
      <c r="F3" s="1569"/>
      <c r="G3" s="1569"/>
      <c r="H3" s="1569"/>
      <c r="I3" s="1569"/>
      <c r="J3" s="1569"/>
      <c r="K3" s="1569"/>
      <c r="L3" s="1569"/>
      <c r="M3" s="1569"/>
      <c r="N3" s="1569"/>
      <c r="O3" s="1569"/>
      <c r="P3" s="1569"/>
    </row>
    <row r="4" spans="1:16" ht="15" customHeight="1" x14ac:dyDescent="0.3">
      <c r="A4" s="1570"/>
      <c r="B4" s="1570"/>
      <c r="C4" s="1570"/>
      <c r="D4" s="91"/>
      <c r="E4" s="91"/>
      <c r="F4" s="91"/>
      <c r="G4" s="91"/>
      <c r="H4" s="91"/>
      <c r="I4" s="91"/>
      <c r="J4" s="91"/>
      <c r="K4" s="1132"/>
    </row>
    <row r="5" spans="1:16" x14ac:dyDescent="0.3">
      <c r="A5" s="1577" t="s">
        <v>822</v>
      </c>
      <c r="B5" s="1584"/>
      <c r="C5" s="1587" t="s">
        <v>904</v>
      </c>
      <c r="D5" s="1587" t="s">
        <v>904</v>
      </c>
      <c r="E5" s="1587" t="s">
        <v>904</v>
      </c>
      <c r="F5" s="1587" t="s">
        <v>904</v>
      </c>
      <c r="G5" s="1587" t="s">
        <v>904</v>
      </c>
      <c r="H5" s="1587" t="s">
        <v>904</v>
      </c>
      <c r="I5" s="1587" t="s">
        <v>904</v>
      </c>
      <c r="J5" s="1588" t="s">
        <v>904</v>
      </c>
      <c r="K5" s="1494"/>
      <c r="L5" s="1216"/>
    </row>
    <row r="6" spans="1:16" x14ac:dyDescent="0.3">
      <c r="A6" s="1578" t="s">
        <v>822</v>
      </c>
      <c r="B6" s="1585"/>
      <c r="C6" s="1574">
        <v>2022</v>
      </c>
      <c r="D6" s="1575"/>
      <c r="E6" s="1575"/>
      <c r="F6" s="1575"/>
      <c r="G6" s="1575"/>
      <c r="H6" s="1576"/>
      <c r="I6" s="1571">
        <v>2023</v>
      </c>
      <c r="J6" s="1572">
        <v>2023</v>
      </c>
      <c r="K6" s="1573">
        <v>2023</v>
      </c>
      <c r="L6" s="1513"/>
    </row>
    <row r="7" spans="1:16" ht="32.4" customHeight="1" x14ac:dyDescent="0.3">
      <c r="A7" s="1579" t="s">
        <v>822</v>
      </c>
      <c r="B7" s="1586"/>
      <c r="C7" s="90" t="s">
        <v>1838</v>
      </c>
      <c r="D7" s="1496" t="s">
        <v>2231</v>
      </c>
      <c r="E7" s="1496" t="s">
        <v>2232</v>
      </c>
      <c r="F7" s="1496" t="s">
        <v>2233</v>
      </c>
      <c r="G7" s="1496" t="s">
        <v>2234</v>
      </c>
      <c r="H7" s="1496" t="s">
        <v>2235</v>
      </c>
      <c r="I7" s="1496" t="s">
        <v>905</v>
      </c>
      <c r="J7" s="1496" t="s">
        <v>906</v>
      </c>
      <c r="K7" s="1496" t="s">
        <v>2230</v>
      </c>
      <c r="L7" s="1514" t="s">
        <v>2236</v>
      </c>
    </row>
    <row r="8" spans="1:16" x14ac:dyDescent="0.3">
      <c r="A8" s="104">
        <v>1</v>
      </c>
      <c r="B8" s="60" t="s">
        <v>239</v>
      </c>
      <c r="C8" s="82">
        <v>21852.3</v>
      </c>
      <c r="D8" s="1507">
        <v>21975.8</v>
      </c>
      <c r="E8" s="1497">
        <v>22080.400000000001</v>
      </c>
      <c r="F8" s="1497">
        <v>22283</v>
      </c>
      <c r="G8" s="1497">
        <v>22375.9</v>
      </c>
      <c r="H8" s="1497">
        <v>22446.1</v>
      </c>
      <c r="I8" s="1497">
        <v>22575.599999999999</v>
      </c>
      <c r="J8" s="1497">
        <v>22649.1</v>
      </c>
      <c r="K8" s="1498">
        <v>22717</v>
      </c>
      <c r="L8" s="1515"/>
    </row>
    <row r="9" spans="1:16" x14ac:dyDescent="0.3">
      <c r="A9" s="105">
        <v>2</v>
      </c>
      <c r="B9" s="94" t="s">
        <v>1839</v>
      </c>
      <c r="C9" s="83">
        <v>13654.1</v>
      </c>
      <c r="D9" s="1508">
        <v>13754.9</v>
      </c>
      <c r="E9" s="1499">
        <v>13856.1</v>
      </c>
      <c r="F9" s="1499">
        <v>13921</v>
      </c>
      <c r="G9" s="1499">
        <v>13977.3</v>
      </c>
      <c r="H9" s="1499">
        <v>14019.4</v>
      </c>
      <c r="I9" s="1499">
        <v>14138.9</v>
      </c>
      <c r="J9" s="1499">
        <v>14178.7</v>
      </c>
      <c r="K9" s="1500">
        <v>14224.9</v>
      </c>
      <c r="L9" s="1515"/>
    </row>
    <row r="10" spans="1:16" x14ac:dyDescent="0.3">
      <c r="A10" s="105">
        <v>3</v>
      </c>
      <c r="B10" s="95" t="s">
        <v>1840</v>
      </c>
      <c r="C10" s="83">
        <v>11271.8</v>
      </c>
      <c r="D10" s="1508">
        <v>11360.7</v>
      </c>
      <c r="E10" s="1499">
        <v>11450.6</v>
      </c>
      <c r="F10" s="1499">
        <v>11506.8</v>
      </c>
      <c r="G10" s="1499">
        <v>11553.5</v>
      </c>
      <c r="H10" s="1499">
        <v>11587.7</v>
      </c>
      <c r="I10" s="1499">
        <v>11693.8</v>
      </c>
      <c r="J10" s="1499">
        <v>11726.8</v>
      </c>
      <c r="K10" s="1500">
        <v>11765.6</v>
      </c>
      <c r="L10" s="1515"/>
    </row>
    <row r="11" spans="1:16" x14ac:dyDescent="0.3">
      <c r="A11" s="105">
        <v>4</v>
      </c>
      <c r="B11" s="98" t="s">
        <v>1841</v>
      </c>
      <c r="C11" s="86">
        <v>9656.4</v>
      </c>
      <c r="D11" s="1509">
        <v>9735.9</v>
      </c>
      <c r="E11" s="1501">
        <v>9819.5</v>
      </c>
      <c r="F11" s="1501">
        <v>9872.2000000000007</v>
      </c>
      <c r="G11" s="1501">
        <v>9908.7000000000007</v>
      </c>
      <c r="H11" s="1501">
        <v>9937.2999999999993</v>
      </c>
      <c r="I11" s="1501">
        <v>10033.6</v>
      </c>
      <c r="J11" s="1501">
        <v>10059.700000000001</v>
      </c>
      <c r="K11" s="1502">
        <v>10091.799999999999</v>
      </c>
      <c r="L11" s="1515"/>
    </row>
    <row r="12" spans="1:16" x14ac:dyDescent="0.3">
      <c r="A12" s="105">
        <v>5</v>
      </c>
      <c r="B12" s="96" t="s">
        <v>1842</v>
      </c>
      <c r="C12" s="86">
        <v>1767.7</v>
      </c>
      <c r="D12" s="1509">
        <v>1780.1</v>
      </c>
      <c r="E12" s="1501">
        <v>1797.4</v>
      </c>
      <c r="F12" s="1501">
        <v>1807.9</v>
      </c>
      <c r="G12" s="1501">
        <v>1814.1</v>
      </c>
      <c r="H12" s="1501">
        <v>1814</v>
      </c>
      <c r="I12" s="1501">
        <v>1838</v>
      </c>
      <c r="J12" s="1501">
        <v>1837.4</v>
      </c>
      <c r="K12" s="1502">
        <v>1845.7</v>
      </c>
      <c r="L12" s="1515"/>
    </row>
    <row r="13" spans="1:16" x14ac:dyDescent="0.3">
      <c r="A13" s="105">
        <v>6</v>
      </c>
      <c r="B13" s="99" t="s">
        <v>1843</v>
      </c>
      <c r="C13" s="86">
        <v>1046.3</v>
      </c>
      <c r="D13" s="1509">
        <v>1054.4000000000001</v>
      </c>
      <c r="E13" s="1501">
        <v>1064.8</v>
      </c>
      <c r="F13" s="1501">
        <v>1070.5999999999999</v>
      </c>
      <c r="G13" s="1501">
        <v>1070.8</v>
      </c>
      <c r="H13" s="1501">
        <v>1065.2</v>
      </c>
      <c r="I13" s="1501">
        <v>1081.9000000000001</v>
      </c>
      <c r="J13" s="1501">
        <v>1078</v>
      </c>
      <c r="K13" s="1502">
        <v>1082.5</v>
      </c>
      <c r="L13" s="1515"/>
    </row>
    <row r="14" spans="1:16" x14ac:dyDescent="0.3">
      <c r="A14" s="105">
        <v>7</v>
      </c>
      <c r="B14" s="96" t="s">
        <v>1844</v>
      </c>
      <c r="C14" s="86">
        <v>7888.7</v>
      </c>
      <c r="D14" s="1509">
        <v>7955.8</v>
      </c>
      <c r="E14" s="1501">
        <v>8022.1</v>
      </c>
      <c r="F14" s="1501">
        <v>8064.3</v>
      </c>
      <c r="G14" s="1501">
        <v>8094.6</v>
      </c>
      <c r="H14" s="1501">
        <v>8123.3</v>
      </c>
      <c r="I14" s="1501">
        <v>8195.6</v>
      </c>
      <c r="J14" s="1501">
        <v>8222.4</v>
      </c>
      <c r="K14" s="1502">
        <v>8246.1</v>
      </c>
      <c r="L14" s="1515"/>
    </row>
    <row r="15" spans="1:16" x14ac:dyDescent="0.3">
      <c r="A15" s="105">
        <v>8</v>
      </c>
      <c r="B15" s="100" t="s">
        <v>1845</v>
      </c>
      <c r="C15" s="86">
        <v>1734</v>
      </c>
      <c r="D15" s="1509">
        <v>1748.4</v>
      </c>
      <c r="E15" s="1501">
        <v>1762.3</v>
      </c>
      <c r="F15" s="1501">
        <v>1775</v>
      </c>
      <c r="G15" s="1501">
        <v>1778.6</v>
      </c>
      <c r="H15" s="1501">
        <v>1780.5</v>
      </c>
      <c r="I15" s="1501">
        <v>1809.7</v>
      </c>
      <c r="J15" s="1501">
        <v>1813</v>
      </c>
      <c r="K15" s="1502">
        <v>1813.5</v>
      </c>
      <c r="L15" s="1515"/>
    </row>
    <row r="16" spans="1:16" x14ac:dyDescent="0.3">
      <c r="A16" s="105">
        <v>9</v>
      </c>
      <c r="B16" s="100" t="s">
        <v>1846</v>
      </c>
      <c r="C16" s="86">
        <v>6154.8</v>
      </c>
      <c r="D16" s="1509">
        <v>6207.4</v>
      </c>
      <c r="E16" s="1501">
        <v>6259.8</v>
      </c>
      <c r="F16" s="1501">
        <v>6289.2</v>
      </c>
      <c r="G16" s="1501">
        <v>6316</v>
      </c>
      <c r="H16" s="1501">
        <v>6342.8</v>
      </c>
      <c r="I16" s="1501">
        <v>6386</v>
      </c>
      <c r="J16" s="1501">
        <v>6409.4</v>
      </c>
      <c r="K16" s="1502">
        <v>6432.6</v>
      </c>
      <c r="L16" s="1515"/>
    </row>
    <row r="17" spans="1:14" ht="16.350000000000001" customHeight="1" x14ac:dyDescent="0.3">
      <c r="A17" s="105">
        <v>10</v>
      </c>
      <c r="B17" s="98" t="s">
        <v>1847</v>
      </c>
      <c r="C17" s="86">
        <v>1615.4</v>
      </c>
      <c r="D17" s="1509">
        <v>1624.8</v>
      </c>
      <c r="E17" s="1501">
        <v>1631.1</v>
      </c>
      <c r="F17" s="1501">
        <v>1634.6</v>
      </c>
      <c r="G17" s="1501">
        <v>1644.8</v>
      </c>
      <c r="H17" s="1501">
        <v>1650.4</v>
      </c>
      <c r="I17" s="1501">
        <v>1660.2</v>
      </c>
      <c r="J17" s="1501">
        <v>1667.1</v>
      </c>
      <c r="K17" s="1502">
        <v>1673.8</v>
      </c>
      <c r="L17" s="1515"/>
    </row>
    <row r="18" spans="1:14" ht="16.350000000000001" customHeight="1" x14ac:dyDescent="0.3">
      <c r="A18" s="105">
        <v>11</v>
      </c>
      <c r="B18" s="95" t="s">
        <v>1848</v>
      </c>
      <c r="C18" s="83">
        <v>2382.3000000000002</v>
      </c>
      <c r="D18" s="1508">
        <v>2394.1</v>
      </c>
      <c r="E18" s="1499">
        <v>2405.5</v>
      </c>
      <c r="F18" s="1499">
        <v>2414.3000000000002</v>
      </c>
      <c r="G18" s="1499">
        <v>2423.8000000000002</v>
      </c>
      <c r="H18" s="1499">
        <v>2431.6999999999998</v>
      </c>
      <c r="I18" s="1499">
        <v>2445.1</v>
      </c>
      <c r="J18" s="1499">
        <v>2451.9</v>
      </c>
      <c r="K18" s="1500">
        <v>2459.3000000000002</v>
      </c>
      <c r="L18" s="1515"/>
    </row>
    <row r="19" spans="1:14" ht="16.5" customHeight="1" x14ac:dyDescent="0.3">
      <c r="A19" s="106">
        <v>12</v>
      </c>
      <c r="B19" s="93" t="s">
        <v>1849</v>
      </c>
      <c r="C19" s="86">
        <v>1614.2</v>
      </c>
      <c r="D19" s="1509">
        <v>1620.2</v>
      </c>
      <c r="E19" s="1501">
        <v>1625.6</v>
      </c>
      <c r="F19" s="1501">
        <v>1630.6</v>
      </c>
      <c r="G19" s="1501">
        <v>1637.1</v>
      </c>
      <c r="H19" s="1501">
        <v>1642.9</v>
      </c>
      <c r="I19" s="1501">
        <v>1647</v>
      </c>
      <c r="J19" s="1501">
        <v>1651.9</v>
      </c>
      <c r="K19" s="1502">
        <v>1657</v>
      </c>
      <c r="L19" s="1515"/>
    </row>
    <row r="20" spans="1:14" x14ac:dyDescent="0.3">
      <c r="A20" s="106">
        <v>13</v>
      </c>
      <c r="B20" s="102" t="s">
        <v>1850</v>
      </c>
      <c r="C20" s="86">
        <v>768.1</v>
      </c>
      <c r="D20" s="1509">
        <v>774</v>
      </c>
      <c r="E20" s="1501">
        <v>779.9</v>
      </c>
      <c r="F20" s="1501">
        <v>783.7</v>
      </c>
      <c r="G20" s="1501">
        <v>786.7</v>
      </c>
      <c r="H20" s="1501">
        <v>788.8</v>
      </c>
      <c r="I20" s="1501">
        <v>798</v>
      </c>
      <c r="J20" s="1501">
        <v>800</v>
      </c>
      <c r="K20" s="1502">
        <v>802.3</v>
      </c>
      <c r="L20" s="1515"/>
    </row>
    <row r="21" spans="1:14" ht="16.350000000000001" customHeight="1" x14ac:dyDescent="0.3">
      <c r="A21" s="106">
        <v>14</v>
      </c>
      <c r="B21" s="101" t="s">
        <v>1851</v>
      </c>
      <c r="C21" s="83">
        <v>1846.5</v>
      </c>
      <c r="D21" s="1508">
        <v>1869.7</v>
      </c>
      <c r="E21" s="1499">
        <v>1874.4</v>
      </c>
      <c r="F21" s="1499">
        <v>1877.2</v>
      </c>
      <c r="G21" s="1499">
        <v>1882.7</v>
      </c>
      <c r="H21" s="1499">
        <v>1888.6</v>
      </c>
      <c r="I21" s="1499">
        <v>1890.7</v>
      </c>
      <c r="J21" s="1499">
        <v>1887</v>
      </c>
      <c r="K21" s="1500">
        <v>1884.6</v>
      </c>
      <c r="L21" s="1515"/>
    </row>
    <row r="22" spans="1:14" x14ac:dyDescent="0.3">
      <c r="A22" s="105">
        <v>15</v>
      </c>
      <c r="B22" s="58" t="s">
        <v>1852</v>
      </c>
      <c r="C22" s="86">
        <v>94.8</v>
      </c>
      <c r="D22" s="1509">
        <v>95.9</v>
      </c>
      <c r="E22" s="1501">
        <v>97.1</v>
      </c>
      <c r="F22" s="1501">
        <v>99</v>
      </c>
      <c r="G22" s="1501">
        <v>100.9</v>
      </c>
      <c r="H22" s="1501">
        <v>102.8</v>
      </c>
      <c r="I22" s="1501">
        <v>99</v>
      </c>
      <c r="J22" s="1501">
        <v>95.3</v>
      </c>
      <c r="K22" s="1502">
        <v>91.5</v>
      </c>
      <c r="L22" s="1515"/>
    </row>
    <row r="23" spans="1:14" x14ac:dyDescent="0.3">
      <c r="A23" s="105">
        <v>16</v>
      </c>
      <c r="B23" s="58" t="s">
        <v>1853</v>
      </c>
      <c r="C23" s="86">
        <v>1751.7</v>
      </c>
      <c r="D23" s="1509">
        <v>1773.7</v>
      </c>
      <c r="E23" s="1501">
        <v>1777.4</v>
      </c>
      <c r="F23" s="1501">
        <v>1778.3</v>
      </c>
      <c r="G23" s="1501">
        <v>1781.9</v>
      </c>
      <c r="H23" s="1501">
        <v>1785.8</v>
      </c>
      <c r="I23" s="1501">
        <v>1791.7</v>
      </c>
      <c r="J23" s="1501">
        <v>1791.7</v>
      </c>
      <c r="K23" s="1502">
        <v>1793.1</v>
      </c>
      <c r="L23" s="1515"/>
    </row>
    <row r="24" spans="1:14" x14ac:dyDescent="0.3">
      <c r="A24" s="106">
        <v>17</v>
      </c>
      <c r="B24" s="101" t="s">
        <v>1854</v>
      </c>
      <c r="C24" s="83">
        <v>792.9</v>
      </c>
      <c r="D24" s="1508">
        <v>794.9</v>
      </c>
      <c r="E24" s="1499">
        <v>797</v>
      </c>
      <c r="F24" s="1499">
        <v>804.7</v>
      </c>
      <c r="G24" s="1499">
        <v>810.6</v>
      </c>
      <c r="H24" s="1499">
        <v>820</v>
      </c>
      <c r="I24" s="1499">
        <v>830.1</v>
      </c>
      <c r="J24" s="1499">
        <v>841.5</v>
      </c>
      <c r="K24" s="1500">
        <v>853.4</v>
      </c>
      <c r="L24" s="1515"/>
    </row>
    <row r="25" spans="1:14" x14ac:dyDescent="0.3">
      <c r="A25" s="105">
        <v>18</v>
      </c>
      <c r="B25" s="94" t="s">
        <v>1855</v>
      </c>
      <c r="C25" s="83">
        <v>3350.6</v>
      </c>
      <c r="D25" s="1508">
        <v>3358.1</v>
      </c>
      <c r="E25" s="1499">
        <v>3367.7</v>
      </c>
      <c r="F25" s="1499">
        <v>3413.8</v>
      </c>
      <c r="G25" s="1499">
        <v>3424.7</v>
      </c>
      <c r="H25" s="1499">
        <v>3433.5</v>
      </c>
      <c r="I25" s="1499">
        <v>3445.4</v>
      </c>
      <c r="J25" s="1499">
        <v>3449.2</v>
      </c>
      <c r="K25" s="1500">
        <v>3467.6</v>
      </c>
      <c r="L25" s="1515"/>
    </row>
    <row r="26" spans="1:14" x14ac:dyDescent="0.3">
      <c r="A26" s="105">
        <v>19</v>
      </c>
      <c r="B26" s="58" t="s">
        <v>1856</v>
      </c>
      <c r="C26" s="86">
        <v>1731.1</v>
      </c>
      <c r="D26" s="1509">
        <v>1738</v>
      </c>
      <c r="E26" s="1501">
        <v>1745.2</v>
      </c>
      <c r="F26" s="1501">
        <v>1766.6</v>
      </c>
      <c r="G26" s="1501">
        <v>1788.7</v>
      </c>
      <c r="H26" s="1501">
        <v>1811.6</v>
      </c>
      <c r="I26" s="1501">
        <v>1810.1</v>
      </c>
      <c r="J26" s="1501">
        <v>1808.3</v>
      </c>
      <c r="K26" s="1502">
        <v>1806.1</v>
      </c>
      <c r="L26" s="1515"/>
    </row>
    <row r="27" spans="1:14" x14ac:dyDescent="0.3">
      <c r="A27" s="105">
        <v>20</v>
      </c>
      <c r="B27" s="58" t="s">
        <v>1857</v>
      </c>
      <c r="C27" s="86">
        <v>1619.5</v>
      </c>
      <c r="D27" s="1509">
        <v>1620.1</v>
      </c>
      <c r="E27" s="1501">
        <v>1622.6</v>
      </c>
      <c r="F27" s="1501">
        <v>1647.2</v>
      </c>
      <c r="G27" s="1501">
        <v>1636</v>
      </c>
      <c r="H27" s="1501">
        <v>1622</v>
      </c>
      <c r="I27" s="1501">
        <v>1635.3</v>
      </c>
      <c r="J27" s="1501">
        <v>1640.9</v>
      </c>
      <c r="K27" s="1502">
        <v>1661.5</v>
      </c>
      <c r="L27" s="1515"/>
    </row>
    <row r="28" spans="1:14" x14ac:dyDescent="0.3">
      <c r="A28" s="105">
        <v>21</v>
      </c>
      <c r="B28" s="94" t="s">
        <v>1858</v>
      </c>
      <c r="C28" s="83">
        <v>3891.7</v>
      </c>
      <c r="D28" s="1508">
        <v>3893.9</v>
      </c>
      <c r="E28" s="1499">
        <v>3892.9</v>
      </c>
      <c r="F28" s="1499">
        <v>3981.6</v>
      </c>
      <c r="G28" s="1499">
        <v>4002.2</v>
      </c>
      <c r="H28" s="1499">
        <v>4010.8</v>
      </c>
      <c r="I28" s="1499">
        <v>4020.5</v>
      </c>
      <c r="J28" s="1499">
        <v>4046.9</v>
      </c>
      <c r="K28" s="1500">
        <v>4045.6</v>
      </c>
      <c r="L28" s="1515"/>
    </row>
    <row r="29" spans="1:14" x14ac:dyDescent="0.3">
      <c r="A29" s="105">
        <v>22</v>
      </c>
      <c r="B29" s="58" t="s">
        <v>1859</v>
      </c>
      <c r="C29" s="86">
        <v>3821.1</v>
      </c>
      <c r="D29" s="1509">
        <v>3824.5</v>
      </c>
      <c r="E29" s="1501">
        <v>3823.5</v>
      </c>
      <c r="F29" s="1501">
        <v>3912.2</v>
      </c>
      <c r="G29" s="1501">
        <v>3932.8</v>
      </c>
      <c r="H29" s="1501">
        <v>3941.2</v>
      </c>
      <c r="I29" s="1501">
        <v>3949.5</v>
      </c>
      <c r="J29" s="1501">
        <v>3975.6</v>
      </c>
      <c r="K29" s="1502">
        <v>3974</v>
      </c>
      <c r="L29" s="1515"/>
      <c r="M29" s="80"/>
      <c r="N29" s="108"/>
    </row>
    <row r="30" spans="1:14" s="1779" customFormat="1" ht="16.5" customHeight="1" x14ac:dyDescent="0.3">
      <c r="A30" s="1772">
        <v>23</v>
      </c>
      <c r="B30" s="1773" t="s">
        <v>1860</v>
      </c>
      <c r="C30" s="1774">
        <v>1211.0999999999999</v>
      </c>
      <c r="D30" s="1775">
        <v>1215.9000000000001</v>
      </c>
      <c r="E30" s="1776">
        <v>1216.9000000000001</v>
      </c>
      <c r="F30" s="1776">
        <v>1229.0999999999999</v>
      </c>
      <c r="G30" s="1776">
        <v>1224.3</v>
      </c>
      <c r="H30" s="1776">
        <v>1223.5999999999999</v>
      </c>
      <c r="I30" s="1776">
        <v>1335.7</v>
      </c>
      <c r="J30" s="1776">
        <v>1340.5</v>
      </c>
      <c r="K30" s="1777">
        <v>1339.9</v>
      </c>
      <c r="L30" s="1778">
        <f>'Social Benefits'!V88</f>
        <v>1346.68</v>
      </c>
    </row>
    <row r="31" spans="1:14" s="1779" customFormat="1" ht="16.350000000000001" customHeight="1" x14ac:dyDescent="0.3">
      <c r="A31" s="1772">
        <v>24</v>
      </c>
      <c r="B31" s="1773" t="s">
        <v>1861</v>
      </c>
      <c r="C31" s="1774">
        <v>914.1</v>
      </c>
      <c r="D31" s="1775">
        <v>920.1</v>
      </c>
      <c r="E31" s="1776">
        <v>926.7</v>
      </c>
      <c r="F31" s="1776">
        <v>933.8</v>
      </c>
      <c r="G31" s="1776">
        <v>941.5</v>
      </c>
      <c r="H31" s="1776">
        <v>949.7</v>
      </c>
      <c r="I31" s="1776">
        <v>958.4</v>
      </c>
      <c r="J31" s="1776">
        <v>966.6</v>
      </c>
      <c r="K31" s="1777">
        <v>974.4</v>
      </c>
      <c r="L31" s="1780">
        <f>Medicare!V10</f>
        <v>993.07136024365218</v>
      </c>
    </row>
    <row r="32" spans="1:14" s="1779" customFormat="1" x14ac:dyDescent="0.3">
      <c r="A32" s="1772">
        <v>25</v>
      </c>
      <c r="B32" s="1773" t="s">
        <v>54</v>
      </c>
      <c r="C32" s="1774">
        <v>790.3</v>
      </c>
      <c r="D32" s="1775">
        <v>785.3</v>
      </c>
      <c r="E32" s="1776">
        <v>782.8</v>
      </c>
      <c r="F32" s="1776">
        <v>791.2</v>
      </c>
      <c r="G32" s="1776">
        <v>796.9</v>
      </c>
      <c r="H32" s="1776">
        <v>800.6</v>
      </c>
      <c r="I32" s="1776">
        <v>808.2</v>
      </c>
      <c r="J32" s="1776">
        <v>813.5</v>
      </c>
      <c r="K32" s="1777">
        <v>817.6</v>
      </c>
      <c r="L32" s="1789">
        <f>forecast!C11</f>
        <v>813.1</v>
      </c>
      <c r="M32" s="1781"/>
      <c r="N32" s="1782"/>
    </row>
    <row r="33" spans="1:14" s="1779" customFormat="1" x14ac:dyDescent="0.3">
      <c r="A33" s="1772">
        <v>26</v>
      </c>
      <c r="B33" s="1773" t="s">
        <v>263</v>
      </c>
      <c r="C33" s="1774">
        <v>18.7</v>
      </c>
      <c r="D33" s="1775">
        <v>18.899999999999999</v>
      </c>
      <c r="E33" s="1776">
        <v>18</v>
      </c>
      <c r="F33" s="1776">
        <v>18.899999999999999</v>
      </c>
      <c r="G33" s="1776">
        <v>20.6</v>
      </c>
      <c r="H33" s="1776">
        <v>21.6</v>
      </c>
      <c r="I33" s="1776">
        <v>21.9</v>
      </c>
      <c r="J33" s="1776">
        <v>22.8</v>
      </c>
      <c r="K33" s="1777">
        <v>23.6</v>
      </c>
      <c r="L33" s="1780">
        <f>forecast!C9+forecast!C8</f>
        <v>22.8</v>
      </c>
      <c r="M33" s="1781"/>
      <c r="N33" s="1782"/>
    </row>
    <row r="34" spans="1:14" ht="16.350000000000001" customHeight="1" x14ac:dyDescent="0.3">
      <c r="A34" s="105">
        <v>27</v>
      </c>
      <c r="B34" s="98" t="s">
        <v>1862</v>
      </c>
      <c r="C34" s="86">
        <v>161.1</v>
      </c>
      <c r="D34" s="1509">
        <v>161.6</v>
      </c>
      <c r="E34" s="1501">
        <v>162.5</v>
      </c>
      <c r="F34" s="1501">
        <v>163.19999999999999</v>
      </c>
      <c r="G34" s="1501">
        <v>164</v>
      </c>
      <c r="H34" s="1501">
        <v>164.8</v>
      </c>
      <c r="I34" s="1501">
        <v>165.5</v>
      </c>
      <c r="J34" s="1501">
        <v>166.4</v>
      </c>
      <c r="K34" s="1502">
        <v>167.2</v>
      </c>
      <c r="L34" s="1515"/>
    </row>
    <row r="35" spans="1:14" x14ac:dyDescent="0.3">
      <c r="A35" s="105">
        <v>28</v>
      </c>
      <c r="B35" s="98" t="s">
        <v>538</v>
      </c>
      <c r="C35" s="86">
        <v>725.8</v>
      </c>
      <c r="D35" s="1509">
        <v>722.7</v>
      </c>
      <c r="E35" s="1501">
        <v>716.6</v>
      </c>
      <c r="F35" s="1501">
        <v>776</v>
      </c>
      <c r="G35" s="1501">
        <v>785.4</v>
      </c>
      <c r="H35" s="1501">
        <v>780.9</v>
      </c>
      <c r="I35" s="1501">
        <v>659.8</v>
      </c>
      <c r="J35" s="1501">
        <v>665.9</v>
      </c>
      <c r="K35" s="1502">
        <v>651.5</v>
      </c>
      <c r="L35" s="1515"/>
    </row>
    <row r="36" spans="1:14" x14ac:dyDescent="0.3">
      <c r="A36" s="105">
        <v>29</v>
      </c>
      <c r="B36" s="97" t="s">
        <v>1863</v>
      </c>
      <c r="C36" s="86">
        <v>70.7</v>
      </c>
      <c r="D36" s="1509">
        <v>69.400000000000006</v>
      </c>
      <c r="E36" s="1501">
        <v>69.400000000000006</v>
      </c>
      <c r="F36" s="1501">
        <v>69.400000000000006</v>
      </c>
      <c r="G36" s="1501">
        <v>69.5</v>
      </c>
      <c r="H36" s="1501">
        <v>69.599999999999994</v>
      </c>
      <c r="I36" s="1501">
        <v>71</v>
      </c>
      <c r="J36" s="1501">
        <v>71.3</v>
      </c>
      <c r="K36" s="1502">
        <v>71.599999999999994</v>
      </c>
      <c r="L36" s="1515"/>
    </row>
    <row r="37" spans="1:14" s="1779" customFormat="1" x14ac:dyDescent="0.3">
      <c r="A37" s="1772">
        <v>30</v>
      </c>
      <c r="B37" s="1783" t="s">
        <v>1864</v>
      </c>
      <c r="C37" s="1784">
        <v>1683.6</v>
      </c>
      <c r="D37" s="1785">
        <v>1695.6</v>
      </c>
      <c r="E37" s="1786">
        <v>1707.7</v>
      </c>
      <c r="F37" s="1786">
        <v>1715.4</v>
      </c>
      <c r="G37" s="1786">
        <v>1721.7</v>
      </c>
      <c r="H37" s="1786">
        <v>1726.3</v>
      </c>
      <c r="I37" s="1786">
        <v>1749.9</v>
      </c>
      <c r="J37" s="1786">
        <v>1754.2</v>
      </c>
      <c r="K37" s="1787">
        <v>1759.2</v>
      </c>
      <c r="L37" s="1790">
        <f>Taxes!V13+Taxes!V26</f>
        <v>1783.5369491928343</v>
      </c>
    </row>
    <row r="38" spans="1:14" s="1779" customFormat="1" x14ac:dyDescent="0.3">
      <c r="A38" s="1772">
        <v>31</v>
      </c>
      <c r="B38" s="1788" t="s">
        <v>242</v>
      </c>
      <c r="C38" s="1784">
        <v>3224.2</v>
      </c>
      <c r="D38" s="1785">
        <v>3236.7</v>
      </c>
      <c r="E38" s="1786">
        <v>3248.6</v>
      </c>
      <c r="F38" s="1786">
        <v>3244.8</v>
      </c>
      <c r="G38" s="1786">
        <v>3231.8</v>
      </c>
      <c r="H38" s="1786">
        <v>3220.3</v>
      </c>
      <c r="I38" s="1786">
        <v>2952.3</v>
      </c>
      <c r="J38" s="1786">
        <v>2935.7</v>
      </c>
      <c r="K38" s="1787">
        <v>2931.9</v>
      </c>
      <c r="L38" s="1790">
        <f>Taxes!V10+Taxes!V25</f>
        <v>2921.3010603319071</v>
      </c>
    </row>
    <row r="39" spans="1:14" x14ac:dyDescent="0.3">
      <c r="A39" s="105">
        <v>32</v>
      </c>
      <c r="B39" s="60" t="s">
        <v>1865</v>
      </c>
      <c r="C39" s="83">
        <v>18628.099999999999</v>
      </c>
      <c r="D39" s="1508">
        <v>18739.099999999999</v>
      </c>
      <c r="E39" s="1499">
        <v>18831.7</v>
      </c>
      <c r="F39" s="1499">
        <v>19038.2</v>
      </c>
      <c r="G39" s="1499">
        <v>19144.099999999999</v>
      </c>
      <c r="H39" s="1499">
        <v>19225.7</v>
      </c>
      <c r="I39" s="1499">
        <v>19623.3</v>
      </c>
      <c r="J39" s="1499">
        <v>19713.3</v>
      </c>
      <c r="K39" s="1500">
        <v>19785.099999999999</v>
      </c>
      <c r="L39" s="1515"/>
    </row>
    <row r="40" spans="1:14" x14ac:dyDescent="0.3">
      <c r="A40" s="105">
        <v>33</v>
      </c>
      <c r="B40" s="60" t="s">
        <v>243</v>
      </c>
      <c r="C40" s="83">
        <v>17983.400000000001</v>
      </c>
      <c r="D40" s="1508">
        <v>18132.7</v>
      </c>
      <c r="E40" s="1499">
        <v>18257.400000000001</v>
      </c>
      <c r="F40" s="1499">
        <v>18391.8</v>
      </c>
      <c r="G40" s="1499">
        <v>18362.3</v>
      </c>
      <c r="H40" s="1499">
        <v>18377.400000000001</v>
      </c>
      <c r="I40" s="1499">
        <v>18738.2</v>
      </c>
      <c r="J40" s="1499">
        <v>18761.7</v>
      </c>
      <c r="K40" s="1500">
        <v>18783.2</v>
      </c>
      <c r="L40" s="1515"/>
    </row>
    <row r="41" spans="1:14" x14ac:dyDescent="0.3">
      <c r="A41" s="105">
        <v>34</v>
      </c>
      <c r="B41" s="103" t="s">
        <v>1729</v>
      </c>
      <c r="C41" s="86">
        <v>17420.3</v>
      </c>
      <c r="D41" s="1509">
        <v>17550.900000000001</v>
      </c>
      <c r="E41" s="1501">
        <v>17656.8</v>
      </c>
      <c r="F41" s="1501">
        <v>17778.2</v>
      </c>
      <c r="G41" s="1501">
        <v>17735</v>
      </c>
      <c r="H41" s="1501">
        <v>17736.5</v>
      </c>
      <c r="I41" s="1501">
        <v>18085.8</v>
      </c>
      <c r="J41" s="1501">
        <v>18096</v>
      </c>
      <c r="K41" s="1502">
        <v>18104.2</v>
      </c>
      <c r="L41" s="1515"/>
    </row>
    <row r="42" spans="1:14" ht="16.350000000000001" customHeight="1" x14ac:dyDescent="0.3">
      <c r="A42" s="105">
        <v>35</v>
      </c>
      <c r="B42" s="58" t="s">
        <v>1770</v>
      </c>
      <c r="C42" s="86">
        <v>5988.2</v>
      </c>
      <c r="D42" s="1509">
        <v>5981.9</v>
      </c>
      <c r="E42" s="1501">
        <v>5995.6</v>
      </c>
      <c r="F42" s="1501">
        <v>6064.4</v>
      </c>
      <c r="G42" s="1501">
        <v>5974.1</v>
      </c>
      <c r="H42" s="1501">
        <v>5901.5</v>
      </c>
      <c r="I42" s="1501">
        <v>6105.8</v>
      </c>
      <c r="J42" s="1501">
        <v>6094.2</v>
      </c>
      <c r="K42" s="1502">
        <v>6057.5</v>
      </c>
      <c r="L42" s="1516"/>
      <c r="M42" s="80"/>
      <c r="N42" s="108"/>
    </row>
    <row r="43" spans="1:14" ht="16.350000000000001" customHeight="1" x14ac:dyDescent="0.3">
      <c r="A43" s="105">
        <v>36</v>
      </c>
      <c r="B43" s="98" t="s">
        <v>1866</v>
      </c>
      <c r="C43" s="86">
        <v>2189.5</v>
      </c>
      <c r="D43" s="1509">
        <v>2197.8000000000002</v>
      </c>
      <c r="E43" s="1501">
        <v>2200.1999999999998</v>
      </c>
      <c r="F43" s="1501">
        <v>2238.9</v>
      </c>
      <c r="G43" s="1501">
        <v>2167.3000000000002</v>
      </c>
      <c r="H43" s="1501">
        <v>2134.9</v>
      </c>
      <c r="I43" s="1501">
        <v>2290.9</v>
      </c>
      <c r="J43" s="1501">
        <v>2257.6</v>
      </c>
      <c r="K43" s="1502">
        <v>2237.6</v>
      </c>
      <c r="L43" s="1515"/>
      <c r="M43" s="80"/>
      <c r="N43" s="108"/>
    </row>
    <row r="44" spans="1:14" ht="16.350000000000001" customHeight="1" x14ac:dyDescent="0.3">
      <c r="A44" s="105">
        <v>37</v>
      </c>
      <c r="B44" s="98" t="s">
        <v>1867</v>
      </c>
      <c r="C44" s="86">
        <v>3798.7</v>
      </c>
      <c r="D44" s="1509">
        <v>3784.1</v>
      </c>
      <c r="E44" s="1501">
        <v>3795.4</v>
      </c>
      <c r="F44" s="1501">
        <v>3825.6</v>
      </c>
      <c r="G44" s="1501">
        <v>3806.8</v>
      </c>
      <c r="H44" s="1501">
        <v>3766.5</v>
      </c>
      <c r="I44" s="1501">
        <v>3814.9</v>
      </c>
      <c r="J44" s="1501">
        <v>3836.7</v>
      </c>
      <c r="K44" s="1502">
        <v>3820</v>
      </c>
      <c r="L44" s="1515"/>
      <c r="M44" s="80"/>
      <c r="N44" s="108"/>
    </row>
    <row r="45" spans="1:14" ht="16.350000000000001" customHeight="1" x14ac:dyDescent="0.3">
      <c r="A45" s="105">
        <v>38</v>
      </c>
      <c r="B45" s="58" t="s">
        <v>1776</v>
      </c>
      <c r="C45" s="86">
        <v>11432.1</v>
      </c>
      <c r="D45" s="1509">
        <v>11568.9</v>
      </c>
      <c r="E45" s="1501">
        <v>11661.2</v>
      </c>
      <c r="F45" s="1501">
        <v>11713.7</v>
      </c>
      <c r="G45" s="1501">
        <v>11760.9</v>
      </c>
      <c r="H45" s="1501">
        <v>11835</v>
      </c>
      <c r="I45" s="1501">
        <v>11980</v>
      </c>
      <c r="J45" s="1501">
        <v>12001.7</v>
      </c>
      <c r="K45" s="1502">
        <v>12046.6</v>
      </c>
      <c r="L45" s="1515"/>
      <c r="M45" s="80"/>
      <c r="N45" s="108"/>
    </row>
    <row r="46" spans="1:14" ht="16.350000000000001" customHeight="1" x14ac:dyDescent="0.3">
      <c r="A46" s="105">
        <v>39</v>
      </c>
      <c r="B46" s="103" t="s">
        <v>1868</v>
      </c>
      <c r="C46" s="86">
        <v>338.7</v>
      </c>
      <c r="D46" s="1509">
        <v>357.1</v>
      </c>
      <c r="E46" s="1501">
        <v>375.6</v>
      </c>
      <c r="F46" s="1501">
        <v>389.1</v>
      </c>
      <c r="G46" s="1501">
        <v>402.6</v>
      </c>
      <c r="H46" s="1501">
        <v>416.1</v>
      </c>
      <c r="I46" s="1501">
        <v>429.1</v>
      </c>
      <c r="J46" s="1501">
        <v>442.1</v>
      </c>
      <c r="K46" s="1502">
        <v>455.1</v>
      </c>
      <c r="L46" s="1516"/>
      <c r="M46" s="80"/>
      <c r="N46" s="108"/>
    </row>
    <row r="47" spans="1:14" x14ac:dyDescent="0.3">
      <c r="A47" s="105">
        <v>40</v>
      </c>
      <c r="B47" s="103" t="s">
        <v>1869</v>
      </c>
      <c r="C47" s="86">
        <v>224.4</v>
      </c>
      <c r="D47" s="1509">
        <v>224.7</v>
      </c>
      <c r="E47" s="1501">
        <v>225</v>
      </c>
      <c r="F47" s="1501">
        <v>224.5</v>
      </c>
      <c r="G47" s="1501">
        <v>224.7</v>
      </c>
      <c r="H47" s="1501">
        <v>224.8</v>
      </c>
      <c r="I47" s="1501">
        <v>223.3</v>
      </c>
      <c r="J47" s="1501">
        <v>223.6</v>
      </c>
      <c r="K47" s="1502">
        <v>223.8</v>
      </c>
      <c r="L47" s="1515"/>
      <c r="M47" s="80"/>
      <c r="N47" s="108"/>
    </row>
    <row r="48" spans="1:14" x14ac:dyDescent="0.3">
      <c r="A48" s="105">
        <v>41</v>
      </c>
      <c r="B48" s="58" t="s">
        <v>1870</v>
      </c>
      <c r="C48" s="86">
        <v>116.1</v>
      </c>
      <c r="D48" s="1509">
        <v>116.4</v>
      </c>
      <c r="E48" s="1501">
        <v>116.7</v>
      </c>
      <c r="F48" s="1501">
        <v>116.9</v>
      </c>
      <c r="G48" s="1501">
        <v>117.1</v>
      </c>
      <c r="H48" s="1501">
        <v>117.2</v>
      </c>
      <c r="I48" s="1501">
        <v>117.5</v>
      </c>
      <c r="J48" s="1501">
        <v>117.8</v>
      </c>
      <c r="K48" s="1502">
        <v>118</v>
      </c>
      <c r="L48" s="1172"/>
      <c r="M48" s="80"/>
      <c r="N48" s="108"/>
    </row>
    <row r="49" spans="1:14" x14ac:dyDescent="0.3">
      <c r="A49" s="105">
        <v>42</v>
      </c>
      <c r="B49" s="58" t="s">
        <v>1871</v>
      </c>
      <c r="C49" s="86">
        <v>108.3</v>
      </c>
      <c r="D49" s="1509">
        <v>108.3</v>
      </c>
      <c r="E49" s="1501">
        <v>108.3</v>
      </c>
      <c r="F49" s="1501">
        <v>107.6</v>
      </c>
      <c r="G49" s="1501">
        <v>107.6</v>
      </c>
      <c r="H49" s="1501">
        <v>107.6</v>
      </c>
      <c r="I49" s="1501">
        <v>105.8</v>
      </c>
      <c r="J49" s="1501">
        <v>105.8</v>
      </c>
      <c r="K49" s="1502">
        <v>105.8</v>
      </c>
      <c r="L49" s="1172"/>
      <c r="M49" s="80"/>
      <c r="N49" s="108"/>
    </row>
    <row r="50" spans="1:14" x14ac:dyDescent="0.3">
      <c r="A50" s="105">
        <v>43</v>
      </c>
      <c r="B50" s="60" t="s">
        <v>244</v>
      </c>
      <c r="C50" s="83">
        <v>644.70000000000005</v>
      </c>
      <c r="D50" s="1508">
        <v>606.4</v>
      </c>
      <c r="E50" s="1499">
        <v>574.4</v>
      </c>
      <c r="F50" s="1499">
        <v>646.4</v>
      </c>
      <c r="G50" s="1499">
        <v>781.8</v>
      </c>
      <c r="H50" s="1499">
        <v>848.3</v>
      </c>
      <c r="I50" s="1499">
        <v>885.1</v>
      </c>
      <c r="J50" s="1499">
        <v>951.6</v>
      </c>
      <c r="K50" s="1500">
        <v>1001.9</v>
      </c>
      <c r="L50" s="1515"/>
      <c r="M50" s="70"/>
    </row>
    <row r="51" spans="1:14" x14ac:dyDescent="0.3">
      <c r="A51" s="106">
        <v>44</v>
      </c>
      <c r="B51" s="101" t="s">
        <v>1872</v>
      </c>
      <c r="C51" s="83">
        <v>3.5</v>
      </c>
      <c r="D51" s="1508">
        <v>3.2</v>
      </c>
      <c r="E51" s="1499">
        <v>3</v>
      </c>
      <c r="F51" s="1499">
        <v>3.4</v>
      </c>
      <c r="G51" s="1499">
        <v>4.0999999999999996</v>
      </c>
      <c r="H51" s="1499">
        <v>4.4000000000000004</v>
      </c>
      <c r="I51" s="1499">
        <v>4.5</v>
      </c>
      <c r="J51" s="1499">
        <v>4.8</v>
      </c>
      <c r="K51" s="1500">
        <v>5.0999999999999996</v>
      </c>
      <c r="L51" s="1515"/>
      <c r="M51" s="70"/>
    </row>
    <row r="52" spans="1:14" x14ac:dyDescent="0.3">
      <c r="A52" s="105"/>
      <c r="B52" s="60" t="s">
        <v>1777</v>
      </c>
      <c r="C52" s="83"/>
      <c r="D52" s="1508"/>
      <c r="E52" s="1499"/>
      <c r="F52" s="1499"/>
      <c r="G52" s="1499"/>
      <c r="H52" s="1499"/>
      <c r="I52" s="1499"/>
      <c r="J52" s="1499"/>
      <c r="K52" s="1500"/>
      <c r="L52" s="1515"/>
    </row>
    <row r="53" spans="1:14" ht="31.05" customHeight="1" x14ac:dyDescent="0.3">
      <c r="A53" s="106">
        <v>45</v>
      </c>
      <c r="B53" s="101" t="s">
        <v>1873</v>
      </c>
      <c r="C53" s="83">
        <v>14559.1</v>
      </c>
      <c r="D53" s="1508">
        <v>14618.2</v>
      </c>
      <c r="E53" s="1499">
        <v>14653.2</v>
      </c>
      <c r="F53" s="1499">
        <v>14683.1</v>
      </c>
      <c r="G53" s="1499">
        <v>14715.9</v>
      </c>
      <c r="H53" s="1499">
        <v>14735.4</v>
      </c>
      <c r="I53" s="1499">
        <v>14742.2</v>
      </c>
      <c r="J53" s="1499">
        <v>14735.2</v>
      </c>
      <c r="K53" s="1500">
        <v>14778.8</v>
      </c>
      <c r="L53" s="1515"/>
    </row>
    <row r="54" spans="1:14" x14ac:dyDescent="0.3">
      <c r="A54" s="105"/>
      <c r="B54" s="94" t="s">
        <v>1874</v>
      </c>
      <c r="C54" s="83"/>
      <c r="D54" s="1508"/>
      <c r="E54" s="1499"/>
      <c r="F54" s="1499"/>
      <c r="G54" s="1499"/>
      <c r="H54" s="1499"/>
      <c r="I54" s="1499"/>
      <c r="J54" s="1499"/>
      <c r="K54" s="1500"/>
      <c r="L54" s="1515"/>
    </row>
    <row r="55" spans="1:14" ht="16.350000000000001" customHeight="1" x14ac:dyDescent="0.3">
      <c r="A55" s="105">
        <v>46</v>
      </c>
      <c r="B55" s="97" t="s">
        <v>1875</v>
      </c>
      <c r="C55" s="86">
        <v>15100.2</v>
      </c>
      <c r="D55" s="1509">
        <v>15149.6</v>
      </c>
      <c r="E55" s="1501">
        <v>15172.2</v>
      </c>
      <c r="F55" s="1501">
        <v>15274.2</v>
      </c>
      <c r="G55" s="1501">
        <v>15332.9</v>
      </c>
      <c r="H55" s="1501">
        <v>15367.3</v>
      </c>
      <c r="I55" s="1501">
        <v>15590.8</v>
      </c>
      <c r="J55" s="1501">
        <v>15615.4</v>
      </c>
      <c r="K55" s="1502">
        <v>15660.3</v>
      </c>
      <c r="L55" s="1515"/>
    </row>
    <row r="56" spans="1:14" x14ac:dyDescent="0.3">
      <c r="A56" s="105"/>
      <c r="B56" s="58" t="s">
        <v>1876</v>
      </c>
      <c r="C56" s="86"/>
      <c r="D56" s="1509"/>
      <c r="E56" s="1501"/>
      <c r="F56" s="1501"/>
      <c r="G56" s="1501"/>
      <c r="H56" s="1501"/>
      <c r="I56" s="1501"/>
      <c r="J56" s="1501"/>
      <c r="K56" s="1502"/>
      <c r="L56" s="1515"/>
    </row>
    <row r="57" spans="1:14" x14ac:dyDescent="0.3">
      <c r="A57" s="105">
        <v>47</v>
      </c>
      <c r="B57" s="98" t="s">
        <v>1877</v>
      </c>
      <c r="C57" s="88">
        <v>55836</v>
      </c>
      <c r="D57" s="1510">
        <v>56139</v>
      </c>
      <c r="E57" s="1503">
        <v>56387</v>
      </c>
      <c r="F57" s="1503">
        <v>56976</v>
      </c>
      <c r="G57" s="1503">
        <v>57269</v>
      </c>
      <c r="H57" s="1503">
        <v>57490</v>
      </c>
      <c r="I57" s="1503">
        <v>58659</v>
      </c>
      <c r="J57" s="1503">
        <v>58910</v>
      </c>
      <c r="K57" s="1504">
        <v>59103</v>
      </c>
      <c r="L57" s="1515"/>
    </row>
    <row r="58" spans="1:14" x14ac:dyDescent="0.3">
      <c r="A58" s="105">
        <v>48</v>
      </c>
      <c r="B58" s="98" t="s">
        <v>1878</v>
      </c>
      <c r="C58" s="88">
        <v>45261</v>
      </c>
      <c r="D58" s="1510">
        <v>45385</v>
      </c>
      <c r="E58" s="1503">
        <v>45429</v>
      </c>
      <c r="F58" s="1503">
        <v>45712</v>
      </c>
      <c r="G58" s="1503">
        <v>45868</v>
      </c>
      <c r="H58" s="1503">
        <v>45952</v>
      </c>
      <c r="I58" s="1503">
        <v>46605</v>
      </c>
      <c r="J58" s="1503">
        <v>46664</v>
      </c>
      <c r="K58" s="1504">
        <v>46782</v>
      </c>
      <c r="L58" s="1515"/>
    </row>
    <row r="59" spans="1:14" ht="15" customHeight="1" x14ac:dyDescent="0.3">
      <c r="A59" s="107">
        <v>49</v>
      </c>
      <c r="B59" s="103" t="s">
        <v>1879</v>
      </c>
      <c r="C59" s="89">
        <v>333624</v>
      </c>
      <c r="D59" s="1511">
        <v>333799</v>
      </c>
      <c r="E59" s="1505">
        <v>333976</v>
      </c>
      <c r="F59" s="1505">
        <v>334141</v>
      </c>
      <c r="G59" s="1505">
        <v>334287</v>
      </c>
      <c r="H59" s="1505">
        <v>334420</v>
      </c>
      <c r="I59" s="1505">
        <v>334533</v>
      </c>
      <c r="J59" s="1505">
        <v>334637</v>
      </c>
      <c r="K59" s="1506">
        <v>334753</v>
      </c>
      <c r="L59" s="1517"/>
    </row>
    <row r="60" spans="1:14" x14ac:dyDescent="0.3">
      <c r="A60" s="1580" t="s">
        <v>1880</v>
      </c>
      <c r="B60" s="1580"/>
      <c r="C60" s="1580"/>
      <c r="D60" s="1580"/>
      <c r="E60" s="1580"/>
      <c r="F60" s="1580"/>
      <c r="G60" s="1580"/>
      <c r="H60" s="1580"/>
      <c r="I60" s="1580"/>
      <c r="J60" s="1580"/>
      <c r="K60" s="1495"/>
    </row>
    <row r="61" spans="1:14" x14ac:dyDescent="0.3">
      <c r="A61" s="1581" t="s">
        <v>1881</v>
      </c>
      <c r="B61" s="1581"/>
      <c r="C61" s="1581"/>
      <c r="D61" s="1581"/>
      <c r="E61" s="1581"/>
      <c r="F61" s="1581"/>
      <c r="G61" s="1581"/>
      <c r="H61" s="1581"/>
      <c r="I61" s="1581"/>
      <c r="J61" s="1581"/>
      <c r="K61" s="1133"/>
    </row>
    <row r="62" spans="1:14" x14ac:dyDescent="0.3">
      <c r="A62" s="1581" t="s">
        <v>1882</v>
      </c>
      <c r="B62" s="1581"/>
      <c r="C62" s="1581"/>
      <c r="D62" s="1581"/>
      <c r="E62" s="1581"/>
      <c r="F62" s="1581"/>
      <c r="G62" s="1581"/>
      <c r="H62" s="1581"/>
      <c r="I62" s="1581"/>
      <c r="J62" s="1581"/>
      <c r="K62" s="1133"/>
    </row>
    <row r="63" spans="1:14" x14ac:dyDescent="0.3">
      <c r="A63" s="1581" t="s">
        <v>1883</v>
      </c>
      <c r="B63" s="1581"/>
      <c r="C63" s="1581"/>
      <c r="D63" s="1581"/>
      <c r="E63" s="1581"/>
      <c r="F63" s="1581"/>
      <c r="G63" s="1581"/>
      <c r="H63" s="1581"/>
      <c r="I63" s="1581"/>
      <c r="J63" s="1581"/>
      <c r="K63" s="1133"/>
    </row>
    <row r="64" spans="1:14" x14ac:dyDescent="0.3">
      <c r="A64" s="1581" t="s">
        <v>1884</v>
      </c>
      <c r="B64" s="1581"/>
      <c r="C64" s="1581"/>
      <c r="D64" s="1581"/>
      <c r="E64" s="1581"/>
      <c r="F64" s="1581"/>
      <c r="G64" s="1581"/>
      <c r="H64" s="1581"/>
      <c r="I64" s="1581"/>
      <c r="J64" s="1581"/>
      <c r="K64" s="1133"/>
    </row>
    <row r="65" spans="1:11" x14ac:dyDescent="0.3">
      <c r="A65" s="1581" t="s">
        <v>1885</v>
      </c>
      <c r="B65" s="1581"/>
      <c r="C65" s="1581"/>
      <c r="D65" s="1581"/>
      <c r="E65" s="1581"/>
      <c r="F65" s="1581"/>
      <c r="G65" s="1581"/>
      <c r="H65" s="1581"/>
      <c r="I65" s="1581"/>
      <c r="J65" s="1581"/>
      <c r="K65" s="1133"/>
    </row>
    <row r="66" spans="1:11" ht="14.55" customHeight="1" x14ac:dyDescent="0.3">
      <c r="A66" s="1581" t="s">
        <v>1886</v>
      </c>
      <c r="B66" s="1581"/>
      <c r="C66" s="1581"/>
      <c r="D66" s="1581"/>
      <c r="E66" s="1581"/>
      <c r="F66" s="1581"/>
      <c r="G66" s="1581"/>
      <c r="H66" s="1581"/>
      <c r="I66" s="1581"/>
      <c r="J66" s="1581"/>
      <c r="K66" s="1133"/>
    </row>
    <row r="67" spans="1:11" ht="14.55" customHeight="1" x14ac:dyDescent="0.3">
      <c r="A67" s="1582" t="s">
        <v>1887</v>
      </c>
      <c r="B67" s="1582"/>
      <c r="C67" s="1582"/>
      <c r="D67" s="1582"/>
      <c r="E67" s="1582"/>
      <c r="F67" s="1582"/>
      <c r="G67" s="1582"/>
      <c r="H67" s="1582"/>
      <c r="I67" s="1582"/>
      <c r="J67" s="1582"/>
      <c r="K67" s="1134"/>
    </row>
    <row r="68" spans="1:11" ht="14.55" customHeight="1" x14ac:dyDescent="0.3">
      <c r="A68" s="1583" t="s">
        <v>246</v>
      </c>
      <c r="B68" s="1583"/>
      <c r="C68" s="1583"/>
      <c r="D68" s="1583"/>
      <c r="E68" s="1583"/>
      <c r="F68" s="1583"/>
      <c r="G68" s="1583"/>
      <c r="H68" s="1583"/>
      <c r="I68" s="1583"/>
      <c r="J68" s="1583"/>
      <c r="K68" s="1135"/>
    </row>
    <row r="69" spans="1:11" x14ac:dyDescent="0.3">
      <c r="A69" s="1565" t="s">
        <v>892</v>
      </c>
      <c r="B69" s="1565"/>
      <c r="C69" s="1565"/>
      <c r="D69" s="1565"/>
      <c r="E69" s="1565"/>
      <c r="F69" s="1565"/>
      <c r="G69" s="1565"/>
    </row>
    <row r="70" spans="1:11" x14ac:dyDescent="0.3">
      <c r="A70" s="1566" t="s">
        <v>893</v>
      </c>
      <c r="B70" s="1566"/>
      <c r="C70" s="1566"/>
      <c r="D70" s="1566"/>
      <c r="E70" s="1566"/>
      <c r="F70" s="1566"/>
      <c r="G70" s="1566"/>
    </row>
    <row r="71" spans="1:11" x14ac:dyDescent="0.3">
      <c r="A71" s="1567" t="s">
        <v>894</v>
      </c>
      <c r="B71" s="1567"/>
      <c r="C71" s="1567"/>
      <c r="D71" s="1567"/>
      <c r="E71" s="1567"/>
      <c r="F71" s="1567"/>
      <c r="G71" s="1567"/>
    </row>
    <row r="72" spans="1:11" x14ac:dyDescent="0.3">
      <c r="A72" s="1568" t="s">
        <v>895</v>
      </c>
      <c r="B72" s="1568"/>
      <c r="C72" s="1568"/>
      <c r="D72" s="1568"/>
      <c r="E72" s="1568"/>
      <c r="F72" s="1568"/>
      <c r="G72" s="1568"/>
    </row>
    <row r="73" spans="1:11" x14ac:dyDescent="0.3">
      <c r="A73" s="1568" t="s">
        <v>896</v>
      </c>
      <c r="B73" s="1568"/>
      <c r="C73" s="1568"/>
      <c r="D73" s="1568"/>
      <c r="E73" s="1568"/>
      <c r="F73" s="1568"/>
      <c r="G73" s="1568"/>
    </row>
    <row r="74" spans="1:11" x14ac:dyDescent="0.3">
      <c r="A74" s="1567" t="s">
        <v>897</v>
      </c>
      <c r="B74" s="1567"/>
      <c r="C74" s="1567"/>
      <c r="D74" s="1567"/>
      <c r="E74" s="1567"/>
      <c r="F74" s="1567"/>
      <c r="G74" s="1567"/>
    </row>
    <row r="76" spans="1:11" x14ac:dyDescent="0.3">
      <c r="A76" s="1565" t="s">
        <v>898</v>
      </c>
      <c r="B76" s="1565"/>
      <c r="C76" s="1565"/>
      <c r="D76" s="1565"/>
      <c r="E76" s="1565"/>
      <c r="F76" s="1565"/>
      <c r="G76" s="1565"/>
    </row>
    <row r="78" spans="1:11" x14ac:dyDescent="0.3">
      <c r="A78" s="35" t="s">
        <v>245</v>
      </c>
    </row>
    <row r="80" spans="1:11" x14ac:dyDescent="0.3">
      <c r="A80" s="35" t="s">
        <v>246</v>
      </c>
    </row>
    <row r="82" spans="1:1" x14ac:dyDescent="0.3">
      <c r="A82" s="77"/>
    </row>
    <row r="88" spans="1:1" x14ac:dyDescent="0.3">
      <c r="A88" s="76"/>
    </row>
    <row r="89" spans="1:1" x14ac:dyDescent="0.3">
      <c r="A89" s="76"/>
    </row>
    <row r="90" spans="1:1" x14ac:dyDescent="0.3">
      <c r="A90" s="76"/>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P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Deflators</vt:lpstr>
      <vt:lpstr>Taxes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2023-04-28T14:47:14Z</dcterms:modified>
  <cp:category/>
  <cp:contentStatus/>
</cp:coreProperties>
</file>