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9.xml" ContentType="application/vnd.openxmlformats-officedocument.drawing+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01B180CF-F0AA-4CC4-B8C3-9F62457C0750}" xr6:coauthVersionLast="47" xr6:coauthVersionMax="47" xr10:uidLastSave="{00000000-0000-0000-0000-000000000000}"/>
  <bookViews>
    <workbookView xWindow="28680" yWindow="-120" windowWidth="29040" windowHeight="15720" firstSheet="3"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6" l="1"/>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I40" i="48"/>
  <c r="I39" i="48"/>
  <c r="I38" i="48"/>
  <c r="I37" i="48"/>
  <c r="T27" i="59"/>
  <c r="U27" i="59"/>
  <c r="V27" i="59"/>
  <c r="W27" i="59"/>
  <c r="X27" i="59"/>
  <c r="Y27" i="59"/>
  <c r="Z27" i="59"/>
  <c r="AA27" i="59"/>
  <c r="AB27" i="59"/>
  <c r="AC27" i="59"/>
  <c r="D27" i="59"/>
  <c r="E27" i="59"/>
  <c r="F27" i="59"/>
  <c r="G27" i="59"/>
  <c r="H27" i="59"/>
  <c r="I27" i="59"/>
  <c r="J27" i="59"/>
  <c r="K27" i="59"/>
  <c r="L27" i="59"/>
  <c r="M27" i="59"/>
  <c r="N27" i="59"/>
  <c r="O27" i="59"/>
  <c r="P27" i="59"/>
  <c r="Q27" i="59"/>
  <c r="R27" i="59"/>
  <c r="S27" i="59"/>
  <c r="D4" i="35" l="1"/>
  <c r="E4" i="35"/>
  <c r="F4" i="35"/>
  <c r="G4" i="35"/>
  <c r="H4" i="35"/>
  <c r="I4" i="35"/>
  <c r="J4" i="35"/>
  <c r="K4" i="35"/>
  <c r="L4" i="35"/>
  <c r="C4" i="35"/>
  <c r="G24" i="33"/>
  <c r="H22" i="33"/>
  <c r="I22" i="33"/>
  <c r="G22" i="33"/>
  <c r="F18" i="49"/>
  <c r="G18" i="49"/>
  <c r="U28" i="20"/>
  <c r="V28" i="20"/>
  <c r="W28" i="20"/>
  <c r="X28" i="20"/>
  <c r="Y28" i="20"/>
  <c r="Z28" i="20"/>
  <c r="AA28" i="20"/>
  <c r="AB28" i="20"/>
  <c r="T23" i="25" l="1"/>
  <c r="S23" i="25"/>
  <c r="R23" i="25"/>
  <c r="Q23" i="25"/>
  <c r="P23" i="25"/>
  <c r="O23" i="25"/>
  <c r="N23" i="25"/>
  <c r="M23" i="25"/>
  <c r="L59" i="48"/>
  <c r="K59" i="48"/>
  <c r="L55" i="48"/>
  <c r="K55" i="48"/>
  <c r="T29" i="59" l="1"/>
  <c r="T22" i="25"/>
  <c r="Z46" i="72"/>
  <c r="Z40" i="72" l="1"/>
  <c r="Z39" i="72"/>
  <c r="Z38" i="72"/>
  <c r="Z37" i="72"/>
  <c r="Z36" i="72"/>
  <c r="Z34" i="72"/>
  <c r="Z33" i="72"/>
  <c r="Z32" i="72"/>
  <c r="Z31" i="72"/>
  <c r="Z30" i="72"/>
  <c r="Q43" i="62"/>
  <c r="Q44" i="62"/>
  <c r="Q45" i="62"/>
  <c r="Q46" i="62"/>
  <c r="Q47" i="62"/>
  <c r="P32" i="62"/>
  <c r="P33" i="62"/>
  <c r="P42" i="62"/>
  <c r="P43" i="62"/>
  <c r="P44" i="62"/>
  <c r="P45" i="62"/>
  <c r="P46" i="62"/>
  <c r="P47" i="62"/>
  <c r="P48" i="62"/>
  <c r="P49" i="62"/>
  <c r="P29" i="62"/>
  <c r="O46" i="62"/>
  <c r="O42" i="62"/>
  <c r="Q42" i="62" s="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00"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63" i="70"/>
  <c r="AE63" i="70"/>
  <c r="AD63" i="70"/>
  <c r="AC63" i="70"/>
  <c r="AB63" i="70"/>
  <c r="AA63" i="70"/>
  <c r="AA40" i="70" s="1"/>
  <c r="AA16" i="70" s="1"/>
  <c r="Z63" i="70"/>
  <c r="Y63" i="70"/>
  <c r="X63" i="70"/>
  <c r="Y40" i="70" s="1"/>
  <c r="W63" i="70"/>
  <c r="V63" i="70"/>
  <c r="U63" i="70"/>
  <c r="T63" i="70"/>
  <c r="S63" i="70"/>
  <c r="AF62" i="70"/>
  <c r="AE62" i="70"/>
  <c r="AD62" i="70"/>
  <c r="AC62" i="70"/>
  <c r="AB62" i="70"/>
  <c r="AA62" i="70"/>
  <c r="Z62" i="70"/>
  <c r="Y62" i="70"/>
  <c r="X62" i="70"/>
  <c r="W62" i="70"/>
  <c r="V62" i="70"/>
  <c r="W39" i="70" s="1"/>
  <c r="U62" i="70"/>
  <c r="T62" i="70"/>
  <c r="U39" i="70" s="1"/>
  <c r="S62" i="70"/>
  <c r="AF61" i="70"/>
  <c r="AE61" i="70"/>
  <c r="AD61" i="70"/>
  <c r="AC61" i="70"/>
  <c r="AB61" i="70"/>
  <c r="AC38" i="70" s="1"/>
  <c r="AA61" i="70"/>
  <c r="Z61" i="70"/>
  <c r="Y61" i="70"/>
  <c r="X61" i="70"/>
  <c r="W61" i="70"/>
  <c r="V61" i="70"/>
  <c r="U61" i="70"/>
  <c r="T61" i="70"/>
  <c r="U38" i="70" s="1"/>
  <c r="U12" i="70" s="1"/>
  <c r="S61" i="70"/>
  <c r="T42" i="70"/>
  <c r="T20" i="70" s="1"/>
  <c r="T27" i="70" s="1"/>
  <c r="S42" i="70"/>
  <c r="S20" i="70" s="1"/>
  <c r="S27" i="70" s="1"/>
  <c r="R42" i="70"/>
  <c r="R20" i="70" s="1"/>
  <c r="R27" i="70" s="1"/>
  <c r="Q42" i="70"/>
  <c r="Q20" i="70" s="1"/>
  <c r="Q27" i="70" s="1"/>
  <c r="P42" i="70"/>
  <c r="O42" i="70"/>
  <c r="N42" i="70"/>
  <c r="N20" i="70" s="1"/>
  <c r="N27" i="70" s="1"/>
  <c r="M42" i="70"/>
  <c r="M20" i="70" s="1"/>
  <c r="M27" i="70" s="1"/>
  <c r="L42" i="70"/>
  <c r="L20" i="70" s="1"/>
  <c r="L27" i="70" s="1"/>
  <c r="K42" i="70"/>
  <c r="K20" i="70" s="1"/>
  <c r="K27" i="70" s="1"/>
  <c r="J42" i="70"/>
  <c r="J20" i="70" s="1"/>
  <c r="J27" i="70" s="1"/>
  <c r="I42" i="70"/>
  <c r="I20" i="70" s="1"/>
  <c r="I27" i="70" s="1"/>
  <c r="H42" i="70"/>
  <c r="G42" i="70"/>
  <c r="F42" i="70"/>
  <c r="F20" i="70" s="1"/>
  <c r="F27" i="70" s="1"/>
  <c r="E42" i="70"/>
  <c r="E20" i="70" s="1"/>
  <c r="E27" i="70" s="1"/>
  <c r="D42" i="70"/>
  <c r="D20" i="70" s="1"/>
  <c r="D27" i="70" s="1"/>
  <c r="T41" i="70"/>
  <c r="T18" i="70" s="1"/>
  <c r="T26" i="70" s="1"/>
  <c r="S41" i="70"/>
  <c r="S18" i="70" s="1"/>
  <c r="S26" i="70" s="1"/>
  <c r="R41" i="70"/>
  <c r="R18" i="70" s="1"/>
  <c r="R26" i="70" s="1"/>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D18" i="70" s="1"/>
  <c r="D26" i="70" s="1"/>
  <c r="Z40" i="70"/>
  <c r="Z16" i="70" s="1"/>
  <c r="T40" i="70"/>
  <c r="T16" i="70" s="1"/>
  <c r="T25" i="70" s="1"/>
  <c r="S40" i="70"/>
  <c r="R40" i="70"/>
  <c r="R16" i="70" s="1"/>
  <c r="R25" i="70" s="1"/>
  <c r="Q40" i="70"/>
  <c r="Q16" i="70" s="1"/>
  <c r="Q25" i="70" s="1"/>
  <c r="P40" i="70"/>
  <c r="P16" i="70" s="1"/>
  <c r="P25" i="70" s="1"/>
  <c r="O40" i="70"/>
  <c r="O16" i="70" s="1"/>
  <c r="O25" i="70" s="1"/>
  <c r="N40" i="70"/>
  <c r="N16" i="70" s="1"/>
  <c r="N25" i="70" s="1"/>
  <c r="M40" i="70"/>
  <c r="M16" i="70" s="1"/>
  <c r="M25" i="70" s="1"/>
  <c r="L40" i="70"/>
  <c r="L16" i="70" s="1"/>
  <c r="L25" i="70" s="1"/>
  <c r="K40" i="70"/>
  <c r="J40" i="70"/>
  <c r="J16" i="70" s="1"/>
  <c r="J25" i="70" s="1"/>
  <c r="I40" i="70"/>
  <c r="I16" i="70" s="1"/>
  <c r="I25" i="70" s="1"/>
  <c r="H40" i="70"/>
  <c r="H16" i="70" s="1"/>
  <c r="H25" i="70" s="1"/>
  <c r="G40" i="70"/>
  <c r="G16" i="70" s="1"/>
  <c r="G25" i="70" s="1"/>
  <c r="F40" i="70"/>
  <c r="F16" i="70" s="1"/>
  <c r="F25" i="70" s="1"/>
  <c r="E40" i="70"/>
  <c r="E16" i="70" s="1"/>
  <c r="E25" i="70" s="1"/>
  <c r="D40" i="70"/>
  <c r="D16" i="70" s="1"/>
  <c r="D25" i="70" s="1"/>
  <c r="AF39" i="70"/>
  <c r="AF14" i="70" s="1"/>
  <c r="AF24" i="70" s="1"/>
  <c r="X39" i="70"/>
  <c r="T39" i="70"/>
  <c r="T14" i="70" s="1"/>
  <c r="T24" i="70" s="1"/>
  <c r="S39" i="70"/>
  <c r="S14" i="70" s="1"/>
  <c r="S24" i="70" s="1"/>
  <c r="R39" i="70"/>
  <c r="R14" i="70" s="1"/>
  <c r="R24" i="70" s="1"/>
  <c r="Q39" i="70"/>
  <c r="Q14" i="70" s="1"/>
  <c r="Q24" i="70" s="1"/>
  <c r="P39" i="70"/>
  <c r="P14" i="70" s="1"/>
  <c r="P24" i="70" s="1"/>
  <c r="O39" i="70"/>
  <c r="O14" i="70" s="1"/>
  <c r="O24" i="70" s="1"/>
  <c r="N39" i="70"/>
  <c r="M39" i="70"/>
  <c r="M14" i="70" s="1"/>
  <c r="L39" i="70"/>
  <c r="L14" i="70" s="1"/>
  <c r="L24" i="70" s="1"/>
  <c r="K39" i="70"/>
  <c r="K14" i="70" s="1"/>
  <c r="K24" i="70" s="1"/>
  <c r="J39" i="70"/>
  <c r="J14" i="70" s="1"/>
  <c r="J24" i="70" s="1"/>
  <c r="I39" i="70"/>
  <c r="I14" i="70" s="1"/>
  <c r="I24" i="70" s="1"/>
  <c r="H39" i="70"/>
  <c r="H14" i="70" s="1"/>
  <c r="H24" i="70" s="1"/>
  <c r="G39" i="70"/>
  <c r="G14" i="70" s="1"/>
  <c r="G24" i="70" s="1"/>
  <c r="F39" i="70"/>
  <c r="E39" i="70"/>
  <c r="E14" i="70" s="1"/>
  <c r="E24" i="70" s="1"/>
  <c r="D39" i="70"/>
  <c r="D14" i="70" s="1"/>
  <c r="D24" i="70" s="1"/>
  <c r="T38" i="70"/>
  <c r="T12" i="70" s="1"/>
  <c r="T23" i="70" s="1"/>
  <c r="S38" i="70"/>
  <c r="S12" i="70" s="1"/>
  <c r="S23" i="70" s="1"/>
  <c r="R38" i="70"/>
  <c r="R12" i="70" s="1"/>
  <c r="R23" i="70" s="1"/>
  <c r="Q38" i="70"/>
  <c r="Q12" i="70" s="1"/>
  <c r="Q23" i="70" s="1"/>
  <c r="P38" i="70"/>
  <c r="P12" i="70" s="1"/>
  <c r="P23" i="70" s="1"/>
  <c r="O38" i="70"/>
  <c r="O12" i="70" s="1"/>
  <c r="O23" i="70" s="1"/>
  <c r="N38" i="70"/>
  <c r="N12" i="70" s="1"/>
  <c r="N23" i="70" s="1"/>
  <c r="M38" i="70"/>
  <c r="M12" i="70" s="1"/>
  <c r="M23" i="70" s="1"/>
  <c r="L38" i="70"/>
  <c r="L12" i="70" s="1"/>
  <c r="L23" i="70" s="1"/>
  <c r="K38" i="70"/>
  <c r="K12" i="70" s="1"/>
  <c r="K23" i="70" s="1"/>
  <c r="J38" i="70"/>
  <c r="J12" i="70" s="1"/>
  <c r="J23" i="70" s="1"/>
  <c r="I38" i="70"/>
  <c r="I12" i="70" s="1"/>
  <c r="I23" i="70" s="1"/>
  <c r="H38" i="70"/>
  <c r="H12" i="70" s="1"/>
  <c r="H23" i="70" s="1"/>
  <c r="G38" i="70"/>
  <c r="G12" i="70" s="1"/>
  <c r="G23" i="70" s="1"/>
  <c r="F38" i="70"/>
  <c r="F12" i="70" s="1"/>
  <c r="F23" i="70" s="1"/>
  <c r="E38" i="70"/>
  <c r="E12" i="70" s="1"/>
  <c r="E23" i="70" s="1"/>
  <c r="D38" i="70"/>
  <c r="D12" i="70" s="1"/>
  <c r="D23" i="70" s="1"/>
  <c r="M24" i="70"/>
  <c r="P20" i="70"/>
  <c r="P27" i="70" s="1"/>
  <c r="O20" i="70"/>
  <c r="O27" i="70" s="1"/>
  <c r="H20" i="70"/>
  <c r="H27" i="70" s="1"/>
  <c r="G20" i="70"/>
  <c r="G27" i="70" s="1"/>
  <c r="J18" i="70"/>
  <c r="J26" i="70" s="1"/>
  <c r="H18" i="70"/>
  <c r="H26" i="70" s="1"/>
  <c r="S16" i="70"/>
  <c r="S25" i="70" s="1"/>
  <c r="K16" i="70"/>
  <c r="K25" i="70" s="1"/>
  <c r="N14" i="70"/>
  <c r="N24" i="70" s="1"/>
  <c r="F14" i="70"/>
  <c r="F24" i="70" s="1"/>
  <c r="AC178" i="48"/>
  <c r="AB178" i="48"/>
  <c r="AA178" i="48"/>
  <c r="Z178" i="48"/>
  <c r="Y178" i="48"/>
  <c r="X178" i="48"/>
  <c r="W178" i="48"/>
  <c r="V178" i="48"/>
  <c r="U178" i="48"/>
  <c r="T178" i="48"/>
  <c r="T166" i="48" s="1"/>
  <c r="S178" i="48"/>
  <c r="R178" i="48"/>
  <c r="Q178" i="48"/>
  <c r="P178" i="48"/>
  <c r="O178" i="48"/>
  <c r="N178" i="48"/>
  <c r="AC176" i="48"/>
  <c r="AB176" i="48"/>
  <c r="AA176" i="48"/>
  <c r="Z176" i="48"/>
  <c r="Y176" i="48"/>
  <c r="X176" i="48"/>
  <c r="W176" i="48"/>
  <c r="V176" i="48"/>
  <c r="U176" i="48"/>
  <c r="T176" i="48"/>
  <c r="S176" i="48"/>
  <c r="R176" i="48"/>
  <c r="Q176" i="48"/>
  <c r="P176" i="48"/>
  <c r="O176" i="48"/>
  <c r="N176" i="48"/>
  <c r="AC174" i="48"/>
  <c r="AB174" i="48"/>
  <c r="AA174" i="48"/>
  <c r="Z174" i="48"/>
  <c r="Y174" i="48"/>
  <c r="X174" i="48"/>
  <c r="W174" i="48"/>
  <c r="V174" i="48"/>
  <c r="U174" i="48"/>
  <c r="T174" i="48"/>
  <c r="T162" i="48" s="1"/>
  <c r="S174" i="48"/>
  <c r="R174" i="48"/>
  <c r="Q174" i="48"/>
  <c r="P174" i="48"/>
  <c r="O174" i="48"/>
  <c r="N174" i="48"/>
  <c r="M174" i="48"/>
  <c r="L174" i="48"/>
  <c r="K174" i="48"/>
  <c r="J174" i="48"/>
  <c r="I174" i="48"/>
  <c r="H174" i="48"/>
  <c r="G174" i="48"/>
  <c r="AC172" i="48"/>
  <c r="AB172" i="48"/>
  <c r="AA172" i="48"/>
  <c r="Z172" i="48"/>
  <c r="Y172" i="48"/>
  <c r="X172" i="48"/>
  <c r="W172" i="48"/>
  <c r="V172" i="48"/>
  <c r="U172" i="48"/>
  <c r="T172" i="48"/>
  <c r="S172" i="48"/>
  <c r="R172" i="48"/>
  <c r="Q172" i="48"/>
  <c r="P172" i="48"/>
  <c r="O172" i="48"/>
  <c r="N172" i="48"/>
  <c r="M172" i="48"/>
  <c r="L172" i="48"/>
  <c r="K172" i="48"/>
  <c r="J172" i="48"/>
  <c r="I172" i="48"/>
  <c r="H172" i="48"/>
  <c r="G172" i="48"/>
  <c r="T164" i="48"/>
  <c r="T160" i="48"/>
  <c r="S158" i="48"/>
  <c r="R158" i="48"/>
  <c r="Q158" i="48"/>
  <c r="P158" i="48"/>
  <c r="O158" i="48"/>
  <c r="N158" i="48"/>
  <c r="M158" i="48"/>
  <c r="L158" i="48"/>
  <c r="K158" i="48"/>
  <c r="J158" i="48"/>
  <c r="I158" i="48"/>
  <c r="H158" i="48"/>
  <c r="G158" i="48"/>
  <c r="F158" i="48"/>
  <c r="T134" i="48"/>
  <c r="S134" i="48"/>
  <c r="R134" i="48"/>
  <c r="Q134" i="48"/>
  <c r="P134" i="48"/>
  <c r="O134" i="48"/>
  <c r="N134" i="48"/>
  <c r="M134" i="48"/>
  <c r="L134" i="48"/>
  <c r="K134" i="48"/>
  <c r="J134" i="48"/>
  <c r="I134" i="48"/>
  <c r="H134" i="48"/>
  <c r="G134" i="48"/>
  <c r="F134" i="48"/>
  <c r="T133" i="48"/>
  <c r="S133" i="48"/>
  <c r="R133" i="48"/>
  <c r="Q133" i="48"/>
  <c r="P133" i="48"/>
  <c r="O133" i="48"/>
  <c r="N133" i="48"/>
  <c r="M133" i="48"/>
  <c r="L133" i="48"/>
  <c r="K133" i="48"/>
  <c r="J133" i="48"/>
  <c r="I133" i="48"/>
  <c r="H133" i="48"/>
  <c r="G133" i="48"/>
  <c r="F133" i="48"/>
  <c r="T131" i="48"/>
  <c r="S131" i="48"/>
  <c r="R131" i="48"/>
  <c r="Q131" i="48"/>
  <c r="P131" i="48"/>
  <c r="O131" i="48"/>
  <c r="N131" i="48"/>
  <c r="M131" i="48"/>
  <c r="L131" i="48"/>
  <c r="K131" i="48"/>
  <c r="J131" i="48"/>
  <c r="I131" i="48"/>
  <c r="H131" i="48"/>
  <c r="G131" i="48"/>
  <c r="F131" i="48"/>
  <c r="T130" i="48"/>
  <c r="S130" i="48"/>
  <c r="R130" i="48"/>
  <c r="Q130" i="48"/>
  <c r="P130" i="48"/>
  <c r="O130" i="48"/>
  <c r="N130" i="48"/>
  <c r="M130" i="48"/>
  <c r="L130" i="48"/>
  <c r="K130" i="48"/>
  <c r="J130" i="48"/>
  <c r="I130" i="48"/>
  <c r="H130" i="48"/>
  <c r="G130" i="48"/>
  <c r="F130" i="48"/>
  <c r="T129" i="48"/>
  <c r="S129" i="48"/>
  <c r="R129" i="48"/>
  <c r="Q129" i="48"/>
  <c r="P129" i="48"/>
  <c r="O129" i="48"/>
  <c r="N129" i="48"/>
  <c r="M129" i="48"/>
  <c r="L129" i="48"/>
  <c r="K129" i="48"/>
  <c r="J129" i="48"/>
  <c r="I129" i="48"/>
  <c r="H129" i="48"/>
  <c r="G129" i="48"/>
  <c r="F129" i="48"/>
  <c r="T128" i="48"/>
  <c r="T132" i="48" s="1"/>
  <c r="S128" i="48"/>
  <c r="S132" i="48" s="1"/>
  <c r="R128" i="48"/>
  <c r="R132" i="48" s="1"/>
  <c r="Q128" i="48"/>
  <c r="Q132" i="48" s="1"/>
  <c r="P128" i="48"/>
  <c r="P132" i="48" s="1"/>
  <c r="O128" i="48"/>
  <c r="O132" i="48" s="1"/>
  <c r="N128" i="48"/>
  <c r="N132" i="48" s="1"/>
  <c r="M128" i="48"/>
  <c r="L128" i="48"/>
  <c r="K128" i="48"/>
  <c r="K132" i="48" s="1"/>
  <c r="J128" i="48"/>
  <c r="J132" i="48" s="1"/>
  <c r="I128" i="48"/>
  <c r="H128" i="48"/>
  <c r="G128" i="48"/>
  <c r="F128" i="48"/>
  <c r="F132" i="48" s="1"/>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J92" i="48"/>
  <c r="I92" i="48"/>
  <c r="H92" i="48"/>
  <c r="G92" i="48"/>
  <c r="F92" i="48"/>
  <c r="E92" i="48"/>
  <c r="L90" i="48"/>
  <c r="K90" i="48"/>
  <c r="J90" i="48"/>
  <c r="I90" i="48"/>
  <c r="H90" i="48"/>
  <c r="G90" i="48"/>
  <c r="F90" i="48"/>
  <c r="E90" i="48"/>
  <c r="L89" i="48"/>
  <c r="K89" i="48"/>
  <c r="J89" i="48"/>
  <c r="I89" i="48"/>
  <c r="H89" i="48"/>
  <c r="G89" i="48"/>
  <c r="F89" i="48"/>
  <c r="E89" i="48"/>
  <c r="F73" i="48"/>
  <c r="E73" i="48"/>
  <c r="F71" i="48"/>
  <c r="E71" i="48"/>
  <c r="F70" i="48"/>
  <c r="E70" i="48"/>
  <c r="L92" i="48"/>
  <c r="K92" i="48"/>
  <c r="L54" i="48"/>
  <c r="L91" i="48" s="1"/>
  <c r="K54" i="48"/>
  <c r="K91" i="48" s="1"/>
  <c r="J54" i="48"/>
  <c r="J91" i="48" s="1"/>
  <c r="I54" i="48"/>
  <c r="H54" i="48"/>
  <c r="H91" i="48" s="1"/>
  <c r="G54" i="48"/>
  <c r="G91" i="48" s="1"/>
  <c r="F54" i="48"/>
  <c r="F91" i="48" s="1"/>
  <c r="E54" i="48"/>
  <c r="E72" i="48" s="1"/>
  <c r="S27" i="48"/>
  <c r="R27" i="48"/>
  <c r="Q27" i="48"/>
  <c r="P27" i="48"/>
  <c r="O27" i="48"/>
  <c r="N27" i="48"/>
  <c r="M27" i="48"/>
  <c r="L27" i="48"/>
  <c r="K27" i="48"/>
  <c r="J27" i="48"/>
  <c r="I27" i="48"/>
  <c r="H27" i="48"/>
  <c r="G27" i="48"/>
  <c r="F27" i="48"/>
  <c r="T26" i="48"/>
  <c r="S26" i="48"/>
  <c r="R26" i="48"/>
  <c r="Q26" i="48"/>
  <c r="P26" i="48"/>
  <c r="O26" i="48"/>
  <c r="N26" i="48"/>
  <c r="M26" i="48"/>
  <c r="L26" i="48"/>
  <c r="K26" i="48"/>
  <c r="J26" i="48"/>
  <c r="I26" i="48"/>
  <c r="H26" i="48"/>
  <c r="G26" i="48"/>
  <c r="F26" i="48"/>
  <c r="T25" i="48"/>
  <c r="S25" i="48"/>
  <c r="R25" i="48"/>
  <c r="Q25" i="48"/>
  <c r="P25" i="48"/>
  <c r="O25" i="48"/>
  <c r="N25" i="48"/>
  <c r="M25" i="48"/>
  <c r="L25" i="48"/>
  <c r="K25" i="48"/>
  <c r="J25" i="48"/>
  <c r="I25" i="48"/>
  <c r="H25" i="48"/>
  <c r="G25" i="48"/>
  <c r="F25" i="48"/>
  <c r="T24" i="48"/>
  <c r="S24" i="48"/>
  <c r="R24" i="48"/>
  <c r="Q24" i="48"/>
  <c r="P24" i="48"/>
  <c r="O24" i="48"/>
  <c r="N24" i="48"/>
  <c r="M24" i="48"/>
  <c r="L24" i="48"/>
  <c r="K24" i="48"/>
  <c r="J24" i="48"/>
  <c r="I24" i="48"/>
  <c r="H24" i="48"/>
  <c r="G24" i="48"/>
  <c r="F24" i="48"/>
  <c r="S18" i="48"/>
  <c r="R18" i="48"/>
  <c r="Q18" i="48"/>
  <c r="Q124" i="48" s="1"/>
  <c r="P18" i="48"/>
  <c r="O18" i="48"/>
  <c r="N18" i="48"/>
  <c r="M18" i="48"/>
  <c r="L18" i="48"/>
  <c r="H40" i="48" s="1"/>
  <c r="J40" i="48" s="1"/>
  <c r="K18" i="48"/>
  <c r="J18" i="48"/>
  <c r="I18" i="48"/>
  <c r="I124" i="48" s="1"/>
  <c r="H18" i="48"/>
  <c r="G18" i="48"/>
  <c r="F18" i="48"/>
  <c r="T15" i="48"/>
  <c r="S15" i="48"/>
  <c r="R15" i="48"/>
  <c r="Q15" i="48"/>
  <c r="P15" i="48"/>
  <c r="O15" i="48"/>
  <c r="N15" i="48"/>
  <c r="M15" i="48"/>
  <c r="L15" i="48"/>
  <c r="H39" i="48" s="1"/>
  <c r="K15" i="48"/>
  <c r="J15" i="48"/>
  <c r="I15" i="48"/>
  <c r="H15" i="48"/>
  <c r="G15" i="48"/>
  <c r="F15" i="48"/>
  <c r="T13" i="48"/>
  <c r="S13" i="48"/>
  <c r="R13" i="48"/>
  <c r="Q13" i="48"/>
  <c r="P13" i="48"/>
  <c r="O13" i="48"/>
  <c r="N13" i="48"/>
  <c r="M13" i="48"/>
  <c r="L13" i="48"/>
  <c r="K13" i="48"/>
  <c r="J13" i="48"/>
  <c r="I13" i="48"/>
  <c r="H13" i="48"/>
  <c r="G13" i="48"/>
  <c r="F13" i="48"/>
  <c r="T10" i="48"/>
  <c r="S10" i="48"/>
  <c r="R10" i="48"/>
  <c r="Q10" i="48"/>
  <c r="P10" i="48"/>
  <c r="O10" i="48"/>
  <c r="N10" i="48"/>
  <c r="M10" i="48"/>
  <c r="L10" i="48"/>
  <c r="K10" i="48"/>
  <c r="J10" i="48"/>
  <c r="I10" i="48"/>
  <c r="H10" i="48"/>
  <c r="G10" i="48"/>
  <c r="F10" i="48"/>
  <c r="F64" i="59"/>
  <c r="G64" i="59" s="1"/>
  <c r="T57" i="59"/>
  <c r="U57" i="59" s="1"/>
  <c r="V57" i="59" s="1"/>
  <c r="W57" i="59" s="1"/>
  <c r="X57" i="59" s="1"/>
  <c r="Y57" i="59" s="1"/>
  <c r="Z57" i="59" s="1"/>
  <c r="AA57" i="59" s="1"/>
  <c r="AB57" i="59" s="1"/>
  <c r="AC57" i="59" s="1"/>
  <c r="S57" i="59"/>
  <c r="R57" i="59"/>
  <c r="Q57" i="59"/>
  <c r="P57" i="59"/>
  <c r="O57" i="59"/>
  <c r="N57" i="59"/>
  <c r="M57" i="59"/>
  <c r="L57" i="59"/>
  <c r="K57" i="59"/>
  <c r="J57" i="59"/>
  <c r="I57" i="59"/>
  <c r="H57" i="59"/>
  <c r="G57" i="59"/>
  <c r="F57" i="59"/>
  <c r="E57" i="59"/>
  <c r="D57" i="59"/>
  <c r="T53" i="59"/>
  <c r="S53" i="59"/>
  <c r="R53" i="59"/>
  <c r="Q53" i="59"/>
  <c r="P53" i="59"/>
  <c r="O53" i="59"/>
  <c r="N53" i="59"/>
  <c r="M53" i="59"/>
  <c r="L53" i="59"/>
  <c r="K53" i="59"/>
  <c r="J53" i="59"/>
  <c r="I53" i="59"/>
  <c r="H53" i="59"/>
  <c r="G53" i="59"/>
  <c r="F53" i="59"/>
  <c r="E53" i="59"/>
  <c r="D53" i="59"/>
  <c r="T43" i="59"/>
  <c r="S43" i="59"/>
  <c r="R43" i="59"/>
  <c r="Q43" i="59"/>
  <c r="P43" i="59"/>
  <c r="O43" i="59"/>
  <c r="N43" i="59"/>
  <c r="M43" i="59"/>
  <c r="L43" i="59"/>
  <c r="K43" i="59"/>
  <c r="J43" i="59"/>
  <c r="I43" i="59"/>
  <c r="H43" i="59"/>
  <c r="G43" i="59"/>
  <c r="F43" i="59"/>
  <c r="E43" i="59"/>
  <c r="D43"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2" i="33"/>
  <c r="E22" i="33"/>
  <c r="J24" i="33"/>
  <c r="I24" i="33"/>
  <c r="J21" i="33"/>
  <c r="AC12" i="33"/>
  <c r="AB12" i="33"/>
  <c r="AA12" i="33"/>
  <c r="Z12" i="33"/>
  <c r="Y12" i="33"/>
  <c r="X12" i="33"/>
  <c r="O12" i="33"/>
  <c r="N12" i="33"/>
  <c r="T11" i="33"/>
  <c r="U11" i="33" s="1"/>
  <c r="V11" i="33" s="1"/>
  <c r="W11" i="33" s="1"/>
  <c r="X11" i="33" s="1"/>
  <c r="Y11" i="33" s="1"/>
  <c r="Z11" i="33" s="1"/>
  <c r="S11" i="33"/>
  <c r="R11" i="33"/>
  <c r="Q11" i="33"/>
  <c r="P11" i="33"/>
  <c r="O11" i="33"/>
  <c r="N11" i="33"/>
  <c r="M11" i="33"/>
  <c r="L11" i="33"/>
  <c r="K11" i="33"/>
  <c r="J11" i="33"/>
  <c r="T10" i="33"/>
  <c r="C12" i="35" s="1"/>
  <c r="D14" i="55" s="1"/>
  <c r="S10" i="33"/>
  <c r="S15" i="59" s="1"/>
  <c r="R10" i="33"/>
  <c r="R15" i="59" s="1"/>
  <c r="Q10" i="33"/>
  <c r="Q15" i="59" s="1"/>
  <c r="P10" i="33"/>
  <c r="O10" i="33"/>
  <c r="O15" i="59" s="1"/>
  <c r="N10" i="33"/>
  <c r="N15" i="59" s="1"/>
  <c r="M10" i="33"/>
  <c r="M15" i="59" s="1"/>
  <c r="L10" i="33"/>
  <c r="K10" i="33"/>
  <c r="K15" i="59" s="1"/>
  <c r="J10" i="33"/>
  <c r="J15" i="59" s="1"/>
  <c r="I10" i="33"/>
  <c r="I15" i="59" s="1"/>
  <c r="H10" i="33"/>
  <c r="H15" i="59" s="1"/>
  <c r="G10" i="33"/>
  <c r="G15" i="59" s="1"/>
  <c r="F10" i="33"/>
  <c r="F15" i="59" s="1"/>
  <c r="E10" i="33"/>
  <c r="E15" i="59" s="1"/>
  <c r="D10" i="33"/>
  <c r="L45" i="49"/>
  <c r="K45" i="49"/>
  <c r="J45" i="49"/>
  <c r="P44" i="49"/>
  <c r="O44" i="49"/>
  <c r="N44" i="49"/>
  <c r="M44" i="49"/>
  <c r="L44" i="49"/>
  <c r="K44" i="49"/>
  <c r="J44" i="49"/>
  <c r="I44" i="49"/>
  <c r="H44" i="49"/>
  <c r="G44" i="49"/>
  <c r="F44" i="49"/>
  <c r="P43" i="49"/>
  <c r="O43" i="49"/>
  <c r="N43" i="49"/>
  <c r="M43" i="49"/>
  <c r="L43" i="49"/>
  <c r="K43" i="49"/>
  <c r="J43" i="49"/>
  <c r="I43" i="49"/>
  <c r="H43" i="49"/>
  <c r="G43" i="49"/>
  <c r="F43" i="49"/>
  <c r="T11" i="49"/>
  <c r="S11" i="49"/>
  <c r="R11" i="49"/>
  <c r="Q11" i="49"/>
  <c r="P11" i="49"/>
  <c r="O11" i="49"/>
  <c r="N11" i="49"/>
  <c r="M11" i="49"/>
  <c r="L11" i="49"/>
  <c r="K11" i="49"/>
  <c r="J11" i="49"/>
  <c r="I11" i="49"/>
  <c r="H11" i="49"/>
  <c r="G11" i="49"/>
  <c r="F11" i="49"/>
  <c r="E11" i="49"/>
  <c r="D11" i="49"/>
  <c r="T10" i="49"/>
  <c r="S10" i="49"/>
  <c r="S27" i="49" s="1"/>
  <c r="R10" i="49"/>
  <c r="R27" i="49" s="1"/>
  <c r="R30" i="59" s="1"/>
  <c r="Q10" i="49"/>
  <c r="P10" i="49"/>
  <c r="P27" i="49" s="1"/>
  <c r="P30" i="59" s="1"/>
  <c r="O10" i="49"/>
  <c r="N10" i="49"/>
  <c r="N27" i="49" s="1"/>
  <c r="M10" i="49"/>
  <c r="M27" i="49" s="1"/>
  <c r="M30" i="59" s="1"/>
  <c r="L10" i="49"/>
  <c r="L27" i="49" s="1"/>
  <c r="K10" i="49"/>
  <c r="K27" i="49" s="1"/>
  <c r="J10" i="49"/>
  <c r="I10" i="49"/>
  <c r="I27" i="49" s="1"/>
  <c r="I30" i="59" s="1"/>
  <c r="H10" i="49"/>
  <c r="H27" i="49" s="1"/>
  <c r="H30" i="59" s="1"/>
  <c r="G10" i="49"/>
  <c r="F10" i="49"/>
  <c r="E10" i="49"/>
  <c r="E27" i="49" s="1"/>
  <c r="D10" i="49"/>
  <c r="D27"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Y38" i="20"/>
  <c r="U38" i="20"/>
  <c r="R38" i="20"/>
  <c r="Q38" i="20"/>
  <c r="P38" i="20"/>
  <c r="O38" i="20"/>
  <c r="N38" i="20"/>
  <c r="M38" i="20"/>
  <c r="L38" i="20"/>
  <c r="K38" i="20"/>
  <c r="J38" i="20"/>
  <c r="I38" i="20"/>
  <c r="H38" i="20"/>
  <c r="G38" i="20"/>
  <c r="F38" i="20"/>
  <c r="E38" i="20"/>
  <c r="D38" i="20"/>
  <c r="V37" i="20"/>
  <c r="U37" i="20"/>
  <c r="T37" i="20"/>
  <c r="S37" i="20"/>
  <c r="R37" i="20"/>
  <c r="Q37" i="20"/>
  <c r="P37" i="20"/>
  <c r="O37" i="20"/>
  <c r="N37" i="20"/>
  <c r="M37" i="20"/>
  <c r="L37" i="20"/>
  <c r="K37" i="20"/>
  <c r="J37" i="20"/>
  <c r="I37" i="20"/>
  <c r="H37" i="20"/>
  <c r="G37" i="20"/>
  <c r="F37" i="20"/>
  <c r="E37" i="20"/>
  <c r="D37" i="20"/>
  <c r="V36" i="20"/>
  <c r="U36" i="20"/>
  <c r="T36" i="20"/>
  <c r="S36" i="20"/>
  <c r="R36" i="20"/>
  <c r="Q36" i="20"/>
  <c r="P36" i="20"/>
  <c r="O36" i="20"/>
  <c r="N36" i="20"/>
  <c r="M36" i="20"/>
  <c r="L36" i="20"/>
  <c r="K36" i="20"/>
  <c r="J36" i="20"/>
  <c r="I36" i="20"/>
  <c r="H36" i="20"/>
  <c r="G36" i="20"/>
  <c r="F36" i="20"/>
  <c r="E36" i="20"/>
  <c r="D36" i="20"/>
  <c r="T25" i="20"/>
  <c r="T29" i="20" s="1"/>
  <c r="S25" i="20"/>
  <c r="S29" i="20" s="1"/>
  <c r="R25" i="20"/>
  <c r="R29" i="20" s="1"/>
  <c r="R28" i="20" s="1"/>
  <c r="Q25" i="20"/>
  <c r="Q29" i="20" s="1"/>
  <c r="Q28" i="20" s="1"/>
  <c r="P25" i="20"/>
  <c r="P29" i="20" s="1"/>
  <c r="P28" i="20" s="1"/>
  <c r="O25" i="20"/>
  <c r="O29" i="20" s="1"/>
  <c r="O28" i="20" s="1"/>
  <c r="N25" i="20"/>
  <c r="N29" i="20" s="1"/>
  <c r="N28" i="20" s="1"/>
  <c r="M25" i="20"/>
  <c r="M29" i="20" s="1"/>
  <c r="L25" i="20"/>
  <c r="K25" i="20"/>
  <c r="K29" i="20" s="1"/>
  <c r="J25" i="20"/>
  <c r="I25" i="20"/>
  <c r="I29" i="20" s="1"/>
  <c r="H25" i="20"/>
  <c r="H29" i="20" s="1"/>
  <c r="T13" i="20"/>
  <c r="S13" i="20"/>
  <c r="R13" i="20"/>
  <c r="Q13" i="20"/>
  <c r="P13" i="20"/>
  <c r="O13" i="20"/>
  <c r="N13" i="20"/>
  <c r="M13" i="20"/>
  <c r="L13" i="20"/>
  <c r="K13" i="20"/>
  <c r="J13" i="20"/>
  <c r="I13" i="20"/>
  <c r="H13" i="20"/>
  <c r="AC100" i="26"/>
  <c r="AB100" i="26"/>
  <c r="Z100" i="26"/>
  <c r="Y100" i="26"/>
  <c r="X100" i="26"/>
  <c r="W100" i="26"/>
  <c r="V100" i="26"/>
  <c r="U100" i="26"/>
  <c r="T100" i="26"/>
  <c r="S100" i="26"/>
  <c r="Q99" i="26"/>
  <c r="P99" i="26"/>
  <c r="P50" i="20" s="1"/>
  <c r="O99" i="26"/>
  <c r="O50" i="20" s="1"/>
  <c r="N99" i="26"/>
  <c r="N50" i="20" s="1"/>
  <c r="M99" i="26"/>
  <c r="M50" i="20" s="1"/>
  <c r="L99" i="26"/>
  <c r="L50" i="20" s="1"/>
  <c r="K99" i="26"/>
  <c r="J99" i="26"/>
  <c r="J50" i="20" s="1"/>
  <c r="I99" i="26"/>
  <c r="H99" i="26"/>
  <c r="H50" i="20" s="1"/>
  <c r="AD88" i="26"/>
  <c r="AC85" i="26"/>
  <c r="AB85" i="26"/>
  <c r="AA85" i="26"/>
  <c r="Z85" i="26"/>
  <c r="Y85" i="26"/>
  <c r="X85" i="26"/>
  <c r="W85" i="26"/>
  <c r="V85" i="26"/>
  <c r="U85" i="26"/>
  <c r="T85" i="26"/>
  <c r="S85" i="26"/>
  <c r="AC82" i="26"/>
  <c r="AB82" i="26"/>
  <c r="AA82" i="26"/>
  <c r="Z82" i="26"/>
  <c r="Y82" i="26"/>
  <c r="C73" i="26"/>
  <c r="C72" i="26"/>
  <c r="C71" i="26"/>
  <c r="C70" i="26"/>
  <c r="C69" i="26"/>
  <c r="C67" i="26"/>
  <c r="R38" i="26" s="1"/>
  <c r="C66" i="26"/>
  <c r="U37" i="26" s="1"/>
  <c r="C65" i="26"/>
  <c r="R36" i="26" s="1"/>
  <c r="C64" i="26"/>
  <c r="N35" i="26" s="1"/>
  <c r="C63" i="26"/>
  <c r="C58" i="26"/>
  <c r="C50" i="26"/>
  <c r="AC43" i="26"/>
  <c r="AC17" i="26" s="1"/>
  <c r="AB43" i="26"/>
  <c r="AB17" i="26" s="1"/>
  <c r="AA43" i="26"/>
  <c r="AA17" i="26" s="1"/>
  <c r="W43" i="26"/>
  <c r="W17" i="26" s="1"/>
  <c r="T43" i="26"/>
  <c r="T17" i="26" s="1"/>
  <c r="P43" i="26"/>
  <c r="P17" i="26" s="1"/>
  <c r="AA42" i="26"/>
  <c r="Y42" i="26"/>
  <c r="X42" i="26"/>
  <c r="O42" i="26"/>
  <c r="N42" i="26"/>
  <c r="S41"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J13" i="26"/>
  <c r="J87"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C5" i="50"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E7" i="35"/>
  <c r="D6" i="55"/>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C14" i="55"/>
  <c r="B14" i="55"/>
  <c r="C13" i="55"/>
  <c r="B13" i="55"/>
  <c r="C12" i="55"/>
  <c r="B12" i="55"/>
  <c r="C11" i="55"/>
  <c r="B11" i="55"/>
  <c r="C10" i="55"/>
  <c r="B10" i="55"/>
  <c r="F9" i="55"/>
  <c r="F85" i="55" s="1"/>
  <c r="C9" i="55"/>
  <c r="B9" i="55"/>
  <c r="C8" i="55"/>
  <c r="B8" i="55"/>
  <c r="C7" i="55"/>
  <c r="B7" i="55"/>
  <c r="C6" i="55"/>
  <c r="B6" i="55"/>
  <c r="C5" i="55"/>
  <c r="B5" i="55"/>
  <c r="C4" i="55"/>
  <c r="B4" i="55"/>
  <c r="J3" i="55"/>
  <c r="I3" i="55"/>
  <c r="H3" i="55"/>
  <c r="G3" i="55"/>
  <c r="F3" i="55"/>
  <c r="E3" i="55"/>
  <c r="D3" i="55"/>
  <c r="C3" i="55"/>
  <c r="B3" i="55"/>
  <c r="F81" i="46"/>
  <c r="G81" i="46" s="1"/>
  <c r="C81" i="46"/>
  <c r="F80" i="46"/>
  <c r="G80" i="46" s="1"/>
  <c r="C80" i="46"/>
  <c r="F79" i="46"/>
  <c r="G79" i="46" s="1"/>
  <c r="C79" i="46"/>
  <c r="F78" i="46"/>
  <c r="G78" i="46" s="1"/>
  <c r="C78" i="46"/>
  <c r="F77" i="46"/>
  <c r="G77" i="46" s="1"/>
  <c r="C77" i="46"/>
  <c r="G76" i="46"/>
  <c r="F76" i="46"/>
  <c r="C76" i="46"/>
  <c r="F75" i="46"/>
  <c r="G75" i="46" s="1"/>
  <c r="C75" i="46"/>
  <c r="F74" i="46"/>
  <c r="G74" i="46" s="1"/>
  <c r="C74" i="46"/>
  <c r="F73" i="46"/>
  <c r="G73" i="46" s="1"/>
  <c r="C73" i="46"/>
  <c r="F72" i="46"/>
  <c r="G72" i="46" s="1"/>
  <c r="C72" i="46"/>
  <c r="F71" i="46"/>
  <c r="G71" i="46" s="1"/>
  <c r="C71" i="46"/>
  <c r="F70" i="46"/>
  <c r="G70" i="46" s="1"/>
  <c r="C70" i="46"/>
  <c r="F69" i="46"/>
  <c r="G69" i="46" s="1"/>
  <c r="C69" i="46"/>
  <c r="F68" i="46"/>
  <c r="G68" i="46" s="1"/>
  <c r="C68" i="46"/>
  <c r="F67" i="46"/>
  <c r="G67" i="46" s="1"/>
  <c r="C67" i="46"/>
  <c r="F66" i="46"/>
  <c r="G66" i="46" s="1"/>
  <c r="C66" i="46"/>
  <c r="F65" i="46"/>
  <c r="G65" i="46" s="1"/>
  <c r="C65" i="46"/>
  <c r="F64" i="46"/>
  <c r="G64" i="46" s="1"/>
  <c r="C64" i="46"/>
  <c r="F63" i="46"/>
  <c r="G63" i="46" s="1"/>
  <c r="C63" i="46"/>
  <c r="F62" i="46"/>
  <c r="G62" i="46" s="1"/>
  <c r="C62" i="46"/>
  <c r="F61" i="46"/>
  <c r="G61" i="46" s="1"/>
  <c r="C61" i="46"/>
  <c r="F60" i="46"/>
  <c r="G60" i="46" s="1"/>
  <c r="C60" i="46"/>
  <c r="F59" i="46"/>
  <c r="G59" i="46" s="1"/>
  <c r="C59" i="46"/>
  <c r="F58" i="46"/>
  <c r="G58" i="46" s="1"/>
  <c r="C58" i="46"/>
  <c r="F57" i="46"/>
  <c r="C57" i="46"/>
  <c r="F56" i="46"/>
  <c r="G56" i="46" s="1"/>
  <c r="C56" i="46"/>
  <c r="F55" i="46"/>
  <c r="G55" i="46" s="1"/>
  <c r="C55" i="46"/>
  <c r="F54" i="46"/>
  <c r="G54" i="46" s="1"/>
  <c r="C54" i="46"/>
  <c r="F53" i="46"/>
  <c r="G53" i="46" s="1"/>
  <c r="C53" i="46"/>
  <c r="F52" i="46"/>
  <c r="G52" i="46" s="1"/>
  <c r="C52" i="46"/>
  <c r="F51" i="46"/>
  <c r="G51" i="46" s="1"/>
  <c r="C51" i="46"/>
  <c r="F50" i="46"/>
  <c r="G50" i="46" s="1"/>
  <c r="C50" i="46"/>
  <c r="F49" i="46"/>
  <c r="G49" i="46" s="1"/>
  <c r="C49" i="46"/>
  <c r="F48" i="46"/>
  <c r="G48" i="46" s="1"/>
  <c r="C48" i="46"/>
  <c r="F47" i="46"/>
  <c r="G47" i="46" s="1"/>
  <c r="C47" i="46"/>
  <c r="F46" i="46"/>
  <c r="G46" i="46" s="1"/>
  <c r="C46" i="46"/>
  <c r="F45" i="46"/>
  <c r="G45" i="46" s="1"/>
  <c r="C45" i="46"/>
  <c r="F44" i="46"/>
  <c r="G44" i="46" s="1"/>
  <c r="C44" i="46"/>
  <c r="F43" i="46"/>
  <c r="G43" i="46" s="1"/>
  <c r="C43" i="46"/>
  <c r="F42" i="46"/>
  <c r="G42" i="46" s="1"/>
  <c r="C42" i="46"/>
  <c r="F41" i="46"/>
  <c r="G41" i="46" s="1"/>
  <c r="C41" i="46"/>
  <c r="F40" i="46"/>
  <c r="G40" i="46" s="1"/>
  <c r="C40" i="46"/>
  <c r="F39" i="46"/>
  <c r="G39" i="46" s="1"/>
  <c r="C39" i="46"/>
  <c r="F38" i="46"/>
  <c r="G38" i="46" s="1"/>
  <c r="C38" i="46"/>
  <c r="F37" i="46"/>
  <c r="G37" i="46" s="1"/>
  <c r="C37" i="46"/>
  <c r="F36" i="46"/>
  <c r="G36" i="46" s="1"/>
  <c r="C36" i="46"/>
  <c r="F35" i="46"/>
  <c r="G35" i="46" s="1"/>
  <c r="C35" i="46"/>
  <c r="F34" i="46"/>
  <c r="G34" i="46" s="1"/>
  <c r="C34" i="46"/>
  <c r="F33" i="46"/>
  <c r="G33" i="46" s="1"/>
  <c r="C33" i="46"/>
  <c r="F32" i="46"/>
  <c r="G32" i="46" s="1"/>
  <c r="C32" i="46"/>
  <c r="F31" i="46"/>
  <c r="G31" i="46" s="1"/>
  <c r="F30" i="46"/>
  <c r="G30" i="46" s="1"/>
  <c r="F29" i="46"/>
  <c r="G29" i="46" s="1"/>
  <c r="F28" i="46"/>
  <c r="G28" i="46" s="1"/>
  <c r="F27" i="46"/>
  <c r="G27" i="46" s="1"/>
  <c r="C27" i="46"/>
  <c r="F26" i="46"/>
  <c r="G26" i="46" s="1"/>
  <c r="C26" i="46"/>
  <c r="F25" i="46"/>
  <c r="G25" i="46" s="1"/>
  <c r="C25" i="46"/>
  <c r="F24" i="46"/>
  <c r="G24" i="46" s="1"/>
  <c r="C24" i="46"/>
  <c r="F23" i="46"/>
  <c r="G23" i="46" s="1"/>
  <c r="C23" i="46"/>
  <c r="F22" i="46"/>
  <c r="G22" i="46" s="1"/>
  <c r="C22" i="46"/>
  <c r="F21" i="46"/>
  <c r="G21" i="46" s="1"/>
  <c r="C21" i="46"/>
  <c r="F20" i="46"/>
  <c r="G20" i="46" s="1"/>
  <c r="C20" i="46"/>
  <c r="F19" i="46"/>
  <c r="G19" i="46" s="1"/>
  <c r="C19" i="46"/>
  <c r="F18" i="46"/>
  <c r="G18" i="46" s="1"/>
  <c r="C18" i="46"/>
  <c r="F17" i="46"/>
  <c r="G17" i="46" s="1"/>
  <c r="C17" i="46"/>
  <c r="F16" i="46"/>
  <c r="G16" i="46" s="1"/>
  <c r="C16" i="46"/>
  <c r="F15" i="46"/>
  <c r="G15" i="46" s="1"/>
  <c r="C15" i="46"/>
  <c r="F14" i="46"/>
  <c r="G14" i="46" s="1"/>
  <c r="C14" i="46"/>
  <c r="F13" i="46"/>
  <c r="G13" i="46" s="1"/>
  <c r="C13" i="46"/>
  <c r="F12" i="46"/>
  <c r="G12" i="46" s="1"/>
  <c r="C12" i="46"/>
  <c r="F11" i="46"/>
  <c r="G11" i="46" s="1"/>
  <c r="C11" i="46"/>
  <c r="F10" i="46"/>
  <c r="G10" i="46" s="1"/>
  <c r="C10" i="46"/>
  <c r="F9" i="46"/>
  <c r="G9" i="46" s="1"/>
  <c r="C9" i="46"/>
  <c r="F8" i="46"/>
  <c r="G8" i="46" s="1"/>
  <c r="C8" i="46"/>
  <c r="F7" i="46"/>
  <c r="G7" i="46" s="1"/>
  <c r="C7" i="46"/>
  <c r="F6" i="46"/>
  <c r="G6" i="46" s="1"/>
  <c r="C6" i="46"/>
  <c r="F5" i="46"/>
  <c r="G5" i="46" s="1"/>
  <c r="C5" i="46"/>
  <c r="F4" i="46"/>
  <c r="G4" i="46" s="1"/>
  <c r="C4" i="46"/>
  <c r="F3" i="46"/>
  <c r="G3" i="46" s="1"/>
  <c r="C3" i="46"/>
  <c r="C2" i="46"/>
  <c r="H38" i="48" l="1"/>
  <c r="H65" i="48"/>
  <c r="H37" i="48"/>
  <c r="H66" i="48"/>
  <c r="H73" i="48" s="1"/>
  <c r="S4" i="48"/>
  <c r="T12" i="33"/>
  <c r="F24" i="33"/>
  <c r="S28" i="20"/>
  <c r="C5" i="35"/>
  <c r="D7" i="55" s="1"/>
  <c r="D83" i="55" s="1"/>
  <c r="T28" i="20"/>
  <c r="R44" i="59"/>
  <c r="H31" i="59"/>
  <c r="H12" i="49"/>
  <c r="P12" i="49"/>
  <c r="K12" i="49"/>
  <c r="K29" i="49" s="1"/>
  <c r="K30" i="49" s="1"/>
  <c r="S12" i="49"/>
  <c r="AB38" i="70"/>
  <c r="AB12" i="70" s="1"/>
  <c r="AB23" i="70" s="1"/>
  <c r="J2" i="71" s="1"/>
  <c r="AF38" i="70"/>
  <c r="X38" i="70"/>
  <c r="Z39" i="70"/>
  <c r="Z14" i="70" s="1"/>
  <c r="Z24" i="70" s="1"/>
  <c r="H3" i="71" s="1"/>
  <c r="AB40" i="70"/>
  <c r="AB16" i="70" s="1"/>
  <c r="AB25" i="70" s="1"/>
  <c r="J4" i="71" s="1"/>
  <c r="Z38" i="70"/>
  <c r="U14" i="70"/>
  <c r="U24" i="70" s="1"/>
  <c r="C3" i="71" s="1"/>
  <c r="AB39" i="70"/>
  <c r="V40" i="70"/>
  <c r="V16" i="70" s="1"/>
  <c r="V25" i="70" s="1"/>
  <c r="D4" i="71" s="1"/>
  <c r="AD40" i="70"/>
  <c r="AD16" i="70" s="1"/>
  <c r="AD25" i="70" s="1"/>
  <c r="X12" i="70"/>
  <c r="X23" i="70" s="1"/>
  <c r="F2" i="71" s="1"/>
  <c r="X14" i="70"/>
  <c r="X24" i="70" s="1"/>
  <c r="F3" i="71" s="1"/>
  <c r="AC12" i="70"/>
  <c r="AC23" i="70" s="1"/>
  <c r="K2" i="71" s="1"/>
  <c r="W14" i="70"/>
  <c r="W24" i="70" s="1"/>
  <c r="E3" i="71" s="1"/>
  <c r="Y41" i="70"/>
  <c r="Y18" i="70" s="1"/>
  <c r="Y26" i="70" s="1"/>
  <c r="G5" i="71" s="1"/>
  <c r="Y16" i="70"/>
  <c r="Y25" i="70" s="1"/>
  <c r="G4" i="71" s="1"/>
  <c r="AF12" i="70"/>
  <c r="AF23" i="70" s="1"/>
  <c r="Y39" i="70"/>
  <c r="Y14" i="70" s="1"/>
  <c r="Y24" i="70" s="1"/>
  <c r="G3" i="71" s="1"/>
  <c r="O150" i="48"/>
  <c r="U164" i="48"/>
  <c r="V164" i="48" s="1"/>
  <c r="W164" i="48" s="1"/>
  <c r="X164" i="48" s="1"/>
  <c r="Y164" i="48" s="1"/>
  <c r="Z164" i="48" s="1"/>
  <c r="AA164" i="48" s="1"/>
  <c r="AB164" i="48" s="1"/>
  <c r="AC164" i="48" s="1"/>
  <c r="H147" i="48"/>
  <c r="K151" i="48"/>
  <c r="S151" i="48"/>
  <c r="I148" i="48"/>
  <c r="H9" i="48"/>
  <c r="J138" i="48"/>
  <c r="R138" i="48"/>
  <c r="K139" i="48"/>
  <c r="S139" i="48"/>
  <c r="T139" i="48" s="1"/>
  <c r="U139" i="48" s="1"/>
  <c r="V139" i="48" s="1"/>
  <c r="W139" i="48" s="1"/>
  <c r="X139" i="48" s="1"/>
  <c r="Y139" i="48" s="1"/>
  <c r="Y27" i="48" s="1"/>
  <c r="N122" i="48"/>
  <c r="H98" i="48" s="1"/>
  <c r="I98" i="48" s="1"/>
  <c r="J98" i="48" s="1"/>
  <c r="K98" i="48" s="1"/>
  <c r="L98" i="48" s="1"/>
  <c r="K124" i="48"/>
  <c r="Q152" i="48"/>
  <c r="J123" i="48"/>
  <c r="R123" i="48"/>
  <c r="F137" i="48"/>
  <c r="N137" i="48"/>
  <c r="Q149" i="48"/>
  <c r="N148" i="48"/>
  <c r="I147" i="48"/>
  <c r="R150" i="48"/>
  <c r="K147" i="48"/>
  <c r="S147" i="48"/>
  <c r="L148" i="48"/>
  <c r="M151" i="48"/>
  <c r="L123" i="48"/>
  <c r="K138" i="48"/>
  <c r="S138" i="48"/>
  <c r="L139" i="48"/>
  <c r="L124" i="48"/>
  <c r="T22" i="48"/>
  <c r="F9" i="48"/>
  <c r="J122" i="48"/>
  <c r="R122" i="48"/>
  <c r="K123" i="48"/>
  <c r="N124" i="48"/>
  <c r="I100" i="48" s="1"/>
  <c r="J100" i="48" s="1"/>
  <c r="K100" i="48" s="1"/>
  <c r="L100" i="48" s="1"/>
  <c r="I22" i="48"/>
  <c r="G138" i="48"/>
  <c r="O138" i="48"/>
  <c r="H139" i="48"/>
  <c r="P139" i="48"/>
  <c r="T127" i="48"/>
  <c r="T136" i="48" s="1"/>
  <c r="U136" i="48" s="1"/>
  <c r="V136" i="48" s="1"/>
  <c r="W136" i="48" s="1"/>
  <c r="X136" i="48" s="1"/>
  <c r="Y136" i="48" s="1"/>
  <c r="Y24" i="48" s="1"/>
  <c r="M148" i="48"/>
  <c r="U166" i="48"/>
  <c r="V166" i="48" s="1"/>
  <c r="W166" i="48" s="1"/>
  <c r="X166" i="48" s="1"/>
  <c r="Y166" i="48" s="1"/>
  <c r="Z166" i="48" s="1"/>
  <c r="AA166" i="48" s="1"/>
  <c r="AB166" i="48" s="1"/>
  <c r="AC166" i="48" s="1"/>
  <c r="J9" i="48"/>
  <c r="O123" i="48"/>
  <c r="P123" i="48"/>
  <c r="P9" i="48"/>
  <c r="L22" i="48"/>
  <c r="M138" i="48"/>
  <c r="F139" i="48"/>
  <c r="N139" i="48"/>
  <c r="R147" i="48"/>
  <c r="J137" i="48"/>
  <c r="R137" i="48"/>
  <c r="F72" i="48"/>
  <c r="F99" i="48" s="1"/>
  <c r="S170" i="48"/>
  <c r="J147" i="48"/>
  <c r="L151" i="48"/>
  <c r="M152" i="48"/>
  <c r="H72" i="48"/>
  <c r="K150" i="48"/>
  <c r="N151" i="48"/>
  <c r="M123" i="48"/>
  <c r="M22" i="48"/>
  <c r="L127" i="48"/>
  <c r="L136" i="48" s="1"/>
  <c r="M147" i="48"/>
  <c r="G149" i="48"/>
  <c r="O149" i="48"/>
  <c r="G151" i="48"/>
  <c r="O151" i="48"/>
  <c r="H152" i="48"/>
  <c r="P152" i="48"/>
  <c r="M170" i="48"/>
  <c r="AC170" i="48"/>
  <c r="O152" i="48"/>
  <c r="I9" i="48"/>
  <c r="N123" i="48"/>
  <c r="H99" i="48" s="1"/>
  <c r="O170" i="48"/>
  <c r="F127" i="48"/>
  <c r="F136" i="48" s="1"/>
  <c r="I152" i="48"/>
  <c r="G22" i="48"/>
  <c r="O22" i="48"/>
  <c r="F98" i="48"/>
  <c r="E100" i="48"/>
  <c r="U170" i="48"/>
  <c r="S150" i="48"/>
  <c r="G152" i="48"/>
  <c r="G9" i="48"/>
  <c r="O9" i="48"/>
  <c r="G39" i="48"/>
  <c r="G65" i="48" s="1"/>
  <c r="G72" i="48" s="1"/>
  <c r="H22" i="48"/>
  <c r="P22" i="48"/>
  <c r="Q137" i="48"/>
  <c r="F100" i="48"/>
  <c r="U160" i="48"/>
  <c r="V160" i="48" s="1"/>
  <c r="W160" i="48" s="1"/>
  <c r="X160" i="48" s="1"/>
  <c r="Y160" i="48" s="1"/>
  <c r="Z160" i="48" s="1"/>
  <c r="AA160" i="48" s="1"/>
  <c r="AB160" i="48" s="1"/>
  <c r="AC160" i="48" s="1"/>
  <c r="Q12" i="33"/>
  <c r="S12" i="33"/>
  <c r="P12" i="33"/>
  <c r="E12" i="49"/>
  <c r="F12" i="49"/>
  <c r="F29" i="49" s="1"/>
  <c r="N12" i="49"/>
  <c r="N29" i="49" s="1"/>
  <c r="N30" i="49" s="1"/>
  <c r="M12" i="49"/>
  <c r="H29" i="49"/>
  <c r="H30" i="49" s="1"/>
  <c r="G12" i="49"/>
  <c r="G29" i="49" s="1"/>
  <c r="O12" i="49"/>
  <c r="Q12" i="49"/>
  <c r="Q29" i="49" s="1"/>
  <c r="Q30" i="49" s="1"/>
  <c r="Q27" i="49"/>
  <c r="Q30" i="59" s="1"/>
  <c r="I12" i="49"/>
  <c r="I29" i="49" s="1"/>
  <c r="I30" i="49" s="1"/>
  <c r="D12" i="49"/>
  <c r="D29" i="49" s="1"/>
  <c r="D30" i="49" s="1"/>
  <c r="L12" i="49"/>
  <c r="L29" i="49" s="1"/>
  <c r="L30" i="49" s="1"/>
  <c r="T12" i="49"/>
  <c r="F27" i="49"/>
  <c r="T27" i="49"/>
  <c r="U13" i="20"/>
  <c r="AD39" i="70"/>
  <c r="AF40" i="70"/>
  <c r="AE39" i="70"/>
  <c r="AC39" i="70"/>
  <c r="U23" i="70"/>
  <c r="C2" i="71" s="1"/>
  <c r="AB51" i="72"/>
  <c r="AA39" i="70"/>
  <c r="Y38" i="70"/>
  <c r="U40" i="70"/>
  <c r="U16" i="70" s="1"/>
  <c r="AC40" i="70"/>
  <c r="AC16" i="70" s="1"/>
  <c r="AA38" i="70"/>
  <c r="V39" i="70"/>
  <c r="W40" i="70"/>
  <c r="AE40" i="70"/>
  <c r="Z51" i="72"/>
  <c r="AB30" i="72"/>
  <c r="AC30" i="72" s="1"/>
  <c r="AA8" i="72"/>
  <c r="X51" i="72"/>
  <c r="V51" i="72"/>
  <c r="W51" i="72"/>
  <c r="T123" i="48"/>
  <c r="U123" i="48" s="1"/>
  <c r="V123" i="48" s="1"/>
  <c r="W123" i="48" s="1"/>
  <c r="X123" i="48" s="1"/>
  <c r="Y123" i="48" s="1"/>
  <c r="Z123" i="48" s="1"/>
  <c r="AA123" i="48" s="1"/>
  <c r="AB123" i="48" s="1"/>
  <c r="AC123" i="48" s="1"/>
  <c r="O124" i="48"/>
  <c r="P124" i="48"/>
  <c r="H138" i="48"/>
  <c r="P138" i="48"/>
  <c r="I139" i="48"/>
  <c r="Q139" i="48"/>
  <c r="E97" i="48"/>
  <c r="E98" i="48"/>
  <c r="N152" i="48"/>
  <c r="T138" i="48"/>
  <c r="U138" i="48" s="1"/>
  <c r="V138" i="48" s="1"/>
  <c r="Q122" i="48"/>
  <c r="G170" i="48"/>
  <c r="W170" i="48"/>
  <c r="S124" i="48"/>
  <c r="T124" i="48" s="1"/>
  <c r="U124" i="48" s="1"/>
  <c r="V124" i="48" s="1"/>
  <c r="W124" i="48" s="1"/>
  <c r="X124" i="48" s="1"/>
  <c r="Y124" i="48" s="1"/>
  <c r="Z124" i="48" s="1"/>
  <c r="AA124" i="48" s="1"/>
  <c r="AB124" i="48" s="1"/>
  <c r="AC124" i="48" s="1"/>
  <c r="I146" i="48"/>
  <c r="Q146" i="48"/>
  <c r="K148" i="48"/>
  <c r="S148" i="48"/>
  <c r="L149" i="48"/>
  <c r="H151" i="48"/>
  <c r="P151" i="48"/>
  <c r="N9" i="48"/>
  <c r="N22" i="48"/>
  <c r="J22" i="48"/>
  <c r="L138" i="48"/>
  <c r="M139" i="48"/>
  <c r="I44" i="48"/>
  <c r="H170" i="48"/>
  <c r="P170" i="48"/>
  <c r="X170" i="48"/>
  <c r="K127" i="48"/>
  <c r="K120" i="48" s="1"/>
  <c r="M149" i="48"/>
  <c r="I132" i="48"/>
  <c r="J150" i="48" s="1"/>
  <c r="T11" i="48"/>
  <c r="S122" i="48"/>
  <c r="M124" i="48"/>
  <c r="H100" i="48" s="1"/>
  <c r="T137" i="48"/>
  <c r="U137" i="48" s="1"/>
  <c r="V137" i="48" s="1"/>
  <c r="I170" i="48"/>
  <c r="Q170" i="48"/>
  <c r="Y170" i="48"/>
  <c r="O122" i="48"/>
  <c r="N149" i="48"/>
  <c r="F22" i="48"/>
  <c r="F138" i="48"/>
  <c r="N138" i="48"/>
  <c r="G139" i="48"/>
  <c r="O139" i="48"/>
  <c r="S127" i="48"/>
  <c r="S136" i="48" s="1"/>
  <c r="G54" i="59"/>
  <c r="G55" i="59" s="1"/>
  <c r="I31" i="59"/>
  <c r="I33" i="59" s="1"/>
  <c r="Q31" i="59"/>
  <c r="P31" i="59"/>
  <c r="AC29" i="20"/>
  <c r="L5" i="35" s="1"/>
  <c r="M7" i="55" s="1"/>
  <c r="E9" i="50"/>
  <c r="C9" i="50"/>
  <c r="T38" i="26"/>
  <c r="V38" i="26"/>
  <c r="I11" i="26"/>
  <c r="I20" i="26" s="1"/>
  <c r="I84" i="26" s="1"/>
  <c r="I79" i="26" s="1"/>
  <c r="I51" i="20" s="1"/>
  <c r="Q11" i="26"/>
  <c r="N38" i="26"/>
  <c r="S38" i="26"/>
  <c r="F11" i="26"/>
  <c r="F20" i="26" s="1"/>
  <c r="N11" i="26"/>
  <c r="T36" i="26"/>
  <c r="V36" i="26"/>
  <c r="I9" i="50"/>
  <c r="D11" i="26"/>
  <c r="D20" i="26" s="1"/>
  <c r="L11" i="26"/>
  <c r="L20" i="26" s="1"/>
  <c r="L84" i="26" s="1"/>
  <c r="L79" i="26" s="1"/>
  <c r="T11" i="26"/>
  <c r="N37" i="26"/>
  <c r="V37" i="26"/>
  <c r="M35" i="26"/>
  <c r="AD35" i="26" s="1"/>
  <c r="X36" i="26"/>
  <c r="O11" i="26"/>
  <c r="N36" i="26"/>
  <c r="P36" i="26"/>
  <c r="F9" i="50"/>
  <c r="Q36" i="26"/>
  <c r="C52" i="26"/>
  <c r="G9" i="50"/>
  <c r="S36" i="26"/>
  <c r="H11" i="26"/>
  <c r="H20" i="26" s="1"/>
  <c r="H84" i="26" s="1"/>
  <c r="H79" i="26" s="1"/>
  <c r="H51" i="20" s="1"/>
  <c r="H52" i="20" s="1"/>
  <c r="H30" i="20" s="1"/>
  <c r="P11" i="26"/>
  <c r="O37" i="26"/>
  <c r="W37" i="26"/>
  <c r="P37" i="26"/>
  <c r="X37" i="26"/>
  <c r="H9" i="50"/>
  <c r="R11" i="26"/>
  <c r="Q37" i="26"/>
  <c r="R37" i="26"/>
  <c r="R16" i="26" s="1"/>
  <c r="R83" i="26" s="1"/>
  <c r="S37" i="26"/>
  <c r="T37" i="26"/>
  <c r="G11" i="26"/>
  <c r="G20" i="26" s="1"/>
  <c r="M37" i="26"/>
  <c r="E11" i="26"/>
  <c r="E20" i="26" s="1"/>
  <c r="M11" i="26"/>
  <c r="M36" i="26"/>
  <c r="U36" i="26"/>
  <c r="M38" i="26"/>
  <c r="U38" i="26"/>
  <c r="U16" i="26" s="1"/>
  <c r="U83" i="26" s="1"/>
  <c r="C51" i="26"/>
  <c r="O36" i="26"/>
  <c r="W36" i="26"/>
  <c r="O38" i="26"/>
  <c r="W38" i="26"/>
  <c r="P38" i="26"/>
  <c r="X38" i="26"/>
  <c r="C55" i="26"/>
  <c r="Q38" i="26"/>
  <c r="J11" i="26"/>
  <c r="J20" i="26" s="1"/>
  <c r="J84" i="26" s="1"/>
  <c r="K11" i="26"/>
  <c r="K20" i="26" s="1"/>
  <c r="K84" i="26" s="1"/>
  <c r="S11" i="26"/>
  <c r="D91" i="55"/>
  <c r="D65" i="55"/>
  <c r="M65" i="55"/>
  <c r="M101" i="55"/>
  <c r="H66" i="55"/>
  <c r="I75" i="55"/>
  <c r="F91" i="55"/>
  <c r="G92" i="55"/>
  <c r="F59" i="55"/>
  <c r="L92" i="55"/>
  <c r="J65" i="55"/>
  <c r="J91" i="55"/>
  <c r="K22" i="59"/>
  <c r="F66" i="55"/>
  <c r="F92" i="55"/>
  <c r="R17" i="40"/>
  <c r="R15" i="40"/>
  <c r="N24" i="38"/>
  <c r="O24" i="38" s="1"/>
  <c r="M15" i="40"/>
  <c r="M19" i="59"/>
  <c r="M24" i="59" s="1"/>
  <c r="F5" i="50" s="1"/>
  <c r="J14" i="40"/>
  <c r="J16" i="40" s="1"/>
  <c r="R16" i="40"/>
  <c r="O17" i="40"/>
  <c r="O14" i="40"/>
  <c r="O16" i="40" s="1"/>
  <c r="J101" i="55"/>
  <c r="J75" i="55"/>
  <c r="C62" i="26"/>
  <c r="C53" i="26"/>
  <c r="H101" i="55"/>
  <c r="H75" i="55"/>
  <c r="D64" i="55"/>
  <c r="D90" i="55"/>
  <c r="D56" i="55"/>
  <c r="O19" i="59"/>
  <c r="O15" i="40"/>
  <c r="L16" i="40"/>
  <c r="L14" i="40"/>
  <c r="L17" i="40" s="1"/>
  <c r="T14" i="40"/>
  <c r="T17" i="40" s="1"/>
  <c r="Q14" i="40"/>
  <c r="Q15" i="40" s="1"/>
  <c r="I50" i="20"/>
  <c r="AC99" i="26"/>
  <c r="U99" i="26"/>
  <c r="Z99" i="26"/>
  <c r="R99" i="26"/>
  <c r="S99" i="26"/>
  <c r="AA99" i="26"/>
  <c r="Y99" i="26"/>
  <c r="Q50" i="20"/>
  <c r="J9" i="50"/>
  <c r="K92" i="55"/>
  <c r="K66" i="55"/>
  <c r="H65" i="55"/>
  <c r="H91" i="55"/>
  <c r="U51" i="72"/>
  <c r="O48" i="38"/>
  <c r="I67" i="38"/>
  <c r="K122" i="48"/>
  <c r="K9" i="48"/>
  <c r="G38" i="48"/>
  <c r="E66" i="55"/>
  <c r="E92" i="55"/>
  <c r="M66" i="55"/>
  <c r="M92" i="55"/>
  <c r="P32" i="38"/>
  <c r="P36" i="38"/>
  <c r="K55" i="38"/>
  <c r="M48" i="38" s="1"/>
  <c r="N14" i="40"/>
  <c r="N16" i="40" s="1"/>
  <c r="O19" i="25"/>
  <c r="O14" i="59" s="1"/>
  <c r="W99" i="26"/>
  <c r="U17" i="30"/>
  <c r="P29" i="49"/>
  <c r="P30" i="49" s="1"/>
  <c r="R12" i="49"/>
  <c r="K91" i="55"/>
  <c r="K65" i="55"/>
  <c r="K75" i="55"/>
  <c r="K101" i="55"/>
  <c r="J66" i="55"/>
  <c r="Y51" i="72"/>
  <c r="I20" i="25"/>
  <c r="I19" i="25" s="1"/>
  <c r="Q14" i="59"/>
  <c r="W12" i="30"/>
  <c r="V12" i="30"/>
  <c r="AC12" i="30"/>
  <c r="U12" i="30"/>
  <c r="H46" i="30"/>
  <c r="AB12" i="30"/>
  <c r="AA12" i="30"/>
  <c r="Y12" i="30"/>
  <c r="X12" i="30"/>
  <c r="K15" i="30"/>
  <c r="K13" i="30"/>
  <c r="S15" i="30"/>
  <c r="S13" i="30"/>
  <c r="J27" i="49"/>
  <c r="J12" i="49"/>
  <c r="C19" i="49" s="1"/>
  <c r="C20" i="49" s="1"/>
  <c r="K137" i="48"/>
  <c r="K22" i="48"/>
  <c r="S137" i="48"/>
  <c r="S22" i="48"/>
  <c r="D57" i="55"/>
  <c r="E65" i="55"/>
  <c r="I91" i="55"/>
  <c r="E101" i="55"/>
  <c r="N14" i="38"/>
  <c r="S32" i="38"/>
  <c r="O31" i="38"/>
  <c r="Q31" i="38" s="1"/>
  <c r="Q39" i="38"/>
  <c r="Q43" i="38"/>
  <c r="M56" i="38"/>
  <c r="M22" i="59"/>
  <c r="N55" i="38"/>
  <c r="U14" i="25"/>
  <c r="U13" i="25" s="1"/>
  <c r="V12" i="25"/>
  <c r="K50" i="20"/>
  <c r="D9" i="50"/>
  <c r="J12" i="30"/>
  <c r="L30" i="59"/>
  <c r="R29" i="49"/>
  <c r="I92" i="55"/>
  <c r="I66" i="55"/>
  <c r="F101" i="55"/>
  <c r="N11" i="38"/>
  <c r="M16" i="38"/>
  <c r="N16" i="38" s="1"/>
  <c r="S25" i="38"/>
  <c r="M24" i="38"/>
  <c r="N22" i="59"/>
  <c r="J65" i="38"/>
  <c r="K19" i="25"/>
  <c r="S19" i="25"/>
  <c r="E14" i="59"/>
  <c r="E54" i="59" s="1"/>
  <c r="E55" i="59" s="1"/>
  <c r="Z12" i="30"/>
  <c r="S17" i="38"/>
  <c r="L16" i="38"/>
  <c r="M19" i="38"/>
  <c r="T39" i="38"/>
  <c r="O22" i="59"/>
  <c r="K65" i="38"/>
  <c r="K70" i="38" s="1"/>
  <c r="O56" i="38"/>
  <c r="K19" i="59"/>
  <c r="K24" i="59" s="1"/>
  <c r="D5" i="50" s="1"/>
  <c r="K15" i="40"/>
  <c r="S15" i="40"/>
  <c r="P16" i="40"/>
  <c r="M17" i="40"/>
  <c r="N15" i="40"/>
  <c r="S16" i="40"/>
  <c r="D20" i="25"/>
  <c r="L20" i="25"/>
  <c r="T20" i="25"/>
  <c r="I15" i="30"/>
  <c r="N30" i="59"/>
  <c r="N31" i="59" s="1"/>
  <c r="T16" i="59"/>
  <c r="C14" i="35"/>
  <c r="D16" i="55" s="1"/>
  <c r="G65" i="55"/>
  <c r="G91" i="55"/>
  <c r="G101" i="55"/>
  <c r="G75" i="55"/>
  <c r="L65" i="55"/>
  <c r="L101" i="55"/>
  <c r="N12" i="38"/>
  <c r="O23" i="38"/>
  <c r="N23" i="38"/>
  <c r="P28" i="38"/>
  <c r="Q28" i="38" s="1"/>
  <c r="I65" i="38"/>
  <c r="L69" i="38"/>
  <c r="Q16" i="40"/>
  <c r="N17" i="40"/>
  <c r="M20" i="25"/>
  <c r="J13" i="25"/>
  <c r="K20" i="25"/>
  <c r="C68" i="26"/>
  <c r="N40" i="26"/>
  <c r="C54" i="26"/>
  <c r="E54" i="26" s="1"/>
  <c r="Q40" i="26"/>
  <c r="D30" i="59"/>
  <c r="D31" i="59" s="1"/>
  <c r="R30" i="49"/>
  <c r="J20" i="25"/>
  <c r="J19" i="25" s="1"/>
  <c r="R20" i="25"/>
  <c r="R19" i="25" s="1"/>
  <c r="K87" i="26"/>
  <c r="AF13" i="26"/>
  <c r="X99" i="26"/>
  <c r="L29" i="20"/>
  <c r="M28" i="20" s="1"/>
  <c r="U29" i="20"/>
  <c r="O29" i="49"/>
  <c r="N20" i="25"/>
  <c r="F19" i="25"/>
  <c r="F14" i="59" s="1"/>
  <c r="N13" i="30"/>
  <c r="N12" i="30" s="1"/>
  <c r="H15" i="30"/>
  <c r="K30" i="59"/>
  <c r="K31" i="59" s="1"/>
  <c r="S30" i="59"/>
  <c r="S29" i="49"/>
  <c r="S30" i="49" s="1"/>
  <c r="F30" i="59"/>
  <c r="F31" i="59" s="1"/>
  <c r="T30" i="59"/>
  <c r="Q44" i="59"/>
  <c r="N44" i="59"/>
  <c r="O44" i="59"/>
  <c r="M44" i="59"/>
  <c r="O42" i="59"/>
  <c r="O20" i="59" s="1"/>
  <c r="L42" i="59"/>
  <c r="L20" i="59" s="1"/>
  <c r="P42" i="59"/>
  <c r="P20" i="59" s="1"/>
  <c r="P44" i="59"/>
  <c r="K170" i="48"/>
  <c r="L170" i="48"/>
  <c r="AA170" i="48"/>
  <c r="AB170" i="48"/>
  <c r="M21" i="38"/>
  <c r="N21" i="38" s="1"/>
  <c r="L56" i="38"/>
  <c r="L15" i="40"/>
  <c r="T15" i="40"/>
  <c r="D50" i="26"/>
  <c r="AD12" i="26"/>
  <c r="J30" i="26"/>
  <c r="L12" i="30"/>
  <c r="M15" i="30"/>
  <c r="H13" i="30"/>
  <c r="H12" i="30" s="1"/>
  <c r="D19" i="49"/>
  <c r="D20" i="49" s="1"/>
  <c r="U12" i="49"/>
  <c r="W12" i="49" s="1"/>
  <c r="D15" i="59"/>
  <c r="C23" i="33"/>
  <c r="D65" i="59"/>
  <c r="D66" i="59" s="1"/>
  <c r="D68" i="59"/>
  <c r="L15" i="59"/>
  <c r="E20" i="33"/>
  <c r="E23" i="33"/>
  <c r="T15" i="59"/>
  <c r="H20" i="25"/>
  <c r="H19" i="25"/>
  <c r="P20" i="25"/>
  <c r="P19" i="25" s="1"/>
  <c r="D52" i="26"/>
  <c r="AD14" i="26"/>
  <c r="J81" i="26"/>
  <c r="AD19" i="26"/>
  <c r="V99" i="26"/>
  <c r="J29" i="20"/>
  <c r="M12" i="30"/>
  <c r="N15" i="30"/>
  <c r="E29" i="49"/>
  <c r="E30" i="49" s="1"/>
  <c r="M29" i="49"/>
  <c r="M30" i="49" s="1"/>
  <c r="T42" i="59"/>
  <c r="J44" i="59"/>
  <c r="J42" i="59"/>
  <c r="J20" i="59" s="1"/>
  <c r="R42" i="59"/>
  <c r="R20" i="59" s="1"/>
  <c r="I91" i="48"/>
  <c r="I12" i="30"/>
  <c r="F45" i="49"/>
  <c r="G45" i="49" s="1"/>
  <c r="H45" i="49" s="1"/>
  <c r="I45" i="49" s="1"/>
  <c r="R31" i="59"/>
  <c r="I42" i="59"/>
  <c r="I20" i="59" s="1"/>
  <c r="Q42" i="59"/>
  <c r="Q20" i="59" s="1"/>
  <c r="I151" i="48"/>
  <c r="I123" i="48"/>
  <c r="Q151" i="48"/>
  <c r="Q123" i="48"/>
  <c r="J124" i="48"/>
  <c r="J152" i="48"/>
  <c r="R152" i="48"/>
  <c r="R124" i="48"/>
  <c r="T99" i="26"/>
  <c r="AB99" i="26"/>
  <c r="K12" i="30"/>
  <c r="S12" i="30"/>
  <c r="O46" i="30"/>
  <c r="G27" i="49"/>
  <c r="O27" i="49"/>
  <c r="R12" i="33"/>
  <c r="D23" i="33"/>
  <c r="L31" i="59"/>
  <c r="E30" i="59"/>
  <c r="E31" i="59" s="1"/>
  <c r="K44" i="59"/>
  <c r="S44" i="59"/>
  <c r="P150" i="48"/>
  <c r="D51" i="26"/>
  <c r="G56" i="59"/>
  <c r="G25" i="59" s="1"/>
  <c r="M31" i="59"/>
  <c r="L44" i="59"/>
  <c r="T44" i="59"/>
  <c r="M146" i="48"/>
  <c r="M132" i="48"/>
  <c r="N150" i="48" s="1"/>
  <c r="M127" i="48"/>
  <c r="M120" i="48" s="1"/>
  <c r="N146" i="48"/>
  <c r="N147" i="48"/>
  <c r="N127" i="48"/>
  <c r="G148" i="48"/>
  <c r="H148" i="48"/>
  <c r="O148" i="48"/>
  <c r="P148" i="48"/>
  <c r="I149" i="48"/>
  <c r="H149" i="48"/>
  <c r="U12" i="33"/>
  <c r="U10" i="33" s="1"/>
  <c r="O29" i="62" s="1"/>
  <c r="Q29" i="62" s="1"/>
  <c r="N42" i="59"/>
  <c r="N20" i="59" s="1"/>
  <c r="S42" i="59"/>
  <c r="S20" i="59" s="1"/>
  <c r="K42" i="59"/>
  <c r="K20" i="59" s="1"/>
  <c r="M42" i="59"/>
  <c r="M20" i="59" s="1"/>
  <c r="M9" i="48"/>
  <c r="S9" i="48"/>
  <c r="P149" i="48"/>
  <c r="E65" i="59"/>
  <c r="E66" i="59" s="1"/>
  <c r="E68" i="59"/>
  <c r="P15" i="59"/>
  <c r="V12" i="33"/>
  <c r="Q9" i="48"/>
  <c r="I138" i="48"/>
  <c r="Q138" i="48"/>
  <c r="J139" i="48"/>
  <c r="K40" i="48"/>
  <c r="L40" i="48" s="1"/>
  <c r="J66" i="48"/>
  <c r="J73" i="48" s="1"/>
  <c r="J44" i="48"/>
  <c r="T19" i="48" s="1"/>
  <c r="Z41" i="70"/>
  <c r="Z18" i="70" s="1"/>
  <c r="Z25" i="70"/>
  <c r="H4" i="71" s="1"/>
  <c r="W12" i="33"/>
  <c r="F20" i="33"/>
  <c r="Q16" i="59"/>
  <c r="Q22" i="48"/>
  <c r="F97" i="48"/>
  <c r="J170" i="48"/>
  <c r="R170" i="48"/>
  <c r="Z170" i="48"/>
  <c r="J151" i="48"/>
  <c r="R151" i="48"/>
  <c r="K152" i="48"/>
  <c r="L152" i="48"/>
  <c r="S152" i="48"/>
  <c r="V27" i="48"/>
  <c r="AA41" i="70"/>
  <c r="AA18" i="70" s="1"/>
  <c r="AA25" i="70"/>
  <c r="I4" i="71" s="1"/>
  <c r="I192" i="65"/>
  <c r="K194" i="65"/>
  <c r="R3" i="21"/>
  <c r="R13" i="21"/>
  <c r="U51" i="21"/>
  <c r="U50" i="21"/>
  <c r="W11" i="21"/>
  <c r="D67" i="59"/>
  <c r="D71" i="59" s="1"/>
  <c r="L9" i="48"/>
  <c r="T122" i="48"/>
  <c r="U122" i="48" s="1"/>
  <c r="V122" i="48" s="1"/>
  <c r="W122" i="48" s="1"/>
  <c r="X122" i="48" s="1"/>
  <c r="Y122" i="48" s="1"/>
  <c r="Z122" i="48" s="1"/>
  <c r="AA122" i="48" s="1"/>
  <c r="AB122" i="48" s="1"/>
  <c r="AC122" i="48" s="1"/>
  <c r="T9" i="48"/>
  <c r="R22" i="48"/>
  <c r="R139" i="48"/>
  <c r="T170" i="48"/>
  <c r="T158" i="48" s="1"/>
  <c r="G147" i="48"/>
  <c r="O147" i="48"/>
  <c r="H124" i="48"/>
  <c r="G40" i="48"/>
  <c r="G127" i="48"/>
  <c r="G132" i="48"/>
  <c r="G150" i="48" s="1"/>
  <c r="O146" i="48"/>
  <c r="O127" i="48"/>
  <c r="O136" i="48" s="1"/>
  <c r="P147" i="48"/>
  <c r="Q147" i="48"/>
  <c r="Q148" i="48"/>
  <c r="Q127" i="48"/>
  <c r="J149" i="48"/>
  <c r="K149" i="48"/>
  <c r="R149" i="48"/>
  <c r="S149" i="48"/>
  <c r="H123" i="48"/>
  <c r="I127" i="48"/>
  <c r="G193" i="65"/>
  <c r="G194" i="65"/>
  <c r="S123" i="48"/>
  <c r="J127" i="48"/>
  <c r="G146" i="48"/>
  <c r="E67" i="59"/>
  <c r="E71" i="59" s="1"/>
  <c r="R9" i="48"/>
  <c r="G37" i="48"/>
  <c r="P122" i="48"/>
  <c r="H146" i="48"/>
  <c r="M192" i="65"/>
  <c r="H127" i="48"/>
  <c r="H120" i="48" s="1"/>
  <c r="P127" i="48"/>
  <c r="J148" i="48"/>
  <c r="R148" i="48"/>
  <c r="Q150" i="48"/>
  <c r="J146"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6" i="48"/>
  <c r="I73" i="48" s="1"/>
  <c r="E91" i="48"/>
  <c r="E99" i="48" s="1"/>
  <c r="N170" i="48"/>
  <c r="V170" i="48"/>
  <c r="D10" i="21"/>
  <c r="N43" i="26" s="1"/>
  <c r="C10" i="21"/>
  <c r="G5" i="21"/>
  <c r="Q17" i="59" s="1"/>
  <c r="J4" i="50" s="1"/>
  <c r="I5" i="21"/>
  <c r="S17" i="59" s="1"/>
  <c r="H5" i="21"/>
  <c r="R17" i="59" s="1"/>
  <c r="K4" i="50" s="1"/>
  <c r="F16" i="5"/>
  <c r="L19" i="21"/>
  <c r="V37" i="30" s="1"/>
  <c r="V20" i="30" s="1"/>
  <c r="E7" i="5"/>
  <c r="B16" i="5"/>
  <c r="F5" i="21"/>
  <c r="K9" i="21"/>
  <c r="O137" i="48"/>
  <c r="R127" i="48"/>
  <c r="R120" i="48" s="1"/>
  <c r="K146" i="48"/>
  <c r="S146" i="48"/>
  <c r="L147" i="48"/>
  <c r="H132" i="48"/>
  <c r="P146" i="48"/>
  <c r="U162" i="48"/>
  <c r="V162" i="48" s="1"/>
  <c r="W162" i="48" s="1"/>
  <c r="X162" i="48" s="1"/>
  <c r="Y162" i="48" s="1"/>
  <c r="Z162" i="48" s="1"/>
  <c r="AA162" i="48" s="1"/>
  <c r="AB162" i="48" s="1"/>
  <c r="AC162" i="48" s="1"/>
  <c r="P137" i="48"/>
  <c r="L146" i="48"/>
  <c r="L132" i="48"/>
  <c r="L122" i="48" s="1"/>
  <c r="R146"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43" i="26" s="1"/>
  <c r="Q17" i="26" s="1"/>
  <c r="H10" i="21"/>
  <c r="R43" i="26" s="1"/>
  <c r="R17" i="26" s="1"/>
  <c r="M7" i="21"/>
  <c r="L7" i="21"/>
  <c r="K7" i="21"/>
  <c r="J7" i="21"/>
  <c r="E77" i="21" s="1"/>
  <c r="E21" i="21"/>
  <c r="C75" i="21"/>
  <c r="I10" i="21"/>
  <c r="S43" i="26" s="1"/>
  <c r="S17" i="26" s="1"/>
  <c r="X40" i="70"/>
  <c r="X16" i="70" s="1"/>
  <c r="W38" i="70"/>
  <c r="V38" i="70"/>
  <c r="AE38" i="70"/>
  <c r="AD38" i="70"/>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43"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43"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43"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43"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H63" i="48" l="1"/>
  <c r="H70" i="48" s="1"/>
  <c r="H64" i="48"/>
  <c r="H71" i="48" s="1"/>
  <c r="F30" i="49"/>
  <c r="H14" i="20"/>
  <c r="AB41" i="70"/>
  <c r="AB18" i="70" s="1"/>
  <c r="Y42" i="70"/>
  <c r="Y20" i="70" s="1"/>
  <c r="Y27" i="70" s="1"/>
  <c r="G6" i="71" s="1"/>
  <c r="AD41" i="70"/>
  <c r="V41" i="70"/>
  <c r="V18" i="70" s="1"/>
  <c r="AC14" i="70"/>
  <c r="AC24" i="70" s="1"/>
  <c r="K3" i="71" s="1"/>
  <c r="AB14" i="70"/>
  <c r="AB24" i="70" s="1"/>
  <c r="J3" i="71" s="1"/>
  <c r="Y12" i="70"/>
  <c r="Y23" i="70" s="1"/>
  <c r="G2" i="71" s="1"/>
  <c r="AE14" i="70"/>
  <c r="AE24" i="70" s="1"/>
  <c r="AD12" i="70"/>
  <c r="AD23" i="70" s="1"/>
  <c r="AE12" i="70"/>
  <c r="AE23" i="70" s="1"/>
  <c r="AE41" i="70"/>
  <c r="AE16" i="70"/>
  <c r="AE25" i="70" s="1"/>
  <c r="Z12" i="70"/>
  <c r="Z23" i="70" s="1"/>
  <c r="H2" i="71" s="1"/>
  <c r="V12" i="70"/>
  <c r="V23" i="70" s="1"/>
  <c r="D2" i="71" s="1"/>
  <c r="W41" i="70"/>
  <c r="W16" i="70"/>
  <c r="W25" i="70" s="1"/>
  <c r="E4" i="71" s="1"/>
  <c r="AF41" i="70"/>
  <c r="AF16" i="70"/>
  <c r="AF25" i="70" s="1"/>
  <c r="W12" i="70"/>
  <c r="W23" i="70" s="1"/>
  <c r="E2" i="71" s="1"/>
  <c r="V14" i="70"/>
  <c r="V24" i="70" s="1"/>
  <c r="D3" i="71" s="1"/>
  <c r="AD14" i="70"/>
  <c r="AD24" i="70" s="1"/>
  <c r="AA12" i="70"/>
  <c r="AA23" i="70" s="1"/>
  <c r="I2" i="71" s="1"/>
  <c r="AA14" i="70"/>
  <c r="AA24" i="70" s="1"/>
  <c r="I3" i="71" s="1"/>
  <c r="AD18" i="70"/>
  <c r="AD26" i="70" s="1"/>
  <c r="T27" i="48"/>
  <c r="C22" i="35" s="1"/>
  <c r="M8" i="50" s="1"/>
  <c r="H22" i="35"/>
  <c r="I24" i="55" s="1"/>
  <c r="I100" i="55" s="1"/>
  <c r="U27" i="48"/>
  <c r="Z139" i="48"/>
  <c r="AA139" i="48" s="1"/>
  <c r="AB139" i="48" s="1"/>
  <c r="AC139" i="48" s="1"/>
  <c r="AC27" i="48" s="1"/>
  <c r="W27" i="48"/>
  <c r="F22" i="35" s="1"/>
  <c r="G24" i="55" s="1"/>
  <c r="G100" i="55" s="1"/>
  <c r="X27" i="48"/>
  <c r="G22" i="35" s="1"/>
  <c r="H24" i="55" s="1"/>
  <c r="H100" i="55" s="1"/>
  <c r="U25" i="48"/>
  <c r="U158" i="48"/>
  <c r="V158" i="48" s="1"/>
  <c r="W158" i="48" s="1"/>
  <c r="X158" i="48" s="1"/>
  <c r="Y158" i="48" s="1"/>
  <c r="Z158" i="48" s="1"/>
  <c r="AA158" i="48" s="1"/>
  <c r="AB158" i="48" s="1"/>
  <c r="AC158" i="48" s="1"/>
  <c r="K136" i="48"/>
  <c r="C20" i="35"/>
  <c r="D22" i="55" s="1"/>
  <c r="D98" i="55" s="1"/>
  <c r="M137" i="48"/>
  <c r="T120" i="48"/>
  <c r="U120" i="48" s="1"/>
  <c r="V120" i="48" s="1"/>
  <c r="W120" i="48" s="1"/>
  <c r="X120" i="48" s="1"/>
  <c r="Y120" i="48" s="1"/>
  <c r="Z120" i="48" s="1"/>
  <c r="AA120" i="48" s="1"/>
  <c r="AB120" i="48" s="1"/>
  <c r="AC120" i="48" s="1"/>
  <c r="P145" i="48"/>
  <c r="H150" i="48"/>
  <c r="M136" i="48"/>
  <c r="J99" i="48"/>
  <c r="K99" i="48" s="1"/>
  <c r="L99" i="48" s="1"/>
  <c r="N145" i="48"/>
  <c r="AA27" i="48"/>
  <c r="J22" i="35" s="1"/>
  <c r="K24" i="55" s="1"/>
  <c r="H43" i="48"/>
  <c r="I137" i="48"/>
  <c r="L120" i="48"/>
  <c r="X24" i="48"/>
  <c r="I99" i="48"/>
  <c r="L145" i="48"/>
  <c r="W24" i="48"/>
  <c r="M145" i="48"/>
  <c r="U24" i="48"/>
  <c r="G145" i="48"/>
  <c r="I122" i="48"/>
  <c r="V24" i="48"/>
  <c r="R33" i="59"/>
  <c r="S31" i="59"/>
  <c r="S33" i="59" s="1"/>
  <c r="T31" i="59"/>
  <c r="J29" i="49"/>
  <c r="J30" i="49" s="1"/>
  <c r="E19" i="49"/>
  <c r="E20" i="49" s="1"/>
  <c r="E21" i="49" s="1"/>
  <c r="T29" i="49"/>
  <c r="C11" i="35"/>
  <c r="D13" i="55" s="1"/>
  <c r="L33" i="59"/>
  <c r="V13" i="20"/>
  <c r="E6" i="55"/>
  <c r="AD42" i="70"/>
  <c r="AB42" i="70"/>
  <c r="AB26" i="70"/>
  <c r="J5" i="71" s="1"/>
  <c r="U41" i="70"/>
  <c r="U18" i="70" s="1"/>
  <c r="U25" i="70"/>
  <c r="C4" i="71" s="1"/>
  <c r="V26" i="70"/>
  <c r="D5" i="71" s="1"/>
  <c r="AC41" i="70"/>
  <c r="AC18" i="70" s="1"/>
  <c r="AC25" i="70"/>
  <c r="K4" i="71" s="1"/>
  <c r="AB8" i="72"/>
  <c r="AC8" i="72" s="1"/>
  <c r="E22" i="35"/>
  <c r="F24" i="55" s="1"/>
  <c r="F100" i="55" s="1"/>
  <c r="T18" i="48"/>
  <c r="H137" i="48"/>
  <c r="P120" i="48"/>
  <c r="J145" i="48"/>
  <c r="U26" i="48"/>
  <c r="P136" i="48"/>
  <c r="G99" i="48"/>
  <c r="H136" i="48"/>
  <c r="S120" i="48"/>
  <c r="D22" i="35"/>
  <c r="E24" i="55" s="1"/>
  <c r="E100" i="55" s="1"/>
  <c r="O120" i="48"/>
  <c r="C19" i="35"/>
  <c r="D21" i="55" s="1"/>
  <c r="D71" i="55" s="1"/>
  <c r="Q33" i="59"/>
  <c r="O54" i="59"/>
  <c r="O55" i="59" s="1"/>
  <c r="M33" i="59"/>
  <c r="Q54" i="59"/>
  <c r="Q55" i="59" s="1"/>
  <c r="E33" i="59"/>
  <c r="N16" i="26"/>
  <c r="N83" i="26" s="1"/>
  <c r="T16" i="26"/>
  <c r="T83" i="26" s="1"/>
  <c r="V16" i="26"/>
  <c r="V83" i="26" s="1"/>
  <c r="S16" i="26"/>
  <c r="S83" i="26" s="1"/>
  <c r="I52" i="20"/>
  <c r="W16" i="26"/>
  <c r="W83" i="26" s="1"/>
  <c r="P16" i="26"/>
  <c r="P83" i="26" s="1"/>
  <c r="O16" i="26"/>
  <c r="O83" i="26" s="1"/>
  <c r="AD36" i="26"/>
  <c r="K79" i="26"/>
  <c r="K51" i="20" s="1"/>
  <c r="K52" i="20" s="1"/>
  <c r="K14" i="20" s="1"/>
  <c r="X16" i="26"/>
  <c r="X83" i="26" s="1"/>
  <c r="M16" i="26"/>
  <c r="AD37" i="26"/>
  <c r="C57" i="26"/>
  <c r="J79" i="26"/>
  <c r="J51" i="20" s="1"/>
  <c r="J52" i="20" s="1"/>
  <c r="J14" i="20" s="1"/>
  <c r="E52" i="26"/>
  <c r="Q16" i="26"/>
  <c r="Q83" i="26" s="1"/>
  <c r="C49" i="26"/>
  <c r="AD38" i="26"/>
  <c r="E51" i="26"/>
  <c r="U15" i="59"/>
  <c r="V10" i="33"/>
  <c r="D12" i="35"/>
  <c r="E14" i="55" s="1"/>
  <c r="F54" i="59"/>
  <c r="F55" i="59" s="1"/>
  <c r="F56"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41" i="26"/>
  <c r="U50" i="20"/>
  <c r="D3" i="35"/>
  <c r="E5" i="55" s="1"/>
  <c r="M15" i="21"/>
  <c r="W42" i="26"/>
  <c r="C14" i="21"/>
  <c r="C83" i="21"/>
  <c r="W13" i="21"/>
  <c r="K15" i="21"/>
  <c r="U42" i="26"/>
  <c r="S15" i="21"/>
  <c r="AC42" i="26"/>
  <c r="J20" i="21"/>
  <c r="T38" i="30" s="1"/>
  <c r="J24" i="21"/>
  <c r="E22" i="21"/>
  <c r="O40" i="30" s="1"/>
  <c r="O39" i="30"/>
  <c r="W7" i="21"/>
  <c r="C77" i="21"/>
  <c r="G93" i="55"/>
  <c r="G67" i="55"/>
  <c r="U37" i="21"/>
  <c r="M37" i="21"/>
  <c r="Q37" i="21"/>
  <c r="P37" i="21"/>
  <c r="O37" i="21"/>
  <c r="N37" i="21"/>
  <c r="L37" i="21"/>
  <c r="S37" i="21"/>
  <c r="V37" i="21"/>
  <c r="T37" i="21"/>
  <c r="R37" i="21"/>
  <c r="V41" i="26"/>
  <c r="G63" i="48"/>
  <c r="G70" i="48" s="1"/>
  <c r="G97" i="48" s="1"/>
  <c r="H41" i="48"/>
  <c r="I145" i="48"/>
  <c r="R14" i="21"/>
  <c r="G83" i="21"/>
  <c r="I65" i="48"/>
  <c r="I72" i="48" s="1"/>
  <c r="I43" i="48"/>
  <c r="J39" i="48"/>
  <c r="V50" i="20"/>
  <c r="E3" i="35"/>
  <c r="F5" i="55" s="1"/>
  <c r="V29" i="20"/>
  <c r="D5" i="35"/>
  <c r="E7" i="55" s="1"/>
  <c r="L51" i="20"/>
  <c r="L52" i="20" s="1"/>
  <c r="L14" i="20" s="1"/>
  <c r="E2" i="50"/>
  <c r="D92" i="55"/>
  <c r="D66" i="55"/>
  <c r="D19" i="25"/>
  <c r="D14" i="59" s="1"/>
  <c r="M83" i="55"/>
  <c r="M57" i="55"/>
  <c r="G64" i="48"/>
  <c r="G71" i="48" s="1"/>
  <c r="G98" i="48" s="1"/>
  <c r="H42" i="48"/>
  <c r="AC50" i="20"/>
  <c r="L3" i="35"/>
  <c r="M5" i="55" s="1"/>
  <c r="L4" i="50"/>
  <c r="W138" i="48"/>
  <c r="V26" i="48"/>
  <c r="R43" i="21"/>
  <c r="V43" i="21"/>
  <c r="U43" i="21"/>
  <c r="T43" i="21"/>
  <c r="S43" i="21"/>
  <c r="G79" i="21"/>
  <c r="AB41"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41" i="26"/>
  <c r="N17" i="26"/>
  <c r="S34" i="21"/>
  <c r="P34" i="21"/>
  <c r="G15" i="21"/>
  <c r="Q42" i="26"/>
  <c r="C79" i="21"/>
  <c r="W9" i="21"/>
  <c r="H145" i="48"/>
  <c r="K145" i="48"/>
  <c r="Q145" i="48"/>
  <c r="Q136" i="48"/>
  <c r="N136" i="48"/>
  <c r="N120" i="48"/>
  <c r="H97" i="48" s="1"/>
  <c r="I97" i="48" s="1"/>
  <c r="J97" i="48" s="1"/>
  <c r="K97" i="48" s="1"/>
  <c r="L97" i="48" s="1"/>
  <c r="M9" i="50"/>
  <c r="C3" i="35"/>
  <c r="D5" i="55" s="1"/>
  <c r="T50" i="20"/>
  <c r="G58" i="59"/>
  <c r="G23" i="59" s="1"/>
  <c r="J30" i="59"/>
  <c r="J31" i="59" s="1"/>
  <c r="J33" i="59" s="1"/>
  <c r="Y50" i="20"/>
  <c r="H3" i="35"/>
  <c r="I5" i="55" s="1"/>
  <c r="Q17" i="40"/>
  <c r="M34" i="26"/>
  <c r="L15" i="21"/>
  <c r="V42" i="26"/>
  <c r="F80" i="21"/>
  <c r="X43" i="26"/>
  <c r="X17" i="26" s="1"/>
  <c r="D82" i="21"/>
  <c r="H193" i="65"/>
  <c r="AA42" i="70"/>
  <c r="AA26" i="70"/>
  <c r="I5" i="71" s="1"/>
  <c r="K66" i="48"/>
  <c r="K73" i="48" s="1"/>
  <c r="K44" i="48"/>
  <c r="M19" i="25"/>
  <c r="M14" i="59" s="1"/>
  <c r="M54" i="59" s="1"/>
  <c r="M55" i="59" s="1"/>
  <c r="S18" i="38"/>
  <c r="L17" i="38"/>
  <c r="J14" i="21"/>
  <c r="E83" i="21"/>
  <c r="C80" i="21"/>
  <c r="W10" i="21"/>
  <c r="O30" i="21"/>
  <c r="G30" i="21"/>
  <c r="N30" i="21"/>
  <c r="E30" i="21"/>
  <c r="V30" i="21"/>
  <c r="M30" i="21"/>
  <c r="U30" i="21"/>
  <c r="L30" i="21"/>
  <c r="T30" i="21"/>
  <c r="K30" i="21"/>
  <c r="S30" i="21"/>
  <c r="R30" i="21"/>
  <c r="Q30" i="21"/>
  <c r="P30" i="21"/>
  <c r="H30" i="21"/>
  <c r="F30" i="21"/>
  <c r="I30" i="21"/>
  <c r="J30" i="21"/>
  <c r="O41" i="26"/>
  <c r="O39"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41" i="26"/>
  <c r="O36" i="30"/>
  <c r="O24" i="59"/>
  <c r="H5" i="50" s="1"/>
  <c r="J93" i="55"/>
  <c r="J67" i="55"/>
  <c r="X41" i="70"/>
  <c r="X18" i="70" s="1"/>
  <c r="X25" i="70"/>
  <c r="F4" i="71" s="1"/>
  <c r="D22" i="21"/>
  <c r="N40" i="30" s="1"/>
  <c r="N39" i="30"/>
  <c r="R40" i="21"/>
  <c r="Q40" i="21"/>
  <c r="P40" i="21"/>
  <c r="O40" i="21"/>
  <c r="V40" i="21"/>
  <c r="U40" i="21"/>
  <c r="T40" i="21"/>
  <c r="S40" i="21"/>
  <c r="Y41" i="26"/>
  <c r="G137" i="48"/>
  <c r="L4" i="21"/>
  <c r="V18" i="59" s="1"/>
  <c r="V24" i="59" s="1"/>
  <c r="M4" i="21"/>
  <c r="W18" i="59" s="1"/>
  <c r="W24" i="59" s="1"/>
  <c r="K4" i="21"/>
  <c r="U18" i="59" s="1"/>
  <c r="U24" i="59" s="1"/>
  <c r="J4" i="21"/>
  <c r="J34" i="21"/>
  <c r="I34" i="21"/>
  <c r="I15" i="21"/>
  <c r="S42" i="26"/>
  <c r="S39" i="26" s="1"/>
  <c r="I136" i="48"/>
  <c r="L194" i="65"/>
  <c r="R136" i="48"/>
  <c r="M150" i="48"/>
  <c r="M83" i="26"/>
  <c r="H14" i="59"/>
  <c r="X12" i="49"/>
  <c r="I70" i="38"/>
  <c r="N33" i="59"/>
  <c r="U20" i="25"/>
  <c r="C9" i="35"/>
  <c r="T40" i="38"/>
  <c r="P39" i="38"/>
  <c r="R39" i="38" s="1"/>
  <c r="P48" i="38"/>
  <c r="J67" i="38"/>
  <c r="S33" i="38"/>
  <c r="O32" i="38"/>
  <c r="Q32" i="38" s="1"/>
  <c r="AA50" i="20"/>
  <c r="J3" i="35"/>
  <c r="K5" i="55" s="1"/>
  <c r="J21" i="21"/>
  <c r="E76" i="21"/>
  <c r="J18" i="21"/>
  <c r="T45" i="30"/>
  <c r="D75" i="21"/>
  <c r="P17" i="59"/>
  <c r="I4" i="50" s="1"/>
  <c r="L5" i="50"/>
  <c r="J29" i="26"/>
  <c r="AD29" i="26" s="1"/>
  <c r="AD30" i="26"/>
  <c r="AE12" i="26" s="1"/>
  <c r="D25" i="21"/>
  <c r="N36" i="30"/>
  <c r="E75" i="21"/>
  <c r="V14" i="25"/>
  <c r="V13" i="25" s="1"/>
  <c r="W12" i="25"/>
  <c r="W50" i="20"/>
  <c r="F3" i="35"/>
  <c r="G5" i="55" s="1"/>
  <c r="J17" i="40"/>
  <c r="J15" i="40"/>
  <c r="V14" i="40"/>
  <c r="O23" i="21"/>
  <c r="Y45" i="30"/>
  <c r="H7" i="35" s="1"/>
  <c r="I9" i="55" s="1"/>
  <c r="M67" i="55"/>
  <c r="M93" i="55"/>
  <c r="P15" i="21"/>
  <c r="F85" i="21" s="1"/>
  <c r="Z42" i="26"/>
  <c r="O24" i="21"/>
  <c r="V32" i="21"/>
  <c r="N32" i="21"/>
  <c r="R32" i="21"/>
  <c r="I32" i="21"/>
  <c r="Q32" i="21"/>
  <c r="H32" i="21"/>
  <c r="P32" i="21"/>
  <c r="G32" i="21"/>
  <c r="O32" i="21"/>
  <c r="U32" i="21"/>
  <c r="T32" i="21"/>
  <c r="S32" i="21"/>
  <c r="K32" i="21"/>
  <c r="M32" i="21"/>
  <c r="L32" i="21"/>
  <c r="J32" i="21"/>
  <c r="Q41" i="26"/>
  <c r="T44" i="21"/>
  <c r="V44" i="21"/>
  <c r="U44" i="21"/>
  <c r="S44" i="21"/>
  <c r="AC41" i="26"/>
  <c r="F20" i="21"/>
  <c r="P38" i="30" s="1"/>
  <c r="K67" i="55"/>
  <c r="K93" i="55"/>
  <c r="S41" i="21"/>
  <c r="T41" i="21"/>
  <c r="R41" i="21"/>
  <c r="Q41" i="21"/>
  <c r="P41" i="21"/>
  <c r="V41" i="21"/>
  <c r="U41" i="21"/>
  <c r="Z41" i="26"/>
  <c r="I150" i="48"/>
  <c r="K34" i="21"/>
  <c r="Q34" i="21"/>
  <c r="H15" i="21"/>
  <c r="R42" i="26"/>
  <c r="J136" i="48"/>
  <c r="G66" i="48"/>
  <c r="G73" i="48" s="1"/>
  <c r="G100" i="48" s="1"/>
  <c r="H44" i="48"/>
  <c r="Z42" i="70"/>
  <c r="Z26" i="70"/>
  <c r="H5" i="71" s="1"/>
  <c r="O30" i="59"/>
  <c r="O31" i="59" s="1"/>
  <c r="O30" i="49"/>
  <c r="U42" i="59"/>
  <c r="T20" i="59"/>
  <c r="F19" i="49"/>
  <c r="F20" i="49" s="1"/>
  <c r="X50" i="20"/>
  <c r="G3" i="35"/>
  <c r="H5" i="55" s="1"/>
  <c r="R14" i="59"/>
  <c r="R54" i="59" s="1"/>
  <c r="R55" i="59" s="1"/>
  <c r="K14" i="59"/>
  <c r="K54" i="59" s="1"/>
  <c r="K55" i="59" s="1"/>
  <c r="T19" i="25"/>
  <c r="C8" i="35" s="1"/>
  <c r="D10" i="55" s="1"/>
  <c r="S50" i="20"/>
  <c r="L9" i="50"/>
  <c r="K66" i="38"/>
  <c r="F67" i="55"/>
  <c r="F93" i="55"/>
  <c r="Z136" i="48"/>
  <c r="Z24" i="48" s="1"/>
  <c r="I69" i="38"/>
  <c r="I66" i="38"/>
  <c r="M21" i="21"/>
  <c r="M20" i="21"/>
  <c r="W38" i="30" s="1"/>
  <c r="M24" i="21"/>
  <c r="W45" i="30"/>
  <c r="F7" i="35" s="1"/>
  <c r="G9" i="55" s="1"/>
  <c r="G76" i="21"/>
  <c r="AB45" i="30"/>
  <c r="K7" i="35" s="1"/>
  <c r="L9" i="55" s="1"/>
  <c r="J19" i="21"/>
  <c r="T37" i="30" s="1"/>
  <c r="D83" i="21"/>
  <c r="F14" i="21"/>
  <c r="AB50" i="20"/>
  <c r="K3" i="35"/>
  <c r="L5" i="55" s="1"/>
  <c r="P14" i="59"/>
  <c r="AD40" i="26"/>
  <c r="AE19" i="26" s="1"/>
  <c r="P23" i="21"/>
  <c r="Z45" i="30"/>
  <c r="I7" i="35" s="1"/>
  <c r="J9" i="55" s="1"/>
  <c r="G24" i="21"/>
  <c r="E80" i="21"/>
  <c r="U43" i="26"/>
  <c r="U17" i="26" s="1"/>
  <c r="M18" i="21"/>
  <c r="O33" i="21"/>
  <c r="U33" i="21"/>
  <c r="L33" i="21"/>
  <c r="T33" i="21"/>
  <c r="K33" i="21"/>
  <c r="S33" i="21"/>
  <c r="J33" i="21"/>
  <c r="R33" i="21"/>
  <c r="I33" i="21"/>
  <c r="H33" i="21"/>
  <c r="V33" i="21"/>
  <c r="N33" i="21"/>
  <c r="Q33" i="21"/>
  <c r="P33" i="21"/>
  <c r="R41"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41" i="26"/>
  <c r="L150" i="48"/>
  <c r="L137" i="48"/>
  <c r="G136" i="48"/>
  <c r="L34" i="21"/>
  <c r="D74" i="21"/>
  <c r="P18" i="59"/>
  <c r="P24" i="59" s="1"/>
  <c r="I5" i="50" s="1"/>
  <c r="M19" i="21"/>
  <c r="W37" i="30" s="1"/>
  <c r="W20" i="30" s="1"/>
  <c r="H194" i="65"/>
  <c r="J120" i="48"/>
  <c r="Q120" i="48"/>
  <c r="G30" i="59"/>
  <c r="G31" i="59" s="1"/>
  <c r="G30" i="49"/>
  <c r="E56" i="59"/>
  <c r="E25" i="59" s="1"/>
  <c r="D21" i="49"/>
  <c r="F33" i="59"/>
  <c r="U15" i="30"/>
  <c r="U13" i="30"/>
  <c r="V17" i="30"/>
  <c r="K9" i="50"/>
  <c r="R50" i="20"/>
  <c r="T16" i="40"/>
  <c r="N56" i="38"/>
  <c r="S14" i="59"/>
  <c r="S54" i="59" s="1"/>
  <c r="S55" i="59" s="1"/>
  <c r="Q23" i="21"/>
  <c r="AA45" i="30"/>
  <c r="J7" i="35" s="1"/>
  <c r="K9" i="55" s="1"/>
  <c r="U36" i="30"/>
  <c r="G75" i="21"/>
  <c r="AB17" i="59"/>
  <c r="K15" i="35" s="1"/>
  <c r="L17" i="55" s="1"/>
  <c r="R145" i="48"/>
  <c r="S145" i="48"/>
  <c r="W137" i="48"/>
  <c r="V25" i="48"/>
  <c r="I14" i="59"/>
  <c r="W3" i="21"/>
  <c r="U48" i="21"/>
  <c r="M48" i="21"/>
  <c r="E48" i="21"/>
  <c r="E47" i="21" s="1"/>
  <c r="O89" i="26" s="1"/>
  <c r="T48" i="21"/>
  <c r="K48" i="21"/>
  <c r="S48" i="21"/>
  <c r="J48" i="21"/>
  <c r="R48" i="21"/>
  <c r="I48" i="21"/>
  <c r="Q48" i="21"/>
  <c r="H48" i="21"/>
  <c r="P48" i="21"/>
  <c r="O48" i="21"/>
  <c r="N48" i="21"/>
  <c r="H8" i="21"/>
  <c r="L48" i="21"/>
  <c r="D48" i="21"/>
  <c r="D47" i="21" s="1"/>
  <c r="N89" i="26" s="1"/>
  <c r="G48" i="21"/>
  <c r="G47" i="21" s="1"/>
  <c r="F48" i="21"/>
  <c r="F47" i="21" s="1"/>
  <c r="P89"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41" i="26"/>
  <c r="C74" i="21"/>
  <c r="G74" i="21"/>
  <c r="AB18" i="59"/>
  <c r="AB24" i="59" s="1"/>
  <c r="N19" i="21"/>
  <c r="W6" i="21"/>
  <c r="P36" i="21"/>
  <c r="S36" i="21"/>
  <c r="R36" i="21"/>
  <c r="Q36" i="21"/>
  <c r="O36" i="21"/>
  <c r="V36" i="21"/>
  <c r="U36" i="21"/>
  <c r="T36" i="21"/>
  <c r="L36" i="21"/>
  <c r="M36" i="21"/>
  <c r="K36" i="21"/>
  <c r="N36" i="21"/>
  <c r="U41" i="26"/>
  <c r="M34" i="21"/>
  <c r="S38" i="21"/>
  <c r="P38" i="21"/>
  <c r="O38" i="21"/>
  <c r="N38" i="21"/>
  <c r="V38" i="21"/>
  <c r="M38" i="21"/>
  <c r="U38" i="21"/>
  <c r="T38" i="21"/>
  <c r="R38" i="21"/>
  <c r="Q38" i="21"/>
  <c r="W41" i="26"/>
  <c r="H122" i="48"/>
  <c r="O145" i="48"/>
  <c r="D80" i="21"/>
  <c r="I120" i="48"/>
  <c r="M122" i="48"/>
  <c r="E50" i="26"/>
  <c r="J14" i="59"/>
  <c r="J54" i="59" s="1"/>
  <c r="J55" i="59" s="1"/>
  <c r="L19" i="25"/>
  <c r="L14" i="59" s="1"/>
  <c r="L54" i="59" s="1"/>
  <c r="L55" i="59" s="1"/>
  <c r="S26" i="38"/>
  <c r="M26" i="38" s="1"/>
  <c r="O26" i="38" s="1"/>
  <c r="M25" i="38"/>
  <c r="O25" i="38" s="1"/>
  <c r="N19" i="25"/>
  <c r="N14" i="59" s="1"/>
  <c r="N54" i="59" s="1"/>
  <c r="N55" i="59" s="1"/>
  <c r="I3" i="35"/>
  <c r="J5" i="55" s="1"/>
  <c r="Z50" i="20"/>
  <c r="K56" i="38"/>
  <c r="I42" i="48" l="1"/>
  <c r="J38" i="48"/>
  <c r="I64" i="48"/>
  <c r="I71" i="48" s="1"/>
  <c r="J37" i="48"/>
  <c r="I63" i="48"/>
  <c r="I70" i="48" s="1"/>
  <c r="I41" i="48"/>
  <c r="C21" i="35"/>
  <c r="D23" i="55" s="1"/>
  <c r="D99" i="55" s="1"/>
  <c r="F21" i="49"/>
  <c r="U27" i="49" s="1"/>
  <c r="W13" i="20"/>
  <c r="I30" i="20"/>
  <c r="I14" i="20"/>
  <c r="L22" i="35"/>
  <c r="M24" i="55" s="1"/>
  <c r="M74" i="55" s="1"/>
  <c r="V42" i="70"/>
  <c r="AD20" i="70"/>
  <c r="AD27" i="70" s="1"/>
  <c r="AA20" i="70"/>
  <c r="AA27" i="70" s="1"/>
  <c r="I6" i="71" s="1"/>
  <c r="AB20" i="70"/>
  <c r="AB27" i="70" s="1"/>
  <c r="J6" i="71" s="1"/>
  <c r="AF42" i="70"/>
  <c r="AF18" i="70"/>
  <c r="AF26" i="70" s="1"/>
  <c r="AE42" i="70"/>
  <c r="AE18" i="70"/>
  <c r="AE26" i="70" s="1"/>
  <c r="W42" i="70"/>
  <c r="W18" i="70"/>
  <c r="W26" i="70" s="1"/>
  <c r="E5" i="71" s="1"/>
  <c r="Z20" i="70"/>
  <c r="Z27" i="70" s="1"/>
  <c r="H6" i="71" s="1"/>
  <c r="V20" i="70"/>
  <c r="V27" i="70" s="1"/>
  <c r="D6" i="71" s="1"/>
  <c r="Z27" i="48"/>
  <c r="I74" i="55"/>
  <c r="AB27" i="48"/>
  <c r="D72" i="55"/>
  <c r="E74" i="55"/>
  <c r="F74" i="55"/>
  <c r="K100" i="55"/>
  <c r="K74" i="55"/>
  <c r="H74" i="55"/>
  <c r="G74" i="55"/>
  <c r="M100" i="55"/>
  <c r="D97" i="55"/>
  <c r="D24" i="55"/>
  <c r="D74" i="55" s="1"/>
  <c r="U22" i="48"/>
  <c r="C10" i="35"/>
  <c r="D12" i="55" s="1"/>
  <c r="T30" i="49"/>
  <c r="D63" i="55"/>
  <c r="D89" i="55"/>
  <c r="E82" i="55"/>
  <c r="E56" i="55"/>
  <c r="AC42" i="70"/>
  <c r="AC26" i="70"/>
  <c r="K5" i="71" s="1"/>
  <c r="U42" i="70"/>
  <c r="U26" i="70"/>
  <c r="C5" i="71" s="1"/>
  <c r="AA46" i="72"/>
  <c r="AA51" i="72" s="1"/>
  <c r="U19" i="48"/>
  <c r="U11" i="30"/>
  <c r="F58" i="59"/>
  <c r="F23" i="59" s="1"/>
  <c r="R39" i="26"/>
  <c r="D2" i="50"/>
  <c r="AD16" i="26"/>
  <c r="C2" i="50"/>
  <c r="Q39" i="26"/>
  <c r="AD17" i="26"/>
  <c r="D54" i="59"/>
  <c r="D55" i="59" s="1"/>
  <c r="D56" i="59"/>
  <c r="D25" i="59" s="1"/>
  <c r="F74" i="21"/>
  <c r="X18" i="59"/>
  <c r="X24" i="59" s="1"/>
  <c r="F15" i="21"/>
  <c r="D85" i="21" s="1"/>
  <c r="D84" i="21"/>
  <c r="D87" i="21" s="1"/>
  <c r="P42" i="26"/>
  <c r="P39" i="26" s="1"/>
  <c r="H22" i="21"/>
  <c r="R40" i="30" s="1"/>
  <c r="R39" i="30"/>
  <c r="AD41" i="26"/>
  <c r="AE13" i="26" s="1"/>
  <c r="S28" i="21"/>
  <c r="AC87" i="26" s="1"/>
  <c r="P36" i="30"/>
  <c r="AA39"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29" i="20"/>
  <c r="E5" i="35"/>
  <c r="F7" i="55" s="1"/>
  <c r="S47" i="21"/>
  <c r="AC89" i="26" s="1"/>
  <c r="E84" i="21"/>
  <c r="J15" i="21"/>
  <c r="E85" i="21" s="1"/>
  <c r="E87" i="21" s="1"/>
  <c r="T42" i="26"/>
  <c r="J55" i="55"/>
  <c r="J81" i="55"/>
  <c r="K28" i="21"/>
  <c r="U87" i="26" s="1"/>
  <c r="N28" i="21"/>
  <c r="X87" i="26" s="1"/>
  <c r="S52" i="21"/>
  <c r="K52" i="21"/>
  <c r="V52" i="21"/>
  <c r="M52" i="21"/>
  <c r="U52" i="21"/>
  <c r="L52" i="21"/>
  <c r="L47" i="21" s="1"/>
  <c r="V89" i="26" s="1"/>
  <c r="T52" i="21"/>
  <c r="T47" i="21" s="1"/>
  <c r="J52" i="21"/>
  <c r="J47" i="21" s="1"/>
  <c r="T89" i="26" s="1"/>
  <c r="R52" i="21"/>
  <c r="R47" i="21" s="1"/>
  <c r="AB89" i="26" s="1"/>
  <c r="I52" i="21"/>
  <c r="D78" i="21"/>
  <c r="Q52" i="21"/>
  <c r="N52" i="21"/>
  <c r="N47" i="21" s="1"/>
  <c r="X89" i="26" s="1"/>
  <c r="P52" i="21"/>
  <c r="P47" i="21" s="1"/>
  <c r="Z89" i="26" s="1"/>
  <c r="O52" i="21"/>
  <c r="H52" i="21"/>
  <c r="H47" i="21" s="1"/>
  <c r="I54" i="59"/>
  <c r="I55" i="59" s="1"/>
  <c r="I56" i="59"/>
  <c r="V15" i="30"/>
  <c r="V13" i="30"/>
  <c r="V11" i="30" s="1"/>
  <c r="V46" i="30" s="1"/>
  <c r="E6" i="35" s="1"/>
  <c r="F8" i="55" s="1"/>
  <c r="W17" i="30"/>
  <c r="J16" i="35"/>
  <c r="K18" i="55" s="1"/>
  <c r="K22" i="21"/>
  <c r="U39" i="30"/>
  <c r="P25" i="21"/>
  <c r="Z43" i="30" s="1"/>
  <c r="Z41" i="30"/>
  <c r="Z24" i="30" s="1"/>
  <c r="V42" i="59"/>
  <c r="U20" i="59"/>
  <c r="AC13" i="26"/>
  <c r="AC39" i="26"/>
  <c r="T36" i="30"/>
  <c r="T14" i="59"/>
  <c r="E16" i="35"/>
  <c r="F18" i="55" s="1"/>
  <c r="V43" i="30"/>
  <c r="L26" i="21"/>
  <c r="G22" i="21"/>
  <c r="Q40" i="30" s="1"/>
  <c r="Q39" i="30"/>
  <c r="AD43" i="26"/>
  <c r="AE16" i="26" s="1"/>
  <c r="H93" i="55"/>
  <c r="H67" i="55"/>
  <c r="M46" i="38"/>
  <c r="M47" i="38" s="1"/>
  <c r="V13" i="26"/>
  <c r="V39" i="26"/>
  <c r="E58" i="59"/>
  <c r="E23" i="59" s="1"/>
  <c r="W39" i="26"/>
  <c r="W13" i="26"/>
  <c r="K85" i="55"/>
  <c r="K59" i="55"/>
  <c r="L28" i="21"/>
  <c r="V87" i="26" s="1"/>
  <c r="Q28" i="21"/>
  <c r="AA87" i="26" s="1"/>
  <c r="S43" i="30"/>
  <c r="I26" i="21"/>
  <c r="O47" i="21"/>
  <c r="Y89" i="26" s="1"/>
  <c r="K47" i="21"/>
  <c r="U89" i="26" s="1"/>
  <c r="X137" i="48"/>
  <c r="W25" i="48"/>
  <c r="Q25" i="21"/>
  <c r="AA43" i="30" s="1"/>
  <c r="AA41" i="30"/>
  <c r="AA24" i="30" s="1"/>
  <c r="J30" i="20"/>
  <c r="O15" i="30"/>
  <c r="O13" i="30"/>
  <c r="O12" i="30" s="1"/>
  <c r="H81" i="55"/>
  <c r="H55" i="55"/>
  <c r="O33" i="59"/>
  <c r="P33" i="59"/>
  <c r="J22" i="21"/>
  <c r="T40" i="30" s="1"/>
  <c r="T39" i="30"/>
  <c r="J69" i="38"/>
  <c r="J66" i="38"/>
  <c r="Y39" i="26"/>
  <c r="Y13" i="26"/>
  <c r="N17" i="38"/>
  <c r="X13" i="26"/>
  <c r="X39" i="26"/>
  <c r="C15" i="21"/>
  <c r="W14" i="21"/>
  <c r="C84" i="21"/>
  <c r="K30"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82" i="26"/>
  <c r="M33" i="26"/>
  <c r="N34" i="26"/>
  <c r="M15" i="26"/>
  <c r="W8" i="21"/>
  <c r="E90" i="55"/>
  <c r="E64" i="55"/>
  <c r="F22" i="21"/>
  <c r="P40" i="30" s="1"/>
  <c r="P39" i="30"/>
  <c r="O28" i="21"/>
  <c r="Y87" i="26" s="1"/>
  <c r="H85" i="55"/>
  <c r="H59" i="55"/>
  <c r="L85" i="55"/>
  <c r="L59" i="55"/>
  <c r="O25" i="21"/>
  <c r="Y43" i="30" s="1"/>
  <c r="Y41" i="30"/>
  <c r="Y24" i="30" s="1"/>
  <c r="C15" i="35"/>
  <c r="D17" i="55" s="1"/>
  <c r="M4" i="50"/>
  <c r="K81" i="55"/>
  <c r="K55" i="55"/>
  <c r="H56" i="59"/>
  <c r="H25" i="59" s="1"/>
  <c r="H54" i="59"/>
  <c r="H55" i="59" s="1"/>
  <c r="G25" i="21"/>
  <c r="Q36" i="30"/>
  <c r="I193" i="65"/>
  <c r="J70" i="38"/>
  <c r="K6" i="50"/>
  <c r="R46" i="30"/>
  <c r="F81" i="55"/>
  <c r="F55" i="55"/>
  <c r="G84" i="21"/>
  <c r="G87" i="21" s="1"/>
  <c r="R15" i="21"/>
  <c r="G85" i="21" s="1"/>
  <c r="AB42" i="26"/>
  <c r="AB39" i="26" s="1"/>
  <c r="T39" i="26"/>
  <c r="M94" i="55"/>
  <c r="M68" i="55"/>
  <c r="V15" i="59"/>
  <c r="W10" i="33"/>
  <c r="E12" i="35"/>
  <c r="F14" i="55" s="1"/>
  <c r="M22" i="21"/>
  <c r="W40" i="30" s="1"/>
  <c r="W39" i="30"/>
  <c r="K16" i="35"/>
  <c r="L18" i="55" s="1"/>
  <c r="U13" i="26"/>
  <c r="U39" i="26"/>
  <c r="P28" i="21"/>
  <c r="Z87" i="26" s="1"/>
  <c r="M28" i="21"/>
  <c r="W87" i="26" s="1"/>
  <c r="I6" i="50"/>
  <c r="P46" i="30"/>
  <c r="Q89" i="26"/>
  <c r="Q47" i="21"/>
  <c r="AA89" i="26" s="1"/>
  <c r="M47" i="21"/>
  <c r="W89" i="26" s="1"/>
  <c r="L67" i="55"/>
  <c r="L93" i="55"/>
  <c r="G33" i="59"/>
  <c r="H33" i="59"/>
  <c r="I194" i="65"/>
  <c r="N39" i="26"/>
  <c r="X13" i="20"/>
  <c r="Z13" i="26"/>
  <c r="Z39" i="26"/>
  <c r="G81" i="55"/>
  <c r="G55" i="55"/>
  <c r="P40" i="38"/>
  <c r="T41" i="38"/>
  <c r="M194" i="65"/>
  <c r="E74" i="21"/>
  <c r="T18" i="59"/>
  <c r="T24" i="59" s="1"/>
  <c r="W4" i="21"/>
  <c r="Q15" i="30"/>
  <c r="Q13" i="30"/>
  <c r="Q12" i="30" s="1"/>
  <c r="I81" i="55"/>
  <c r="I55" i="55"/>
  <c r="K33" i="59"/>
  <c r="R13" i="30"/>
  <c r="R12" i="30" s="1"/>
  <c r="R15" i="30"/>
  <c r="L30" i="20"/>
  <c r="E55" i="55"/>
  <c r="E81" i="55"/>
  <c r="K73" i="38"/>
  <c r="K71" i="38"/>
  <c r="O33" i="38"/>
  <c r="Q33" i="38" s="1"/>
  <c r="S34" i="38"/>
  <c r="M81" i="55"/>
  <c r="M55" i="55"/>
  <c r="R28" i="21"/>
  <c r="AB87" i="26" s="1"/>
  <c r="V28" i="21"/>
  <c r="P15" i="30"/>
  <c r="P13" i="30"/>
  <c r="P12" i="30" s="1"/>
  <c r="I47" i="21"/>
  <c r="S89" i="26" s="1"/>
  <c r="U47" i="21"/>
  <c r="H16" i="35"/>
  <c r="I18" i="55" s="1"/>
  <c r="P54" i="59"/>
  <c r="P55" i="59" s="1"/>
  <c r="G85" i="55"/>
  <c r="G59" i="55"/>
  <c r="AA136" i="48"/>
  <c r="AA24" i="48" s="1"/>
  <c r="U29" i="49"/>
  <c r="U30" i="59"/>
  <c r="V27" i="49"/>
  <c r="D11" i="35"/>
  <c r="D11" i="55"/>
  <c r="D16" i="35"/>
  <c r="E18" i="55" s="1"/>
  <c r="X42" i="70"/>
  <c r="X26" i="70"/>
  <c r="F5" i="71" s="1"/>
  <c r="L44" i="48"/>
  <c r="L66" i="48"/>
  <c r="H25" i="21"/>
  <c r="R36" i="30"/>
  <c r="AB13" i="26"/>
  <c r="X138" i="48"/>
  <c r="W26" i="48"/>
  <c r="E83" i="55"/>
  <c r="E57" i="55"/>
  <c r="J43" i="48"/>
  <c r="J65" i="48"/>
  <c r="J72" i="48" s="1"/>
  <c r="K39" i="48"/>
  <c r="L39" i="48" s="1"/>
  <c r="J41" i="48" l="1"/>
  <c r="U11" i="48" s="1"/>
  <c r="J63" i="48"/>
  <c r="J70" i="48" s="1"/>
  <c r="K37" i="48"/>
  <c r="L37" i="48" s="1"/>
  <c r="M7" i="50"/>
  <c r="K38" i="48"/>
  <c r="L38" i="48" s="1"/>
  <c r="L64" i="48" s="1"/>
  <c r="J64" i="48"/>
  <c r="J71" i="48" s="1"/>
  <c r="J42" i="48"/>
  <c r="U13" i="48" s="1"/>
  <c r="H58" i="59"/>
  <c r="H23" i="59" s="1"/>
  <c r="U31" i="59"/>
  <c r="AF20" i="70"/>
  <c r="AF27" i="70" s="1"/>
  <c r="AC20" i="70"/>
  <c r="AC27" i="70" s="1"/>
  <c r="K6" i="71" s="1"/>
  <c r="X20" i="70"/>
  <c r="X27" i="70" s="1"/>
  <c r="F6" i="71" s="1"/>
  <c r="W20" i="70"/>
  <c r="W27" i="70" s="1"/>
  <c r="E6" i="71" s="1"/>
  <c r="U20" i="70"/>
  <c r="U27" i="70" s="1"/>
  <c r="C6" i="71" s="1"/>
  <c r="AE20" i="70"/>
  <c r="AE27" i="70" s="1"/>
  <c r="I22" i="35"/>
  <c r="J24" i="55" s="1"/>
  <c r="J74" i="55" s="1"/>
  <c r="K22" i="35"/>
  <c r="L24" i="55" s="1"/>
  <c r="D100" i="55"/>
  <c r="D73" i="55"/>
  <c r="D62" i="55"/>
  <c r="D88" i="55"/>
  <c r="F6" i="55"/>
  <c r="F82" i="55" s="1"/>
  <c r="E13" i="55"/>
  <c r="E63" i="55" s="1"/>
  <c r="O32" i="62"/>
  <c r="Q32" i="62" s="1"/>
  <c r="E11" i="55"/>
  <c r="E61" i="55" s="1"/>
  <c r="O33" i="62"/>
  <c r="Q33" i="62" s="1"/>
  <c r="E20" i="35"/>
  <c r="F22" i="55" s="1"/>
  <c r="F72" i="55" s="1"/>
  <c r="W22" i="48"/>
  <c r="D20" i="35"/>
  <c r="E22" i="55" s="1"/>
  <c r="L63" i="48"/>
  <c r="L41" i="48"/>
  <c r="V19" i="48"/>
  <c r="V18" i="48" s="1"/>
  <c r="U16" i="48"/>
  <c r="V16" i="48" s="1"/>
  <c r="U18" i="48"/>
  <c r="U46" i="30"/>
  <c r="D58" i="59"/>
  <c r="D23" i="59" s="1"/>
  <c r="C18" i="35"/>
  <c r="D20" i="55" s="1"/>
  <c r="AD39" i="26"/>
  <c r="R89" i="26"/>
  <c r="W47" i="21"/>
  <c r="AD13" i="26"/>
  <c r="Q43" i="30"/>
  <c r="G26" i="21"/>
  <c r="F94" i="55"/>
  <c r="F68" i="55"/>
  <c r="V20" i="59"/>
  <c r="W42" i="59"/>
  <c r="D84" i="55"/>
  <c r="D58" i="55"/>
  <c r="J68" i="55"/>
  <c r="J94" i="55"/>
  <c r="K43" i="48"/>
  <c r="K65" i="48"/>
  <c r="K72" i="48" s="1"/>
  <c r="I68" i="55"/>
  <c r="I94" i="55"/>
  <c r="L68" i="55"/>
  <c r="L94" i="55"/>
  <c r="D67" i="55"/>
  <c r="D93" i="55"/>
  <c r="D53" i="26"/>
  <c r="M20" i="26"/>
  <c r="M84" i="26" s="1"/>
  <c r="M79" i="26" s="1"/>
  <c r="G94" i="55"/>
  <c r="G68" i="55"/>
  <c r="D85" i="55"/>
  <c r="D59" i="55"/>
  <c r="G16" i="35"/>
  <c r="H18" i="55" s="1"/>
  <c r="R43" i="30"/>
  <c r="H26" i="21"/>
  <c r="C85" i="21"/>
  <c r="C87" i="21" s="1"/>
  <c r="W15" i="21"/>
  <c r="F84" i="55"/>
  <c r="F58" i="55"/>
  <c r="E94" i="55"/>
  <c r="E68" i="55"/>
  <c r="C16" i="35"/>
  <c r="D18" i="55" s="1"/>
  <c r="M5" i="50"/>
  <c r="O43" i="30"/>
  <c r="E26" i="21"/>
  <c r="T54" i="59"/>
  <c r="T55" i="59" s="1"/>
  <c r="W13" i="30"/>
  <c r="W11" i="30" s="1"/>
  <c r="W46" i="30" s="1"/>
  <c r="F6" i="35" s="1"/>
  <c r="G8" i="55" s="1"/>
  <c r="X17" i="30"/>
  <c r="W15" i="30"/>
  <c r="F86" i="55"/>
  <c r="F60" i="55"/>
  <c r="W43" i="30"/>
  <c r="M26" i="21"/>
  <c r="J73" i="38"/>
  <c r="J71" i="38"/>
  <c r="F57" i="55"/>
  <c r="F83" i="55"/>
  <c r="D87" i="55"/>
  <c r="D61" i="55"/>
  <c r="G19" i="49"/>
  <c r="G20" i="49" s="1"/>
  <c r="G21" i="49" s="1"/>
  <c r="J25" i="21"/>
  <c r="X29" i="20"/>
  <c r="F5" i="35"/>
  <c r="G7" i="55" s="1"/>
  <c r="E86" i="55"/>
  <c r="E60" i="55"/>
  <c r="J56" i="59"/>
  <c r="I25" i="59"/>
  <c r="E87" i="55"/>
  <c r="V30" i="59"/>
  <c r="V29" i="49"/>
  <c r="V30" i="49" s="1"/>
  <c r="W27" i="49"/>
  <c r="E11" i="35"/>
  <c r="F13" i="55" s="1"/>
  <c r="U10" i="26"/>
  <c r="D10" i="35"/>
  <c r="E12" i="55" s="1"/>
  <c r="N33" i="26"/>
  <c r="O34" i="26"/>
  <c r="N15" i="26"/>
  <c r="N20" i="26" s="1"/>
  <c r="N84" i="26" s="1"/>
  <c r="N82" i="26"/>
  <c r="U30" i="49"/>
  <c r="AB136" i="48"/>
  <c r="AB24" i="48" s="1"/>
  <c r="S35" i="38"/>
  <c r="O34" i="38"/>
  <c r="Q34" i="38" s="1"/>
  <c r="G6" i="55"/>
  <c r="F90" i="55"/>
  <c r="F64" i="55"/>
  <c r="P41" i="38"/>
  <c r="R41" i="38" s="1"/>
  <c r="T42" i="38"/>
  <c r="Y13" i="20"/>
  <c r="X10" i="33"/>
  <c r="F12" i="35"/>
  <c r="G14" i="55" s="1"/>
  <c r="W15" i="59"/>
  <c r="F65" i="59"/>
  <c r="F66" i="59" s="1"/>
  <c r="G20" i="33"/>
  <c r="F68" i="59"/>
  <c r="U40" i="30"/>
  <c r="K25" i="21"/>
  <c r="I58" i="59"/>
  <c r="I23" i="59" s="1"/>
  <c r="V14" i="59"/>
  <c r="E9" i="35"/>
  <c r="F11" i="55" s="1"/>
  <c r="W20" i="25"/>
  <c r="W11" i="25" s="1"/>
  <c r="W19" i="25" s="1"/>
  <c r="F8" i="35" s="1"/>
  <c r="G10" i="55" s="1"/>
  <c r="X14" i="25"/>
  <c r="X13" i="25" s="1"/>
  <c r="Y12" i="25"/>
  <c r="Y138" i="48"/>
  <c r="X26" i="48"/>
  <c r="R40" i="38"/>
  <c r="L19" i="38"/>
  <c r="N19" i="38" s="1"/>
  <c r="S20" i="38"/>
  <c r="L20" i="38" s="1"/>
  <c r="N20" i="38" s="1"/>
  <c r="N46" i="38" s="1"/>
  <c r="N47" i="38" s="1"/>
  <c r="L46" i="38"/>
  <c r="L47" i="38" s="1"/>
  <c r="Y137" i="48"/>
  <c r="X25" i="48"/>
  <c r="K68" i="55"/>
  <c r="K94" i="55"/>
  <c r="U14" i="59"/>
  <c r="F25" i="21"/>
  <c r="AD42" i="26"/>
  <c r="AE14" i="26" s="1"/>
  <c r="O48" i="62" l="1"/>
  <c r="Q48" i="62" s="1"/>
  <c r="V13" i="48"/>
  <c r="W13" i="48" s="1"/>
  <c r="K42" i="48"/>
  <c r="L42" i="48"/>
  <c r="K64" i="48"/>
  <c r="K71" i="48" s="1"/>
  <c r="K41" i="48"/>
  <c r="K63" i="48"/>
  <c r="K70" i="48" s="1"/>
  <c r="U10" i="48"/>
  <c r="O49" i="62" s="1"/>
  <c r="Q49" i="62" s="1"/>
  <c r="V11" i="48"/>
  <c r="E89" i="55"/>
  <c r="J100" i="55"/>
  <c r="L74" i="55"/>
  <c r="L100" i="55"/>
  <c r="F98" i="55"/>
  <c r="U15" i="48"/>
  <c r="W19" i="48"/>
  <c r="W18" i="48" s="1"/>
  <c r="F56" i="55"/>
  <c r="E21" i="35"/>
  <c r="F23" i="55" s="1"/>
  <c r="D21" i="35"/>
  <c r="E23" i="55" s="1"/>
  <c r="E72" i="55"/>
  <c r="E98" i="55"/>
  <c r="F20" i="35"/>
  <c r="G22" i="55" s="1"/>
  <c r="D6" i="35"/>
  <c r="E8" i="55" s="1"/>
  <c r="N79" i="26"/>
  <c r="G2" i="50" s="1"/>
  <c r="M51" i="20"/>
  <c r="M52" i="20" s="1"/>
  <c r="M14" i="20" s="1"/>
  <c r="F2" i="50"/>
  <c r="W16" i="48"/>
  <c r="V15" i="48"/>
  <c r="Z138" i="48"/>
  <c r="Y26" i="48"/>
  <c r="F89" i="55"/>
  <c r="F63" i="55"/>
  <c r="G86" i="55"/>
  <c r="G60" i="55"/>
  <c r="Y14" i="25"/>
  <c r="Y13" i="25" s="1"/>
  <c r="Z12" i="25"/>
  <c r="W30" i="59"/>
  <c r="W29" i="49"/>
  <c r="X27" i="49"/>
  <c r="F11" i="35"/>
  <c r="G13" i="55" s="1"/>
  <c r="H68" i="55"/>
  <c r="H94" i="55"/>
  <c r="D49" i="26"/>
  <c r="E53" i="26"/>
  <c r="E49" i="26" s="1"/>
  <c r="D70" i="55"/>
  <c r="D96" i="55"/>
  <c r="U43" i="30"/>
  <c r="K26" i="21"/>
  <c r="AC136" i="48"/>
  <c r="O33" i="26"/>
  <c r="O82" i="26"/>
  <c r="O15" i="26"/>
  <c r="P34" i="26"/>
  <c r="V10" i="26"/>
  <c r="E10" i="35"/>
  <c r="F12" i="55" s="1"/>
  <c r="V31" i="59"/>
  <c r="D18" i="35"/>
  <c r="E20" i="55" s="1"/>
  <c r="Y29" i="20"/>
  <c r="G5" i="35"/>
  <c r="H7" i="55" s="1"/>
  <c r="P42" i="38"/>
  <c r="R42" i="38" s="1"/>
  <c r="T43" i="38"/>
  <c r="S36" i="38"/>
  <c r="O36" i="38" s="1"/>
  <c r="O35" i="38"/>
  <c r="Q35" i="38" s="1"/>
  <c r="K56" i="59"/>
  <c r="J25" i="59"/>
  <c r="J58" i="59"/>
  <c r="J23" i="59" s="1"/>
  <c r="G82" i="55"/>
  <c r="G56" i="55"/>
  <c r="X13" i="30"/>
  <c r="X11" i="30" s="1"/>
  <c r="X46" i="30" s="1"/>
  <c r="G6" i="35" s="1"/>
  <c r="H8" i="55" s="1"/>
  <c r="Y17" i="30"/>
  <c r="X15" i="30"/>
  <c r="X42" i="59"/>
  <c r="W20" i="59"/>
  <c r="X22" i="48"/>
  <c r="W14" i="59"/>
  <c r="X20" i="25"/>
  <c r="F9" i="35"/>
  <c r="G11" i="55" s="1"/>
  <c r="X15" i="59"/>
  <c r="Y10" i="33"/>
  <c r="G12" i="35"/>
  <c r="H14" i="55" s="1"/>
  <c r="G83" i="55"/>
  <c r="G57" i="55"/>
  <c r="G58" i="55"/>
  <c r="G84" i="55"/>
  <c r="D94" i="55"/>
  <c r="D68" i="55"/>
  <c r="Z13" i="20"/>
  <c r="G90" i="55"/>
  <c r="G64" i="55"/>
  <c r="Z137" i="48"/>
  <c r="Y25" i="48"/>
  <c r="F87" i="55"/>
  <c r="F61" i="55"/>
  <c r="H6" i="55"/>
  <c r="L43" i="48"/>
  <c r="L65" i="48"/>
  <c r="E88" i="55"/>
  <c r="E62" i="55"/>
  <c r="P43" i="30"/>
  <c r="F26" i="21"/>
  <c r="T43" i="30"/>
  <c r="J26" i="21"/>
  <c r="U9" i="48" l="1"/>
  <c r="D19" i="35" s="1"/>
  <c r="E21" i="55" s="1"/>
  <c r="X13" i="48"/>
  <c r="Y13" i="48" s="1"/>
  <c r="V10" i="48"/>
  <c r="W11" i="48"/>
  <c r="X19" i="48"/>
  <c r="AC24" i="48"/>
  <c r="E73" i="55"/>
  <c r="E99" i="55"/>
  <c r="Z13" i="48"/>
  <c r="G20" i="35"/>
  <c r="H22" i="55" s="1"/>
  <c r="H72" i="55" s="1"/>
  <c r="G72" i="55"/>
  <c r="G98" i="55"/>
  <c r="F73" i="55"/>
  <c r="F99" i="55"/>
  <c r="E84" i="55"/>
  <c r="E58" i="55"/>
  <c r="F21" i="35"/>
  <c r="G23" i="55" s="1"/>
  <c r="V9" i="48"/>
  <c r="C3" i="50"/>
  <c r="N51" i="20"/>
  <c r="N52" i="20" s="1"/>
  <c r="N14" i="20" s="1"/>
  <c r="Y42" i="59"/>
  <c r="X20" i="59"/>
  <c r="L56" i="59"/>
  <c r="K25" i="59"/>
  <c r="K58" i="59"/>
  <c r="K23" i="59" s="1"/>
  <c r="H83" i="55"/>
  <c r="H57" i="55"/>
  <c r="Q34" i="26"/>
  <c r="P15" i="26"/>
  <c r="P20" i="26" s="1"/>
  <c r="P84" i="26" s="1"/>
  <c r="P33" i="26"/>
  <c r="P82" i="26"/>
  <c r="AA138" i="48"/>
  <c r="Z26" i="48"/>
  <c r="O20" i="26"/>
  <c r="O84" i="26" s="1"/>
  <c r="O79" i="26" s="1"/>
  <c r="Z14" i="25"/>
  <c r="Z13" i="25" s="1"/>
  <c r="AA12" i="25"/>
  <c r="Q36" i="38"/>
  <c r="Q46" i="38" s="1"/>
  <c r="Q47" i="38" s="1"/>
  <c r="O46" i="38"/>
  <c r="O47" i="38" s="1"/>
  <c r="X16" i="48"/>
  <c r="W15" i="48"/>
  <c r="Y22" i="48"/>
  <c r="AA13" i="20"/>
  <c r="H90" i="55"/>
  <c r="H64" i="55"/>
  <c r="Y20" i="25"/>
  <c r="Y11" i="25" s="1"/>
  <c r="Y19" i="25" s="1"/>
  <c r="H8" i="35" s="1"/>
  <c r="I10" i="55" s="1"/>
  <c r="G9" i="35"/>
  <c r="H11" i="55" s="1"/>
  <c r="H84" i="55"/>
  <c r="H58" i="55"/>
  <c r="X29" i="49"/>
  <c r="X30" i="49" s="1"/>
  <c r="Y27" i="49"/>
  <c r="X30" i="59"/>
  <c r="G11" i="35"/>
  <c r="H13" i="55" s="1"/>
  <c r="Z29" i="20"/>
  <c r="H5" i="35"/>
  <c r="I7" i="55" s="1"/>
  <c r="T44" i="38"/>
  <c r="P43" i="38"/>
  <c r="R43" i="38" s="1"/>
  <c r="E70" i="55"/>
  <c r="E96" i="55"/>
  <c r="W10" i="26"/>
  <c r="F10" i="35"/>
  <c r="G12" i="55" s="1"/>
  <c r="M30" i="20"/>
  <c r="G87" i="55"/>
  <c r="G61" i="55"/>
  <c r="Y15" i="59"/>
  <c r="Z10" i="33"/>
  <c r="H12" i="35"/>
  <c r="I14" i="55" s="1"/>
  <c r="W31" i="59"/>
  <c r="E18" i="35"/>
  <c r="F20" i="55" s="1"/>
  <c r="W30" i="49"/>
  <c r="X11" i="25"/>
  <c r="X19" i="25" s="1"/>
  <c r="G8" i="35" s="1"/>
  <c r="H10" i="55" s="1"/>
  <c r="I6" i="55"/>
  <c r="Y13" i="30"/>
  <c r="Y11" i="30" s="1"/>
  <c r="Y46" i="30" s="1"/>
  <c r="H6" i="35" s="1"/>
  <c r="I8" i="55" s="1"/>
  <c r="Z17" i="30"/>
  <c r="Y15" i="30"/>
  <c r="G89" i="55"/>
  <c r="G63" i="55"/>
  <c r="Z25" i="48"/>
  <c r="AA137" i="48"/>
  <c r="H82" i="55"/>
  <c r="H56" i="55"/>
  <c r="F62" i="55"/>
  <c r="F88" i="55"/>
  <c r="X11" i="48" l="1"/>
  <c r="W10" i="48"/>
  <c r="W4" i="48" s="1"/>
  <c r="X4" i="48" s="1"/>
  <c r="Y19" i="48"/>
  <c r="Z19" i="48" s="1"/>
  <c r="X18" i="48"/>
  <c r="G21" i="35" s="1"/>
  <c r="H23" i="55" s="1"/>
  <c r="H98" i="55"/>
  <c r="Z22" i="48"/>
  <c r="AA13" i="48"/>
  <c r="H20" i="35"/>
  <c r="I22" i="55" s="1"/>
  <c r="I72" i="55" s="1"/>
  <c r="G99" i="55"/>
  <c r="G73" i="55"/>
  <c r="W9" i="48"/>
  <c r="E71" i="55"/>
  <c r="E97" i="55"/>
  <c r="E19" i="35"/>
  <c r="F21" i="55" s="1"/>
  <c r="N30" i="20"/>
  <c r="P79" i="26"/>
  <c r="I2" i="50" s="1"/>
  <c r="I86" i="55"/>
  <c r="I60" i="55"/>
  <c r="Y30" i="59"/>
  <c r="Y29" i="49"/>
  <c r="Y30" i="49" s="1"/>
  <c r="Z27" i="49"/>
  <c r="H11" i="35"/>
  <c r="I13" i="55" s="1"/>
  <c r="J6" i="55"/>
  <c r="I82" i="55"/>
  <c r="I56" i="55"/>
  <c r="X31" i="59"/>
  <c r="F18" i="35"/>
  <c r="G20" i="55" s="1"/>
  <c r="X14" i="59"/>
  <c r="AA10" i="33"/>
  <c r="G65" i="59" s="1"/>
  <c r="G66" i="59" s="1"/>
  <c r="Z15" i="59"/>
  <c r="I12" i="35"/>
  <c r="J14" i="55" s="1"/>
  <c r="AA14" i="25"/>
  <c r="AA13" i="25" s="1"/>
  <c r="AB12" i="25"/>
  <c r="O51" i="20"/>
  <c r="O52" i="20" s="1"/>
  <c r="O14" i="20" s="1"/>
  <c r="H2" i="50"/>
  <c r="AB13" i="20"/>
  <c r="AA17" i="30"/>
  <c r="Z15" i="30"/>
  <c r="Z13" i="30"/>
  <c r="Z11" i="30" s="1"/>
  <c r="Z46" i="30" s="1"/>
  <c r="I6" i="35" s="1"/>
  <c r="J8" i="55" s="1"/>
  <c r="AA25" i="48"/>
  <c r="AB137" i="48"/>
  <c r="I64" i="55"/>
  <c r="I90" i="55"/>
  <c r="AB138" i="48"/>
  <c r="AA26" i="48"/>
  <c r="D3" i="50"/>
  <c r="T45" i="38"/>
  <c r="P45" i="38" s="1"/>
  <c r="P44" i="38"/>
  <c r="R44" i="38" s="1"/>
  <c r="Q82" i="26"/>
  <c r="Q33" i="26"/>
  <c r="Q15" i="26"/>
  <c r="Q20" i="26" s="1"/>
  <c r="Q84" i="26" s="1"/>
  <c r="R34" i="26"/>
  <c r="M56" i="59"/>
  <c r="L25" i="59"/>
  <c r="L58" i="59"/>
  <c r="L23" i="59" s="1"/>
  <c r="G10" i="35"/>
  <c r="H12" i="55" s="1"/>
  <c r="X10" i="26"/>
  <c r="G88" i="55"/>
  <c r="G62" i="55"/>
  <c r="AA29" i="20"/>
  <c r="I5" i="35"/>
  <c r="J7" i="55" s="1"/>
  <c r="H87" i="55"/>
  <c r="H61" i="55"/>
  <c r="H60" i="55"/>
  <c r="H86" i="55"/>
  <c r="I83" i="55"/>
  <c r="I57" i="55"/>
  <c r="Y20" i="59"/>
  <c r="Z42" i="59"/>
  <c r="I84" i="55"/>
  <c r="I58" i="55"/>
  <c r="F70" i="55"/>
  <c r="F96" i="55"/>
  <c r="H89" i="55"/>
  <c r="H63" i="55"/>
  <c r="Y14" i="59"/>
  <c r="Z20" i="25"/>
  <c r="H9" i="35"/>
  <c r="I11" i="55" s="1"/>
  <c r="Y16" i="48"/>
  <c r="X15" i="48"/>
  <c r="Y18" i="48" l="1"/>
  <c r="X10" i="48"/>
  <c r="Y11" i="48"/>
  <c r="H20" i="33"/>
  <c r="I98" i="55"/>
  <c r="AB13" i="48"/>
  <c r="I20" i="35"/>
  <c r="J22" i="55" s="1"/>
  <c r="H21" i="35"/>
  <c r="I23" i="55" s="1"/>
  <c r="Z18" i="48"/>
  <c r="AA19" i="48"/>
  <c r="H99" i="55"/>
  <c r="H73" i="55"/>
  <c r="F71" i="55"/>
  <c r="F97" i="55"/>
  <c r="X9" i="48"/>
  <c r="F19" i="35"/>
  <c r="G21" i="55" s="1"/>
  <c r="P51" i="20"/>
  <c r="P52" i="20" s="1"/>
  <c r="P14" i="20" s="1"/>
  <c r="Q79" i="26"/>
  <c r="Q51" i="20" s="1"/>
  <c r="Q52" i="20" s="1"/>
  <c r="Q14" i="20" s="1"/>
  <c r="M25" i="59"/>
  <c r="N56" i="59"/>
  <c r="M58" i="59"/>
  <c r="M23" i="59" s="1"/>
  <c r="R45" i="38"/>
  <c r="R46" i="38" s="1"/>
  <c r="R47" i="38" s="1"/>
  <c r="P46" i="38"/>
  <c r="P47" i="38" s="1"/>
  <c r="J84" i="55"/>
  <c r="J58" i="55"/>
  <c r="AB14" i="25"/>
  <c r="AB13" i="25" s="1"/>
  <c r="AC12" i="25"/>
  <c r="Y31" i="59"/>
  <c r="G18" i="35"/>
  <c r="H20" i="55" s="1"/>
  <c r="AB29" i="20"/>
  <c r="J5" i="35"/>
  <c r="K7" i="55" s="1"/>
  <c r="AA27" i="49"/>
  <c r="Z30" i="59"/>
  <c r="I11" i="35"/>
  <c r="J13" i="55" s="1"/>
  <c r="Z29" i="49"/>
  <c r="Z30" i="49" s="1"/>
  <c r="AA15" i="30"/>
  <c r="AA13" i="30"/>
  <c r="AA11" i="30" s="1"/>
  <c r="AA46" i="30" s="1"/>
  <c r="J6" i="35" s="1"/>
  <c r="K8" i="55" s="1"/>
  <c r="AB17" i="30"/>
  <c r="AC138" i="48"/>
  <c r="AC26" i="48" s="1"/>
  <c r="AB26" i="48"/>
  <c r="I9" i="35"/>
  <c r="J11" i="55" s="1"/>
  <c r="AA20" i="25"/>
  <c r="AA42" i="59"/>
  <c r="Z20" i="59"/>
  <c r="K6" i="55"/>
  <c r="J82" i="55"/>
  <c r="J56" i="55"/>
  <c r="I61" i="55"/>
  <c r="I87" i="55"/>
  <c r="AC13" i="20"/>
  <c r="H88" i="55"/>
  <c r="H62" i="55"/>
  <c r="AA15" i="59"/>
  <c r="AB10" i="33"/>
  <c r="J12" i="35"/>
  <c r="K14" i="55" s="1"/>
  <c r="Y15" i="48"/>
  <c r="Z16" i="48"/>
  <c r="Y10" i="26"/>
  <c r="H10" i="35"/>
  <c r="I12" i="55" s="1"/>
  <c r="J64" i="55"/>
  <c r="J90" i="55"/>
  <c r="AC137" i="48"/>
  <c r="AC25" i="48" s="1"/>
  <c r="AB25" i="48"/>
  <c r="O30" i="20"/>
  <c r="G68" i="59"/>
  <c r="J83" i="55"/>
  <c r="J57" i="55"/>
  <c r="E3" i="50"/>
  <c r="S34" i="26"/>
  <c r="R15" i="26"/>
  <c r="R20" i="26" s="1"/>
  <c r="R84" i="26" s="1"/>
  <c r="R82" i="26"/>
  <c r="R33" i="26"/>
  <c r="AA22" i="48"/>
  <c r="G70" i="55"/>
  <c r="G96" i="55"/>
  <c r="I89" i="55"/>
  <c r="I63" i="55"/>
  <c r="Z11" i="25"/>
  <c r="Z19" i="25" s="1"/>
  <c r="I8" i="35" s="1"/>
  <c r="J10" i="55" s="1"/>
  <c r="Z11" i="48" l="1"/>
  <c r="Y10" i="48"/>
  <c r="Y9" i="48" s="1"/>
  <c r="M6" i="55"/>
  <c r="AB22" i="48"/>
  <c r="J98" i="55"/>
  <c r="J72" i="55"/>
  <c r="J20" i="35"/>
  <c r="K22" i="55" s="1"/>
  <c r="K72" i="55" s="1"/>
  <c r="AC13" i="48"/>
  <c r="AA18" i="48"/>
  <c r="AB19" i="48"/>
  <c r="I21" i="35"/>
  <c r="J23" i="55" s="1"/>
  <c r="I73" i="55"/>
  <c r="I99" i="55"/>
  <c r="G97" i="55"/>
  <c r="G71" i="55"/>
  <c r="G19" i="35"/>
  <c r="H21" i="55" s="1"/>
  <c r="P30" i="20"/>
  <c r="J2" i="50"/>
  <c r="J86" i="55"/>
  <c r="J60" i="55"/>
  <c r="Q30" i="20"/>
  <c r="AB42" i="59"/>
  <c r="AA20" i="59"/>
  <c r="K5" i="35"/>
  <c r="L7" i="55" s="1"/>
  <c r="T34" i="26"/>
  <c r="S15" i="26"/>
  <c r="S20" i="26" s="1"/>
  <c r="S84" i="26" s="1"/>
  <c r="S82" i="26"/>
  <c r="S33" i="26"/>
  <c r="I88" i="55"/>
  <c r="I62" i="55"/>
  <c r="AA14" i="59"/>
  <c r="AB20" i="25"/>
  <c r="J9" i="35"/>
  <c r="K11" i="55" s="1"/>
  <c r="J87" i="55"/>
  <c r="J61" i="55"/>
  <c r="Z10" i="26"/>
  <c r="I10" i="35"/>
  <c r="J12" i="55" s="1"/>
  <c r="Z15" i="48"/>
  <c r="AA16" i="48"/>
  <c r="K56" i="55"/>
  <c r="K82" i="55"/>
  <c r="Z14" i="59"/>
  <c r="J63" i="55"/>
  <c r="J89" i="55"/>
  <c r="H70" i="55"/>
  <c r="H96" i="55"/>
  <c r="Z31" i="59"/>
  <c r="H18" i="35"/>
  <c r="I20" i="55" s="1"/>
  <c r="K64" i="55"/>
  <c r="K90" i="55"/>
  <c r="AA30" i="59"/>
  <c r="AA29" i="49"/>
  <c r="AA30" i="49" s="1"/>
  <c r="AB27" i="49"/>
  <c r="J11" i="35"/>
  <c r="K13" i="55" s="1"/>
  <c r="N25" i="59"/>
  <c r="O56" i="59"/>
  <c r="N58" i="59"/>
  <c r="N23" i="59" s="1"/>
  <c r="AC22" i="48"/>
  <c r="AB15" i="59"/>
  <c r="AC10" i="33"/>
  <c r="I20" i="33" s="1"/>
  <c r="K12" i="35"/>
  <c r="L14" i="55" s="1"/>
  <c r="L6" i="55"/>
  <c r="AB15" i="30"/>
  <c r="AC17" i="30"/>
  <c r="AB13" i="30"/>
  <c r="AB11" i="30" s="1"/>
  <c r="AB46" i="30" s="1"/>
  <c r="K6" i="35" s="1"/>
  <c r="L8" i="55" s="1"/>
  <c r="K83" i="55"/>
  <c r="K57" i="55"/>
  <c r="AC14" i="25"/>
  <c r="AC13" i="25" s="1"/>
  <c r="F3" i="50"/>
  <c r="R79" i="26"/>
  <c r="K84" i="55"/>
  <c r="K58" i="55"/>
  <c r="AA11" i="25"/>
  <c r="AA19" i="25" s="1"/>
  <c r="J8" i="35" s="1"/>
  <c r="K10" i="55" s="1"/>
  <c r="AA11" i="48" l="1"/>
  <c r="Z10" i="48"/>
  <c r="K98" i="55"/>
  <c r="L20" i="35"/>
  <c r="M22" i="55" s="1"/>
  <c r="M98" i="55" s="1"/>
  <c r="K20" i="35"/>
  <c r="L22" i="55" s="1"/>
  <c r="J99" i="55"/>
  <c r="J73" i="55"/>
  <c r="AC19" i="48"/>
  <c r="AB18" i="48"/>
  <c r="J21" i="35"/>
  <c r="K23" i="55" s="1"/>
  <c r="H19" i="35"/>
  <c r="I21" i="55" s="1"/>
  <c r="H71" i="55"/>
  <c r="H97" i="55"/>
  <c r="Z9" i="48"/>
  <c r="S79" i="26"/>
  <c r="S51" i="20" s="1"/>
  <c r="I96" i="55"/>
  <c r="I70" i="55"/>
  <c r="AA31" i="59"/>
  <c r="I18" i="35"/>
  <c r="J20" i="55" s="1"/>
  <c r="K87" i="55"/>
  <c r="K61" i="55"/>
  <c r="M82" i="55"/>
  <c r="M56" i="55"/>
  <c r="P56" i="59"/>
  <c r="O25" i="59"/>
  <c r="O58" i="59"/>
  <c r="O23" i="59" s="1"/>
  <c r="AC15" i="30"/>
  <c r="AC13" i="30"/>
  <c r="AC11" i="30" s="1"/>
  <c r="AC46" i="30" s="1"/>
  <c r="L6" i="35" s="1"/>
  <c r="M8" i="55" s="1"/>
  <c r="L82" i="55"/>
  <c r="L56" i="55"/>
  <c r="U34" i="26"/>
  <c r="T15" i="26"/>
  <c r="T20" i="26" s="1"/>
  <c r="T82" i="26"/>
  <c r="T33" i="26"/>
  <c r="AB16" i="48"/>
  <c r="AA15" i="48"/>
  <c r="L83" i="55"/>
  <c r="L57" i="55"/>
  <c r="K86" i="55"/>
  <c r="K60" i="55"/>
  <c r="L90" i="55"/>
  <c r="L64" i="55"/>
  <c r="G3" i="50"/>
  <c r="K63" i="55"/>
  <c r="K89" i="55"/>
  <c r="J88" i="55"/>
  <c r="J62" i="55"/>
  <c r="AC20" i="25"/>
  <c r="K9" i="35"/>
  <c r="L11" i="55" s="1"/>
  <c r="AB11" i="25"/>
  <c r="AB19" i="25" s="1"/>
  <c r="K8" i="35" s="1"/>
  <c r="L10" i="55" s="1"/>
  <c r="AC15" i="59"/>
  <c r="L12" i="35"/>
  <c r="M14" i="55" s="1"/>
  <c r="AB30" i="59"/>
  <c r="AC27" i="49"/>
  <c r="AB29" i="49"/>
  <c r="AB30" i="49" s="1"/>
  <c r="K11" i="35"/>
  <c r="L13" i="55" s="1"/>
  <c r="AC42" i="59"/>
  <c r="AC20" i="59" s="1"/>
  <c r="AB20" i="59"/>
  <c r="R51" i="20"/>
  <c r="R52" i="20" s="1"/>
  <c r="R14" i="20" s="1"/>
  <c r="K2" i="50"/>
  <c r="L58" i="55"/>
  <c r="L84" i="55"/>
  <c r="AA10" i="26"/>
  <c r="J10" i="35"/>
  <c r="K12" i="55" s="1"/>
  <c r="AB11" i="48" l="1"/>
  <c r="AA10" i="48"/>
  <c r="S52" i="20"/>
  <c r="S14" i="20" s="1"/>
  <c r="M72" i="55"/>
  <c r="L72" i="55"/>
  <c r="L98" i="55"/>
  <c r="K21" i="35"/>
  <c r="L23" i="55" s="1"/>
  <c r="AC18" i="48"/>
  <c r="K73" i="55"/>
  <c r="K99" i="55"/>
  <c r="AA9" i="48"/>
  <c r="I19" i="35"/>
  <c r="J21" i="55" s="1"/>
  <c r="I97" i="55"/>
  <c r="I71" i="55"/>
  <c r="H3" i="50"/>
  <c r="L2" i="50"/>
  <c r="M84" i="55"/>
  <c r="M58" i="55"/>
  <c r="AB14" i="59"/>
  <c r="K10" i="35"/>
  <c r="L12" i="55" s="1"/>
  <c r="AB10" i="26"/>
  <c r="L87" i="55"/>
  <c r="L61" i="55"/>
  <c r="L86" i="55"/>
  <c r="L60" i="55"/>
  <c r="AC30" i="59"/>
  <c r="AC29" i="49"/>
  <c r="AC30" i="49" s="1"/>
  <c r="L11" i="35"/>
  <c r="M13" i="55" s="1"/>
  <c r="AC14" i="59"/>
  <c r="L9" i="35"/>
  <c r="M11" i="55" s="1"/>
  <c r="AC11" i="25"/>
  <c r="AC19" i="25" s="1"/>
  <c r="L8" i="35" s="1"/>
  <c r="M10" i="55" s="1"/>
  <c r="Q56" i="59"/>
  <c r="P25" i="59"/>
  <c r="P58" i="59"/>
  <c r="P23" i="59" s="1"/>
  <c r="D69" i="59"/>
  <c r="AC16" i="48"/>
  <c r="AB15" i="48"/>
  <c r="M90" i="55"/>
  <c r="M64" i="55"/>
  <c r="K88" i="55"/>
  <c r="K62" i="55"/>
  <c r="L63" i="55"/>
  <c r="L89" i="55"/>
  <c r="T84" i="26"/>
  <c r="T79" i="26" s="1"/>
  <c r="U20" i="26"/>
  <c r="J96" i="55"/>
  <c r="J70" i="55"/>
  <c r="R30" i="20"/>
  <c r="U82" i="26"/>
  <c r="U33" i="26"/>
  <c r="U15" i="26"/>
  <c r="V34" i="26"/>
  <c r="AB31" i="59"/>
  <c r="J18" i="35"/>
  <c r="K20" i="55" s="1"/>
  <c r="AB10" i="48" l="1"/>
  <c r="AC11" i="48"/>
  <c r="AC10" i="48" s="1"/>
  <c r="S30" i="20"/>
  <c r="L21" i="35"/>
  <c r="M23" i="55" s="1"/>
  <c r="L99" i="55"/>
  <c r="L73" i="55"/>
  <c r="AB9" i="48"/>
  <c r="J71" i="55"/>
  <c r="J97" i="55"/>
  <c r="AC15" i="48"/>
  <c r="J19" i="35"/>
  <c r="K21" i="55" s="1"/>
  <c r="M2" i="50"/>
  <c r="C2" i="35"/>
  <c r="D4" i="55" s="1"/>
  <c r="T51" i="20"/>
  <c r="U84" i="26"/>
  <c r="U79" i="26" s="1"/>
  <c r="V20" i="26"/>
  <c r="R56" i="59"/>
  <c r="Q25" i="59"/>
  <c r="Q58" i="59"/>
  <c r="Q23" i="59" s="1"/>
  <c r="M87" i="55"/>
  <c r="M61" i="55"/>
  <c r="M63" i="55"/>
  <c r="M89" i="55"/>
  <c r="AC10" i="26"/>
  <c r="L10" i="35"/>
  <c r="M12" i="55" s="1"/>
  <c r="K96" i="55"/>
  <c r="K70" i="55"/>
  <c r="AC31" i="59"/>
  <c r="K18" i="35"/>
  <c r="L20" i="55" s="1"/>
  <c r="V33" i="26"/>
  <c r="W34" i="26"/>
  <c r="V15" i="26"/>
  <c r="V82" i="26"/>
  <c r="L88" i="55"/>
  <c r="L62" i="55"/>
  <c r="I3" i="50"/>
  <c r="U11" i="26"/>
  <c r="U9" i="26" s="1"/>
  <c r="M86" i="55"/>
  <c r="M60" i="55"/>
  <c r="T52" i="20" l="1"/>
  <c r="T14" i="20" s="1"/>
  <c r="L18" i="35"/>
  <c r="M20" i="55" s="1"/>
  <c r="M99" i="55"/>
  <c r="M73" i="55"/>
  <c r="K97" i="55"/>
  <c r="K71" i="55"/>
  <c r="AC9" i="48"/>
  <c r="K19" i="35"/>
  <c r="L21" i="55" s="1"/>
  <c r="U51" i="20"/>
  <c r="D2" i="35"/>
  <c r="E4" i="55" s="1"/>
  <c r="M70" i="55"/>
  <c r="M96" i="55"/>
  <c r="J3" i="50"/>
  <c r="M88" i="55"/>
  <c r="M62" i="55"/>
  <c r="S56" i="59"/>
  <c r="R25" i="59"/>
  <c r="R58" i="59"/>
  <c r="R23" i="59" s="1"/>
  <c r="L96" i="55"/>
  <c r="L70" i="55"/>
  <c r="V84" i="26"/>
  <c r="V79" i="26" s="1"/>
  <c r="W20" i="26"/>
  <c r="V11" i="26"/>
  <c r="V9" i="26" s="1"/>
  <c r="W33" i="26"/>
  <c r="W82" i="26"/>
  <c r="W15" i="26"/>
  <c r="X34" i="26"/>
  <c r="D54" i="55"/>
  <c r="D80" i="55"/>
  <c r="U52" i="20" l="1"/>
  <c r="U14" i="20" s="1"/>
  <c r="T30" i="20"/>
  <c r="L71" i="55"/>
  <c r="L97" i="55"/>
  <c r="L19" i="35"/>
  <c r="M21" i="55" s="1"/>
  <c r="W11" i="26"/>
  <c r="W9" i="26" s="1"/>
  <c r="E2" i="35"/>
  <c r="F4" i="55" s="1"/>
  <c r="V51" i="20"/>
  <c r="T56" i="59"/>
  <c r="S25" i="59"/>
  <c r="S58" i="59"/>
  <c r="S23" i="59" s="1"/>
  <c r="E80" i="55"/>
  <c r="E54" i="55"/>
  <c r="X20" i="26"/>
  <c r="W84" i="26"/>
  <c r="W79" i="26" s="1"/>
  <c r="X15" i="26"/>
  <c r="X33" i="26"/>
  <c r="AD33" i="26" s="1"/>
  <c r="X82" i="26"/>
  <c r="AD34" i="26"/>
  <c r="AE15" i="26" s="1"/>
  <c r="K3" i="50"/>
  <c r="U30" i="20" l="1"/>
  <c r="V52" i="20"/>
  <c r="V14" i="20" s="1"/>
  <c r="M71" i="55"/>
  <c r="M97" i="55"/>
  <c r="W51" i="20"/>
  <c r="F2" i="35"/>
  <c r="G4" i="55" s="1"/>
  <c r="U56" i="59"/>
  <c r="T25" i="59"/>
  <c r="T58" i="59"/>
  <c r="E69" i="59"/>
  <c r="F80" i="55"/>
  <c r="F54" i="55"/>
  <c r="X11" i="26"/>
  <c r="X9" i="26" s="1"/>
  <c r="AD15" i="26"/>
  <c r="X84" i="26"/>
  <c r="X79" i="26" s="1"/>
  <c r="Y20" i="26"/>
  <c r="W52" i="20" l="1"/>
  <c r="W14" i="20" s="1"/>
  <c r="V30" i="20"/>
  <c r="X51" i="20"/>
  <c r="G2" i="35"/>
  <c r="H4" i="55" s="1"/>
  <c r="Z20" i="26"/>
  <c r="Y84" i="26"/>
  <c r="Y79" i="26" s="1"/>
  <c r="Y11" i="26"/>
  <c r="Y9" i="26" s="1"/>
  <c r="U25" i="59"/>
  <c r="V56" i="59"/>
  <c r="G80" i="55"/>
  <c r="G54" i="55"/>
  <c r="U58" i="59"/>
  <c r="T23" i="59"/>
  <c r="L3" i="50"/>
  <c r="W30" i="20"/>
  <c r="X52" i="20" l="1"/>
  <c r="X14" i="20" s="1"/>
  <c r="Y51" i="20"/>
  <c r="H2" i="35"/>
  <c r="I4" i="55" s="1"/>
  <c r="AA20" i="26"/>
  <c r="Z84" i="26"/>
  <c r="Z79" i="26" s="1"/>
  <c r="Z11" i="26"/>
  <c r="Z9" i="26" s="1"/>
  <c r="V58" i="59"/>
  <c r="U23" i="59"/>
  <c r="H80" i="55"/>
  <c r="H54" i="55"/>
  <c r="V25" i="59"/>
  <c r="W56" i="59"/>
  <c r="X30" i="20" l="1"/>
  <c r="Y52" i="20"/>
  <c r="Y14" i="20" s="1"/>
  <c r="U12" i="59"/>
  <c r="M3" i="50"/>
  <c r="D17" i="35"/>
  <c r="E19" i="55" s="1"/>
  <c r="E95" i="55" s="1"/>
  <c r="C17" i="35"/>
  <c r="D19" i="55" s="1"/>
  <c r="D95" i="55" s="1"/>
  <c r="Z51" i="20"/>
  <c r="I2" i="35"/>
  <c r="J4" i="55" s="1"/>
  <c r="W25" i="59"/>
  <c r="F69" i="59" s="1"/>
  <c r="X56" i="59"/>
  <c r="AB20" i="26"/>
  <c r="AA84" i="26"/>
  <c r="AA79" i="26" s="1"/>
  <c r="AA11" i="26"/>
  <c r="AA9" i="26" s="1"/>
  <c r="I80" i="55"/>
  <c r="I54" i="55"/>
  <c r="W58" i="59"/>
  <c r="V23" i="59"/>
  <c r="Y30" i="20" l="1"/>
  <c r="Z52" i="20"/>
  <c r="Z14" i="20" s="1"/>
  <c r="V12" i="59"/>
  <c r="E69" i="55"/>
  <c r="D69" i="55"/>
  <c r="AA51" i="20"/>
  <c r="J2" i="35"/>
  <c r="K4" i="55" s="1"/>
  <c r="AB84" i="26"/>
  <c r="AB79" i="26" s="1"/>
  <c r="AC20" i="26"/>
  <c r="AB11" i="26"/>
  <c r="AB9" i="26" s="1"/>
  <c r="Y56" i="59"/>
  <c r="X25" i="59"/>
  <c r="X58" i="59"/>
  <c r="W23" i="59"/>
  <c r="J80" i="55"/>
  <c r="J54" i="55"/>
  <c r="Z30" i="20" l="1"/>
  <c r="AA52" i="20"/>
  <c r="AA14" i="20" s="1"/>
  <c r="W12" i="59"/>
  <c r="E17" i="35"/>
  <c r="F19" i="55" s="1"/>
  <c r="Z56" i="59"/>
  <c r="Y25" i="59"/>
  <c r="K2" i="35"/>
  <c r="L4" i="55" s="1"/>
  <c r="AB51" i="20"/>
  <c r="K80" i="55"/>
  <c r="K54" i="55"/>
  <c r="AC84" i="26"/>
  <c r="AC79" i="26" s="1"/>
  <c r="AC11" i="26"/>
  <c r="AC9" i="26" s="1"/>
  <c r="Y58" i="59"/>
  <c r="X23" i="59"/>
  <c r="AA30" i="20" l="1"/>
  <c r="AB52" i="20"/>
  <c r="AB14" i="20" s="1"/>
  <c r="F69" i="55"/>
  <c r="F95" i="55"/>
  <c r="X12" i="59"/>
  <c r="F17" i="35"/>
  <c r="G19" i="55" s="1"/>
  <c r="G69" i="55" s="1"/>
  <c r="F67" i="59"/>
  <c r="F71" i="59" s="1"/>
  <c r="L80" i="55"/>
  <c r="L54" i="55"/>
  <c r="Y23" i="59"/>
  <c r="Z58" i="59"/>
  <c r="AC51" i="20"/>
  <c r="L2" i="35"/>
  <c r="M4" i="55" s="1"/>
  <c r="AA56" i="59"/>
  <c r="Z25" i="59"/>
  <c r="AC52" i="20" l="1"/>
  <c r="AB30" i="20"/>
  <c r="G95" i="55"/>
  <c r="Y12" i="59"/>
  <c r="G17" i="35"/>
  <c r="H19" i="55" s="1"/>
  <c r="H95" i="55" s="1"/>
  <c r="AB56" i="59"/>
  <c r="AA25" i="59"/>
  <c r="M80" i="55"/>
  <c r="M54" i="55"/>
  <c r="Z23" i="59"/>
  <c r="AA58" i="59"/>
  <c r="AC30" i="20" l="1"/>
  <c r="AC14" i="20"/>
  <c r="H69" i="55"/>
  <c r="I17" i="35"/>
  <c r="J19" i="55" s="1"/>
  <c r="J69" i="55" s="1"/>
  <c r="H17" i="35"/>
  <c r="I19" i="55" s="1"/>
  <c r="I69" i="55" s="1"/>
  <c r="Z12" i="59"/>
  <c r="AB58" i="59"/>
  <c r="AA23" i="59"/>
  <c r="AC56" i="59"/>
  <c r="AC25" i="59" s="1"/>
  <c r="AB25" i="59"/>
  <c r="G69" i="59"/>
  <c r="I95" i="55" l="1"/>
  <c r="J95" i="55"/>
  <c r="AA12" i="59"/>
  <c r="AC58" i="59"/>
  <c r="AC23" i="59" s="1"/>
  <c r="AB23" i="59"/>
  <c r="AB12" i="59" l="1"/>
  <c r="J17" i="35"/>
  <c r="K19" i="55" s="1"/>
  <c r="AC12" i="59"/>
  <c r="G67" i="59"/>
  <c r="G71" i="59" s="1"/>
  <c r="K69" i="55" l="1"/>
  <c r="K95" i="55"/>
  <c r="K17" i="35"/>
  <c r="L19" i="55" s="1"/>
  <c r="L95" i="55" s="1"/>
  <c r="L17" i="35"/>
  <c r="M19" i="55" s="1"/>
  <c r="M95" i="55" s="1"/>
  <c r="L69" i="55" l="1"/>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E01C7D51-1793-4A61-9FD5-357953FC571D}">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tc={B0A1A7C0-E540-45B5-9EF7-622FEFFBAE85}</author>
    <author>tc={5982A492-85E3-4B41-BB52-697C2DCEBD5D}</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2" authorId="2" shapeId="0" xr:uid="{B0A1A7C0-E540-45B5-9EF7-622FEFFBAE85}">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B23" authorId="3" shapeId="0" xr:uid="{5982A492-85E3-4B41-BB52-697C2DCEBD5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F234B5B6-B19D-4AC0-9DB4-A48A2D200CCC}">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9D68663E-7375-4798-AF31-C3B40AF84CDB}">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EF6EC7A7-A475-49DC-B77E-29BB35266C5E}">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tc={C26966D0-5F4E-4F05-86F1-FB1D8326C531}</author>
    <author>tc={C49E6240-A907-4D0A-9954-9A2A9B1F4C48}</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6"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B27" authorId="3" shapeId="0" xr:uid="{C26966D0-5F4E-4F05-86F1-FB1D8326C531}">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28"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531C2B30-B748-4992-BA59-32A200D8CA7B}">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tc={279D70D4-1DA4-45CF-A277-0E81AE26B2C4}</author>
  </authors>
  <commentList>
    <comment ref="V12" authorId="0" shapeId="0" xr:uid="{6F7D0E44-45B2-4003-8249-3888890A6B9B}">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B18" authorId="2" shapeId="0" xr:uid="{279D70D4-1DA4-45CF-A277-0E81AE26B2C4}">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tc={111D040E-FB3C-488C-BB9C-0651F936F05F}</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 ref="B19" authorId="1" shapeId="0" xr:uid="{111D040E-FB3C-488C-BB9C-0651F936F05F}">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9CD67460-E1CB-4B53-9C37-E18E4A20477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tc={4973228A-B859-43E4-ACFA-20297D4D344D}</author>
    <author>tc={54F6D9F3-8868-417E-999A-B95E2C1FC589}</author>
    <author>tc={89EFBEC4-CE6C-49A7-86CA-4444ABE5288B}</author>
    <author>tc={1FB99C5A-E921-4C2B-94A6-469F8368DE8C}</author>
    <author>tc={5F297F04-CD4A-4645-BD3B-C66F7CE7B8D1}</author>
    <author>tc={CE0F5DCB-3CCE-4E3D-A6E4-2AC8A4A5F19D}</author>
    <author>tc={1D989B9B-3A24-4858-8FB3-1E710B8DD936}</author>
    <author>tc={B0E96582-484F-445D-8FF5-3592B5A172FA}</author>
    <author>tc={45FECB81-C2F9-44AD-A5DC-94E3F71E282A}</author>
    <author>tc={E6B5A35A-07FA-4F2B-9A9E-866D21A47917}</author>
    <author>tc={7F15CBAB-E0E8-4959-9EA7-FDBB81D63943}</author>
    <author>tc={BAC4C9C5-057D-4522-9D5B-345501733B13}</author>
    <author>tc={AA1D8DB2-FD07-4163-B969-4FE5914F3989}</author>
    <author>tc={903D683D-E956-41A0-87A0-4A0ACF2A3EC0}</author>
    <author>tc={EBDFDB20-EB8F-4506-A21D-CB7A1A03FE71}</author>
    <author>tc={3EBCE0D2-6A48-4CE9-BC8C-5855F5261D1F}</author>
    <author>tc={78217FE1-50A5-43D0-8A1A-F4A895C0231A}</author>
    <author>tc={48184811-5BD0-438A-8E38-4FDE0C8DFA8F}</author>
    <author>tc={9B1A82A6-00CC-4DDA-8055-D38EE8B0D5D9}</author>
    <author>tc={D2748782-D0E6-49AC-8A19-1F2FBF9255CC}</author>
    <author>tc={620A6289-6519-4211-9540-E20E4F01E5BF}</author>
    <author>tc={A46F7C4F-6912-4219-A6BF-9B291D29572E}</author>
    <author>tc={84EBDD0E-102E-4265-BF72-829A7EB80D66}</author>
    <author>tc={76E953CB-BD49-43CF-8F2D-8BFB47D725D7}</author>
    <author>tc={CD9BE846-4C8B-47A0-B02E-37E682F6867D}</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4973228A-B859-43E4-ACFA-20297D4D344D}">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54F6D9F3-8868-417E-999A-B95E2C1FC589}">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4" shapeId="0" xr:uid="{89EFBEC4-CE6C-49A7-86CA-4444ABE5288B}">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5" shapeId="0" xr:uid="{1FB99C5A-E921-4C2B-94A6-469F8368DE8C}">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5" authorId="6" shapeId="0" xr:uid="{5F297F04-CD4A-4645-BD3B-C66F7CE7B8D1}">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6" authorId="7" shapeId="0" xr:uid="{CE0F5DCB-3CCE-4E3D-A6E4-2AC8A4A5F19D}">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7" authorId="8" shapeId="0" xr:uid="{1D989B9B-3A24-4858-8FB3-1E710B8DD936}">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8" authorId="9" shapeId="0" xr:uid="{B0E96582-484F-445D-8FF5-3592B5A172FA}">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9" authorId="10" shapeId="0" xr:uid="{45FECB81-C2F9-44AD-A5DC-94E3F71E282A}">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0" authorId="11" shapeId="0" xr:uid="{E6B5A35A-07FA-4F2B-9A9E-866D21A47917}">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8" authorId="12" shapeId="0" xr:uid="{7F15CBAB-E0E8-4959-9EA7-FDBB81D63943}">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9" authorId="13" shapeId="0" xr:uid="{BAC4C9C5-057D-4522-9D5B-345501733B13}">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80" authorId="14" shapeId="0" xr:uid="{AA1D8DB2-FD07-4163-B969-4FE5914F3989}">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81" authorId="15" shapeId="0" xr:uid="{903D683D-E956-41A0-87A0-4A0ACF2A3EC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82" authorId="16" shapeId="0" xr:uid="{EBDFDB20-EB8F-4506-A21D-CB7A1A03FE71}">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83" authorId="17" shapeId="0" xr:uid="{3EBCE0D2-6A48-4CE9-BC8C-5855F5261D1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84" authorId="18" shapeId="0" xr:uid="{78217FE1-50A5-43D0-8A1A-F4A895C0231A}">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5" authorId="19" shapeId="0" xr:uid="{48184811-5BD0-438A-8E38-4FDE0C8DFA8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06" authorId="20" shapeId="0" xr:uid="{9B1A82A6-00CC-4DDA-8055-D38EE8B0D5D9}">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07" authorId="21" shapeId="0" xr:uid="{D2748782-D0E6-49AC-8A19-1F2FBF9255CC}">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08" authorId="22" shapeId="0" xr:uid="{620A6289-6519-4211-9540-E20E4F01E5BF}">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09" authorId="23" shapeId="0" xr:uid="{A46F7C4F-6912-4219-A6BF-9B291D29572E}">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10" authorId="24" shapeId="0" xr:uid="{84EBDD0E-102E-4265-BF72-829A7EB80D66}">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11" authorId="25" shapeId="0" xr:uid="{76E953CB-BD49-43CF-8F2D-8BFB47D725D7}">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12" authorId="26" shapeId="0" xr:uid="{CD9BE846-4C8B-47A0-B02E-37E682F6867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13" authorId="27" shapeId="0" xr:uid="{8FB584A5-2B54-4AD8-94A1-F46A717E4FE5}">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60" authorId="28"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9"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30"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31"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2" authorId="32"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4" authorId="33"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6" authorId="34"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8" authorId="35"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<sst xmlns="http://schemas.openxmlformats.org/spreadsheetml/2006/main" count="4473" uniqueCount="2233">
  <si>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</si>
  <si>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</si>
  <si>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</si>
  <si>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</si>
  <si>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</si>
  <si>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</si>
  <si>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</si>
  <si>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</si>
  <si>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</si>
  <si>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</si>
  <si>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</si>
  <si>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</si>
  <si>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</si>
  <si>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</si>
  <si>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</si>
  <si>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</si>
  <si>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</si>
  <si>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</si>
  <si>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</si>
  <si>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</si>
  <si>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</si>
  <si>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</si>
  <si>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</si>
  <si>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</si>
  <si>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</si>
  <si>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</si>
  <si>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</si>
  <si>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</si>
  <si>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</si>
  <si>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</si>
  <si>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</si>
  <si>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</si>
  <si>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</si>
  <si>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</si>
  <si>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</si>
  <si>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</si>
  <si>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</si>
  <si>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</si>
  <si>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</si>
  <si>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</si>
  <si>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</si>
  <si>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</si>
  <si>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</si>
  <si>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</si>
  <si>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</si>
  <si>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</si>
  <si>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</si>
  <si>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</si>
  <si>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</si>
  <si>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</si>
  <si>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</si>
  <si>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</si>
  <si>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</si>
  <si>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</si>
  <si>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</si>
  <si>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</si>
  <si>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</si>
  <si>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</si>
  <si>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</si>
  <si>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</si>
  <si>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</si>
  <si>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</si>
  <si>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</si>
  <si>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</si>
  <si>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</si>
  <si>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</si>
  <si>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</si>
  <si>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</si>
  <si>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</si>
  <si>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</si>
  <si>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</si>
  <si>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</si>
  <si>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</si>
  <si>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</si>
  <si>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</si>
  <si>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</si>
  <si>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</si>
  <si>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</si>
  <si>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</si>
  <si>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</si>
  <si>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</si>
  <si>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</si>
  <si>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</si>
  <si>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</si>
  <si>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</si>
  <si>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</si>
  <si>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</si>
  <si>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</si>
  <si>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</si>
  <si>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</si>
  <si>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</si>
  <si>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</si>
  <si>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</si>
  <si>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</si>
  <si>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</si>
  <si>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</si>
  <si>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</si>
  <si>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</si>
  <si>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</si>
  <si>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</si>
  <si>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</si>
  <si>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</si>
  <si>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</si>
  <si>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</si>
  <si>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</si>
  <si>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</si>
  <si>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</si>
  <si>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</si>
  <si>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</si>
  <si>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</si>
  <si>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</si>
  <si>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</si>
  <si>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</si>
  <si>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</si>
  <si>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</si>
  <si>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</si>
  <si>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</si>
  <si>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</si>
  <si>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</si>
  <si>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</si>
  <si>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</si>
  <si>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</si>
  <si>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</si>
  <si>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</si>
  <si>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</si>
  <si>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</si>
  <si>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</si>
  <si>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</si>
  <si>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</si>
  <si>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</si>
  <si>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</si>
  <si>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</si>
  <si>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</si>
  <si>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</si>
  <si>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</si>
  <si>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</si>
  <si>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</si>
  <si>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</si>
  <si>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</si>
  <si>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</si>
  <si>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</si>
  <si>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</si>
  <si>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</si>
  <si>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</si>
  <si>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</si>
  <si>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</si>
  <si>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</si>
  <si>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</si>
  <si>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</si>
  <si>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</si>
  <si>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</si>
  <si>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</si>
  <si>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</si>
  <si>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</si>
  <si>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</si>
  <si>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</si>
  <si>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</si>
  <si>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</si>
  <si>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</si>
  <si>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</si>
  <si>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</si>
  <si>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</si>
  <si>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</si>
  <si>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</si>
  <si>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</si>
  <si>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</si>
  <si>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</si>
  <si>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</si>
  <si>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</si>
  <si>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</si>
  <si>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</si>
  <si>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</si>
  <si>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</si>
  <si>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</si>
  <si>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</si>
  <si>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</si>
  <si>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</si>
  <si>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</si>
  <si>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</si>
  <si>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</si>
  <si>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</si>
  <si>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</si>
  <si>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</si>
  <si>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</si>
  <si>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</si>
  <si>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</si>
  <si>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</si>
  <si>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</si>
  <si>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</si>
  <si>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</si>
  <si>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</si>
  <si>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</si>
  <si>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</si>
  <si>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</si>
  <si>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</si>
  <si>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</si>
  <si>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</si>
  <si>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</si>
  <si>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</si>
  <si>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</si>
  <si>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</si>
  <si>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</si>
  <si>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</si>
  <si>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</si>
  <si>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</si>
  <si>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</si>
  <si>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</si>
  <si>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</si>
  <si>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</si>
  <si>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</si>
  <si>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</si>
  <si>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</si>
  <si>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</si>
  <si>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</si>
  <si>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</si>
  <si>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</si>
  <si>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</si>
  <si>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</si>
  <si>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</si>
  <si>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</si>
  <si>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</si>
  <si>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</si>
  <si>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</si>
  <si>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</si>
  <si>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</si>
  <si>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</si>
  <si>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</si>
  <si>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</si>
  <si>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</si>
  <si>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</si>
  <si>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</si>
  <si>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</si>
  <si>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</si>
  <si>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</si>
  <si>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</si>
  <si>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</si>
  <si>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</si>
  <si>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</si>
  <si>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</si>
  <si>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</si>
  <si>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</si>
  <si>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</si>
  <si>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</si>
  <si>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</si>
  <si>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</si>
  <si>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</si>
  <si>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</si>
  <si>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</si>
  <si>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</si>
  <si>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</si>
  <si>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</si>
  <si>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</si>
  <si>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</si>
  <si>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</si>
  <si>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</si>
  <si>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</si>
  <si>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</si>
  <si>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</si>
  <si>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</si>
  <si>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</si>
  <si>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</si>
  <si>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</si>
  <si>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</si>
  <si>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</si>
  <si>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</si>
  <si>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</si>
  <si>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</si>
  <si>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</si>
  <si>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</si>
  <si>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</si>
  <si>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</si>
  <si>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</si>
  <si>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</si>
  <si>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</si>
  <si>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</si>
  <si>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</si>
  <si>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</si>
  <si>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</si>
  <si>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</si>
  <si>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</si>
  <si>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</si>
  <si>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</si>
  <si>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</si>
  <si>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</si>
  <si>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</si>
  <si>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</si>
  <si>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</si>
  <si>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</si>
  <si>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</si>
  <si>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</si>
  <si>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</si>
  <si>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</si>
  <si>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</si>
  <si>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</si>
  <si>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</si>
  <si>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</si>
  <si>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</si>
  <si>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</si>
  <si>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</si>
  <si>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</si>
  <si>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</si>
  <si>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</si>
  <si>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</si>
  <si>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</si>
  <si>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</si>
  <si>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</si>
  <si>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</si>
  <si>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</si>
  <si>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</si>
  <si>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</si>
  <si>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</si>
  <si>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</si>
  <si>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</si>
  <si>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</si>
  <si>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</si>
  <si>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</si>
  <si>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</si>
  <si>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</si>
  <si>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</si>
  <si>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</si>
  <si>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</si>
  <si>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</si>
  <si>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</si>
  <si>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</si>
  <si>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</si>
  <si>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</si>
  <si>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</si>
  <si>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</si>
  <si>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</si>
  <si>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</si>
  <si>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</si>
  <si>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</si>
  <si>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</si>
  <si>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</si>
  <si>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</si>
  <si>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</si>
  <si>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</si>
  <si>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</si>
  <si>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</si>
  <si>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</si>
  <si>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</si>
  <si>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</si>
  <si>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</si>
  <si>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</si>
  <si>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</si>
  <si>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</si>
  <si>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</si>
  <si>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</si>
  <si>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</si>
  <si>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</si>
  <si>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</si>
  <si>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</si>
  <si>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</si>
  <si>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</si>
  <si>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</si>
  <si>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</si>
  <si>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</si>
  <si>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</si>
  <si>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</si>
  <si>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</si>
  <si>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</si>
  <si>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</si>
  <si>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</si>
  <si>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</si>
  <si>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</si>
  <si>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</si>
  <si>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</si>
  <si>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</si>
  <si>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</si>
  <si>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</si>
  <si>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</si>
  <si>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</si>
  <si>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</si>
  <si>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</si>
  <si>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</si>
  <si>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</si>
  <si>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</si>
  <si>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</si>
  <si>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</si>
  <si>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</si>
  <si>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</si>
  <si>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</si>
  <si>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</si>
  <si>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</si>
  <si>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</si>
  <si>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</si>
  <si>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</si>
  <si>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</si>
  <si>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</si>
  <si>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</si>
  <si>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</si>
  <si>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</si>
  <si>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</si>
  <si>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</si>
  <si>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</si>
  <si>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</si>
  <si>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</si>
  <si>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</si>
  <si>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</si>
  <si>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</si>
  <si>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</si>
  <si>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</si>
  <si>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</si>
  <si>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</si>
  <si>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</si>
  <si>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</si>
  <si>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</si>
  <si>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</si>
  <si>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</si>
  <si>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</si>
  <si>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</si>
  <si>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</si>
  <si>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</si>
  <si>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</si>
  <si>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</si>
  <si>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</si>
  <si>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</si>
  <si>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</si>
  <si>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</si>
  <si>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</si>
  <si>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</si>
  <si>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</si>
  <si>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</si>
  <si>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</si>
  <si>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</si>
  <si>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</si>
  <si>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</si>
  <si>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</si>
  <si>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</si>
  <si>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</si>
  <si>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</si>
  <si>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</si>
  <si>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</si>
  <si>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</si>
  <si>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</si>
  <si>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</si>
  <si>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</si>
  <si>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</si>
  <si>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</si>
  <si>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</si>
  <si>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</si>
  <si>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</si>
  <si>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</si>
  <si>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</si>
  <si>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</si>
  <si>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</si>
  <si>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</si>
  <si>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</si>
  <si>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</si>
  <si>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</si>
  <si>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</si>
  <si>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</si>
  <si>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</si>
  <si>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</si>
  <si>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</si>
  <si>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</si>
  <si>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</si>
  <si>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</si>
  <si>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</si>
  <si>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</si>
  <si>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</si>
  <si>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</si>
  <si>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</si>
  <si>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</si>
  <si>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</si>
  <si>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</si>
  <si>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</si>
  <si>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</si>
  <si>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</si>
  <si>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</si>
  <si>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</si>
  <si>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</si>
  <si>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</si>
  <si>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</si>
  <si>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</si>
  <si>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</si>
  <si>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</si>
  <si>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</si>
  <si>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</si>
  <si>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</si>
  <si>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</si>
  <si>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</si>
  <si>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</si>
  <si>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</si>
  <si>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</si>
  <si>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</si>
  <si>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</si>
  <si>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</si>
  <si>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</si>
  <si>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</si>
  <si>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</si>
  <si>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</si>
  <si>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</si>
  <si>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</si>
  <si>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</si>
  <si>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</si>
  <si>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</si>
  <si>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</si>
  <si>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</si>
  <si>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</si>
  <si>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</si>
  <si>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</si>
  <si>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</si>
  <si>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</si>
  <si>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</si>
  <si>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</si>
  <si>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</si>
  <si>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</si>
  <si>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</si>
  <si>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</si>
  <si>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</si>
  <si>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</si>
  <si>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</si>
  <si>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</si>
  <si>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</si>
  <si>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</si>
  <si>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</si>
  <si>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</si>
  <si>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</si>
  <si>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</si>
  <si>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</si>
  <si>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</si>
  <si>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</si>
  <si>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</si>
  <si>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</si>
  <si>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</si>
  <si>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</si>
  <si>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</si>
  <si>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</si>
  <si>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</si>
  <si>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</si>
  <si>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</si>
  <si>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</si>
  <si>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</si>
  <si>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</si>
  <si>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</si>
  <si>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</si>
  <si>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</si>
  <si>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</si>
  <si>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</si>
  <si>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</si>
  <si>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</si>
  <si>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</si>
  <si>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</si>
  <si>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</si>
  <si>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</si>
  <si>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</si>
  <si>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</si>
  <si>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</si>
  <si>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</si>
  <si>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</si>
  <si>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</si>
  <si>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</si>
  <si>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</si>
  <si>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</si>
  <si>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</si>
  <si>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</si>
  <si>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</si>
  <si>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</si>
  <si>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</si>
  <si>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</si>
  <si>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</si>
  <si>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</si>
  <si>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</si>
  <si>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</si>
  <si>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</si>
  <si>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</si>
  <si>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</si>
  <si>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</si>
  <si>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</si>
  <si>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</si>
  <si>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</si>
  <si>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</si>
  <si>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</si>
  <si>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</si>
  <si>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</si>
  <si>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</si>
  <si>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</si>
  <si>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</si>
  <si>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</si>
  <si>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</si>
  <si>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</si>
  <si>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</si>
  <si>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</si>
  <si>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</si>
  <si>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</si>
  <si>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</si>
  <si>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</si>
  <si>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</si>
  <si>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</si>
  <si>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</si>
  <si>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</si>
  <si>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</si>
  <si>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</si>
  <si>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</si>
  <si>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</si>
  <si>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</si>
  <si>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</si>
  <si>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</si>
  <si>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</si>
  <si>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</si>
  <si>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</si>
  <si>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</si>
  <si>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</si>
  <si>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</si>
  <si>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</si>
  <si>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</si>
  <si>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</si>
  <si>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</si>
  <si>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</si>
  <si>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</si>
  <si>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</si>
  <si>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</si>
  <si>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</si>
  <si>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</si>
  <si>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</si>
  <si>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</si>
  <si>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</si>
  <si>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</si>
  <si>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</si>
  <si>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</si>
  <si>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</si>
  <si>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</si>
  <si>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</si>
  <si>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</si>
  <si>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</si>
  <si>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</si>
  <si>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</si>
  <si>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</si>
  <si>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</si>
  <si>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</si>
  <si>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</si>
  <si>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</si>
  <si>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</si>
  <si>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</si>
  <si>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</si>
  <si>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</si>
  <si>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</si>
  <si>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</si>
  <si>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</si>
  <si>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</si>
  <si>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</si>
  <si>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</si>
  <si>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</si>
  <si>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</si>
  <si>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</si>
  <si>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</si>
  <si>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</si>
  <si>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</si>
  <si>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</si>
  <si>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</si>
  <si>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</si>
  <si>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</si>
  <si>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</si>
  <si>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</si>
  <si>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</si>
  <si>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</si>
  <si>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</si>
  <si>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</si>
  <si>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</si>
  <si>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</si>
  <si>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</si>
  <si>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</si>
  <si>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</si>
  <si>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</si>
  <si>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</si>
  <si>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</si>
  <si>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</si>
  <si>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</si>
  <si>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</si>
  <si>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</si>
  <si>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</si>
  <si>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</si>
  <si>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</si>
  <si>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</si>
  <si>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</si>
  <si>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</si>
  <si>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</si>
  <si>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</si>
  <si>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</si>
  <si>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</si>
  <si>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</si>
  <si>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</si>
  <si>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</si>
  <si>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</si>
  <si>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</si>
  <si>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</si>
  <si>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</si>
  <si>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</si>
  <si>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</si>
  <si>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</si>
  <si>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</si>
  <si>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</si>
  <si>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</si>
  <si>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</si>
  <si>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</si>
  <si>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</si>
  <si>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</si>
  <si>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</si>
  <si>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</si>
  <si>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</si>
  <si>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</si>
  <si>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</si>
  <si>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</si>
  <si>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</si>
  <si>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</si>
  <si>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</si>
  <si>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</si>
  <si>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</si>
  <si>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</si>
  <si>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</si>
  <si>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</si>
  <si>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</si>
  <si>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</si>
  <si>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</si>
  <si>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</si>
  <si>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</si>
  <si>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</si>
  <si>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</si>
  <si>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</si>
  <si>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</si>
  <si>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</si>
  <si>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</si>
  <si>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</si>
  <si>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</si>
  <si>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</si>
  <si>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</si>
  <si>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</si>
  <si>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</si>
  <si>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</si>
  <si>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</si>
  <si>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</si>
  <si>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</si>
  <si>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</si>
  <si>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</si>
  <si>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</si>
  <si>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</si>
  <si>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</si>
  <si>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</si>
  <si>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</si>
  <si>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</si>
  <si>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</si>
  <si>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</si>
  <si>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</si>
  <si>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</si>
  <si>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</si>
  <si>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</si>
  <si>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</si>
  <si>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</si>
  <si>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</si>
  <si>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</si>
  <si>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</si>
  <si>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</si>
  <si>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</si>
  <si>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</si>
  <si>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</si>
  <si>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</si>
  <si>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</si>
  <si>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</si>
  <si>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</si>
  <si>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</si>
  <si>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</si>
  <si>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</si>
  <si>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</si>
  <si>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</si>
  <si>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</si>
  <si>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</si>
  <si>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</si>
  <si>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</si>
  <si>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</si>
  <si>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</si>
  <si>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</si>
  <si>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</si>
  <si>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</si>
  <si>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</si>
  <si>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</si>
  <si>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</si>
  <si>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</si>
  <si>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</si>
  <si>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</si>
  <si>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</si>
  <si>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</si>
  <si>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</si>
  <si>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</si>
  <si>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</si>
  <si>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</si>
  <si>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</si>
  <si>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</si>
  <si>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</si>
  <si>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</si>
  <si>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</si>
  <si>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</si>
  <si>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</si>
  <si>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</si>
  <si>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</si>
  <si>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</si>
  <si>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</si>
  <si>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</si>
  <si>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</si>
  <si>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</si>
  <si>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</si>
  <si>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</si>
  <si>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</si>
  <si>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</si>
  <si>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</si>
  <si>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</si>
  <si>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</si>
  <si>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</si>
  <si>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</si>
  <si>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</si>
  <si>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</si>
  <si>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</si>
  <si>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</si>
  <si>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</si>
  <si>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</si>
  <si>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</si>
  <si>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</si>
  <si>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</si>
  <si>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</si>
  <si>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</si>
  <si>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</si>
  <si>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</si>
  <si>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</si>
  <si>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</si>
  <si>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</si>
  <si>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</si>
  <si>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</si>
  <si>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</si>
  <si>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</si>
  <si>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</si>
  <si>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</si>
  <si>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</si>
  <si>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</si>
  <si>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</si>
  <si>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</si>
  <si>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</si>
  <si>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</si>
  <si>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</si>
  <si>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</si>
  <si>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</si>
  <si>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</si>
  <si>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</si>
  <si>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</si>
  <si>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</si>
  <si>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</si>
  <si>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</si>
  <si>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</si>
  <si>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</si>
  <si>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</si>
  <si>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</si>
  <si>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</si>
  <si>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</si>
  <si>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</si>
  <si>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</si>
  <si>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</si>
  <si>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</si>
  <si>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</si>
  <si>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</si>
  <si>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</si>
  <si>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</si>
  <si>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</si>
  <si>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</si>
  <si>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</si>
  <si>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</si>
  <si>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</si>
  <si>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</si>
  <si>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</si>
  <si>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</si>
  <si>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</si>
  <si>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</si>
  <si>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</si>
  <si>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</si>
  <si>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</si>
  <si>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</si>
  <si>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</si>
  <si>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</si>
  <si>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</si>
  <si>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</si>
  <si>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</si>
  <si>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</si>
  <si>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</si>
  <si>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</si>
  <si>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</si>
  <si>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</si>
  <si>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</si>
  <si>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</si>
  <si>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</si>
  <si>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</si>
  <si>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</si>
  <si>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</si>
  <si>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</si>
  <si>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</si>
  <si>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</si>
  <si>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</si>
  <si>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</si>
  <si>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</si>
  <si>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</si>
  <si>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</si>
  <si>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</si>
  <si>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</si>
  <si>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</si>
  <si>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</si>
  <si>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</si>
  <si>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</si>
  <si>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</si>
  <si>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</si>
  <si>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</si>
  <si>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</si>
  <si>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</si>
  <si>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</si>
  <si>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</si>
  <si>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</si>
  <si>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</si>
  <si>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</si>
  <si>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</si>
  <si>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</si>
  <si>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</si>
  <si>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</si>
  <si>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</si>
  <si>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</si>
  <si>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</si>
  <si>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</si>
  <si>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</si>
  <si>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</si>
  <si>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</si>
  <si>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</si>
  <si>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</si>
  <si>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</si>
  <si>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</si>
  <si>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</si>
  <si>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</si>
  <si>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</si>
  <si>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</si>
  <si>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</si>
  <si>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</si>
  <si>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</si>
  <si>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</si>
  <si>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</si>
  <si>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</si>
  <si>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</si>
  <si>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</si>
  <si>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</si>
  <si>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</si>
  <si>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</si>
  <si>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</si>
  <si>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</si>
  <si>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</si>
  <si>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</si>
  <si>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</si>
  <si>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</si>
  <si>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</si>
  <si>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</si>
  <si>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</si>
  <si>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</si>
  <si>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</si>
  <si>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</si>
  <si>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</si>
  <si>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</si>
  <si>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</si>
  <si>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</si>
  <si>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</si>
  <si>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</si>
  <si>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</si>
  <si>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</si>
  <si>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</si>
  <si>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</si>
  <si>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</si>
  <si>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</si>
  <si>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</si>
  <si>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</si>
  <si>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</si>
  <si>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</si>
  <si>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</si>
  <si>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</si>
  <si>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</si>
  <si>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</si>
  <si>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</si>
  <si>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</si>
  <si>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</si>
  <si>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</si>
  <si>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</si>
  <si>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</si>
  <si>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</si>
  <si>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</si>
  <si>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</si>
  <si>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</si>
  <si>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</si>
  <si>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</si>
  <si>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</si>
  <si>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</si>
  <si>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</si>
  <si>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</si>
  <si>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</si>
  <si>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</si>
  <si>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</si>
  <si>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</si>
  <si>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</si>
  <si>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</si>
  <si>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</si>
  <si>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</si>
  <si>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</si>
  <si>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</si>
  <si>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</si>
  <si>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</si>
  <si>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</si>
  <si>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</si>
  <si>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</si>
  <si>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</si>
  <si>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</si>
  <si>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</si>
  <si>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</si>
  <si>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</si>
  <si>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</si>
  <si>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</si>
  <si>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</si>
  <si>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</si>
  <si>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</si>
  <si>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</si>
  <si>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</si>
  <si>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</si>
  <si>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</si>
  <si>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</si>
  <si>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</si>
  <si>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</si>
  <si>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</si>
  <si>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</si>
  <si>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</si>
  <si>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</si>
  <si>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</si>
  <si>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</si>
  <si>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</si>
  <si>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</si>
  <si>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</si>
  <si>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</si>
  <si>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</si>
  <si>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</si>
  <si>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</si>
  <si>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</si>
  <si>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</si>
  <si>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</si>
  <si>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</si>
  <si>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</si>
  <si>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</si>
  <si>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</si>
  <si>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</si>
  <si>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</si>
  <si>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</si>
  <si>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</si>
  <si>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</si>
  <si>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</si>
  <si>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</si>
  <si>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</si>
  <si>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</si>
  <si>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</si>
  <si>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</si>
  <si>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</si>
  <si>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</si>
  <si>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</si>
  <si>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</si>
  <si>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</si>
  <si>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</si>
  <si>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</si>
  <si>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</si>
  <si>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</si>
  <si>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</si>
  <si>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</si>
  <si>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</si>
  <si>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</si>
  <si>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</si>
  <si>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</si>
  <si>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</si>
  <si>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</si>
  <si>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</si>
  <si>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</si>
  <si>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</si>
  <si>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</si>
  <si>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</si>
  <si>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</si>
  <si>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</si>
  <si>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</si>
  <si>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</si>
  <si>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</si>
  <si>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</si>
  <si>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</si>
  <si>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</si>
  <si>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</si>
  <si>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</si>
  <si>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</si>
  <si>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</si>
  <si>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</si>
  <si>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</si>
  <si>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</si>
  <si>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</si>
  <si>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</si>
  <si>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</si>
  <si>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</si>
  <si>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</si>
  <si>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</si>
  <si>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</si>
  <si>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</si>
  <si>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</si>
  <si>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</si>
  <si>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</si>
  <si>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</si>
  <si>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</si>
  <si>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</si>
  <si>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</si>
  <si>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</si>
  <si>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</si>
  <si>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</si>
  <si>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</si>
  <si>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</si>
  <si>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</si>
  <si>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</si>
  <si>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</si>
  <si>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</si>
  <si>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</si>
  <si>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</si>
  <si>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</si>
  <si>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</si>
  <si>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</si>
  <si>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</si>
  <si>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</si>
  <si>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</si>
  <si>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</si>
  <si>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</si>
  <si>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</si>
  <si>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</si>
  <si>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</si>
  <si>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</si>
  <si>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</si>
  <si>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</si>
  <si>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</si>
  <si>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</si>
  <si>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</si>
  <si>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</si>
  <si>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</si>
  <si>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</si>
  <si>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</si>
  <si>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</si>
  <si>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</si>
  <si>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</si>
  <si>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</si>
  <si>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</si>
  <si>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</si>
  <si>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</si>
  <si>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</si>
  <si>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</si>
  <si>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</si>
  <si>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</si>
  <si>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</si>
  <si>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</si>
  <si>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</si>
  <si>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</si>
  <si>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</si>
  <si>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</si>
  <si>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</si>
  <si>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</si>
  <si>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</si>
  <si>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</si>
  <si>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</si>
  <si>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</si>
  <si>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</si>
  <si>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</si>
  <si>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</si>
  <si>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</si>
  <si>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</si>
  <si>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</si>
  <si>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</si>
  <si>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</si>
  <si>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</si>
  <si>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</si>
  <si>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</si>
  <si>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</si>
  <si>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</si>
  <si>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</si>
  <si>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</si>
  <si>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</si>
  <si>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</si>
  <si>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</si>
  <si>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</si>
  <si>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</si>
  <si>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</si>
  <si>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</si>
  <si>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</si>
  <si>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</si>
  <si>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</si>
  <si>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</si>
  <si>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</si>
  <si>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</si>
  <si>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</si>
  <si>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</si>
  <si>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</si>
  <si>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</si>
  <si>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</si>
  <si>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</si>
  <si>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</si>
  <si>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</si>
  <si>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</si>
  <si>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</si>
  <si>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</si>
  <si>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</si>
  <si>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</si>
  <si>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</si>
  <si>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</si>
  <si>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</si>
  <si>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</si>
  <si>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</si>
  <si>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</si>
  <si>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</si>
  <si>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</si>
  <si>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</si>
  <si>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</si>
  <si>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</si>
  <si>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</si>
  <si>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</si>
  <si>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</si>
  <si>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</si>
  <si>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</si>
  <si>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</si>
  <si>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</si>
  <si>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</si>
  <si>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</si>
  <si>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</si>
  <si>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</si>
  <si>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</si>
  <si>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</si>
  <si>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</si>
  <si>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</si>
  <si>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</si>
  <si>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</si>
  <si>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</si>
  <si>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</si>
  <si>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</si>
  <si>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</si>
  <si>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</si>
  <si>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</si>
  <si>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</si>
  <si>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</si>
  <si>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</si>
  <si>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</si>
  <si>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</si>
  <si>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</si>
  <si>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</si>
  <si>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</si>
  <si>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</si>
  <si>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</si>
  <si>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</si>
  <si>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</si>
  <si>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</si>
  <si>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</si>
  <si>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</si>
  <si>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</si>
  <si>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</si>
  <si>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</si>
  <si>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</si>
  <si>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</si>
  <si>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</si>
  <si>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</si>
  <si>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</si>
  <si>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</si>
  <si>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</si>
  <si>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</si>
  <si>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</si>
  <si>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</si>
  <si>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</si>
  <si>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</si>
  <si>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</si>
  <si>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</si>
  <si>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</si>
  <si>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</si>
  <si>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</si>
  <si>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</si>
  <si>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</si>
  <si>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</si>
  <si>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</si>
  <si>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</si>
  <si>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</si>
  <si>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</si>
  <si>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</si>
  <si>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</si>
  <si>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</si>
  <si>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</si>
  <si>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</si>
  <si>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</si>
  <si>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</si>
  <si>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</si>
  <si>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</si>
  <si>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</si>
  <si>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</si>
  <si>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</si>
  <si>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</si>
  <si>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</si>
  <si>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</si>
  <si>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</si>
  <si>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</si>
  <si>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</si>
  <si>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</si>
  <si>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</si>
  <si>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</si>
  <si>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</si>
  <si>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</si>
  <si>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</si>
  <si>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</si>
  <si>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</si>
  <si>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</si>
  <si>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</si>
  <si>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</si>
  <si>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</si>
  <si>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</si>
  <si>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</si>
  <si>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</si>
  <si>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</si>
  <si>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</si>
  <si>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</si>
  <si>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</si>
  <si>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</si>
  <si>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</si>
  <si>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</si>
  <si>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</si>
  <si>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</si>
  <si>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</si>
  <si>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</si>
  <si>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</si>
  <si>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</si>
  <si>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</si>
  <si>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</si>
  <si>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</si>
  <si>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</si>
  <si>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</si>
  <si>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</si>
  <si>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</si>
  <si>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</si>
  <si>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</si>
  <si>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</si>
  <si>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</si>
  <si>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</si>
  <si>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</si>
  <si>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</si>
  <si>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</si>
  <si>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</si>
  <si>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</si>
  <si>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</si>
  <si>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</si>
  <si>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</si>
  <si>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</si>
  <si>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</si>
  <si>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</si>
  <si>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</si>
  <si>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</si>
  <si>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</si>
  <si>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</si>
  <si>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</si>
  <si>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</si>
  <si>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</si>
  <si>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</si>
  <si>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</si>
  <si>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</si>
  <si>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</si>
  <si>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</si>
  <si>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</si>
  <si>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</si>
  <si>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</si>
  <si>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</si>
  <si>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</si>
  <si>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</si>
  <si>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</si>
  <si>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</si>
  <si>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</si>
  <si>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</si>
  <si>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</si>
  <si>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</si>
  <si>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</si>
  <si>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</si>
  <si>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</si>
  <si>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</si>
  <si>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</si>
  <si>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</si>
  <si>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</si>
  <si>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</si>
  <si>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</si>
  <si>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</si>
  <si>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</si>
  <si>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</si>
  <si>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</si>
  <si>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</si>
  <si>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</si>
  <si>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</si>
  <si>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</si>
  <si>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</si>
  <si>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</si>
  <si>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</si>
  <si>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</si>
  <si>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</si>
  <si>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</si>
  <si>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</si>
  <si>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</si>
  <si>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</si>
  <si>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</si>
  <si>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</si>
  <si>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</si>
  <si>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</si>
  <si>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</si>
  <si>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</si>
  <si>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</si>
  <si>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</si>
  <si>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</si>
  <si>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</si>
  <si>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</si>
  <si>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</si>
  <si>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</si>
  <si>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</si>
  <si>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</si>
  <si>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</si>
  <si>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</si>
  <si>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</si>
  <si>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</si>
  <si>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</si>
  <si>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</si>
  <si>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</si>
  <si>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</si>
  <si>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</si>
  <si>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</si>
  <si>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</si>
  <si>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</si>
  <si>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</si>
  <si>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</si>
  <si>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</si>
  <si>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</si>
  <si>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</si>
  <si>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</si>
  <si>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</si>
  <si>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</si>
  <si>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</si>
  <si>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</si>
  <si>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</si>
  <si>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</si>
  <si>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</si>
  <si>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</si>
  <si>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</si>
  <si>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</si>
  <si>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</si>
  <si>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</si>
  <si>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</si>
  <si>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</si>
  <si>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</si>
  <si>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</si>
  <si>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</si>
  <si>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</si>
  <si>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</si>
  <si>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</si>
  <si>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</si>
  <si>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</si>
  <si>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</si>
  <si>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</si>
  <si>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</si>
  <si>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</si>
  <si>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</si>
  <si>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</si>
  <si>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</si>
  <si>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</si>
  <si>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</si>
  <si>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</si>
  <si>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</si>
  <si>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</si>
  <si>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</si>
  <si>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</si>
  <si>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</si>
  <si>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</si>
  <si>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</si>
  <si>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</si>
  <si>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</si>
  <si>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</si>
  <si>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</si>
  <si>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</si>
  <si>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</si>
  <si>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</si>
  <si>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</si>
  <si>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</si>
  <si>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</si>
  <si>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</si>
  <si>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</si>
  <si>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</si>
  <si>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</si>
  <si>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</si>
  <si>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</si>
  <si>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</si>
  <si>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</si>
  <si>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</si>
  <si>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</si>
  <si>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</si>
  <si>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</si>
  <si>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</si>
  <si>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</si>
  <si>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</si>
  <si>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</si>
  <si>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</si>
  <si>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</si>
  <si>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</si>
  <si>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</si>
  <si>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</si>
  <si>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</si>
  <si>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</si>
  <si>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</si>
  <si>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</si>
  <si>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</si>
  <si>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</si>
  <si>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</si>
  <si>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</si>
  <si>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</si>
  <si>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</si>
  <si>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</si>
  <si>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</si>
  <si>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</si>
  <si>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</si>
  <si>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</si>
  <si>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</si>
  <si>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</si>
  <si>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</si>
  <si>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</si>
  <si>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</si>
  <si>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</si>
  <si>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</si>
  <si>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</si>
  <si>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</si>
  <si>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</si>
  <si>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</si>
  <si>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</si>
  <si>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</si>
  <si>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</si>
  <si>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</si>
  <si>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</si>
  <si>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</si>
  <si>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</si>
  <si>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</si>
  <si>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</si>
  <si>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</si>
  <si>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</si>
  <si>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</si>
  <si>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</si>
  <si>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</si>
  <si>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</si>
  <si>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</si>
  <si>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</si>
  <si>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</si>
  <si>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</si>
  <si>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</si>
  <si>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</si>
  <si>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</si>
  <si>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</si>
  <si>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</si>
  <si>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</si>
  <si>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</si>
  <si>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</si>
  <si>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</si>
  <si>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</si>
  <si>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</si>
  <si>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</si>
  <si>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</si>
  <si>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</si>
  <si>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</si>
  <si>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</si>
  <si>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</si>
  <si>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</si>
  <si>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</si>
  <si>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</si>
  <si>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</si>
  <si>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</si>
  <si>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</si>
  <si>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</si>
  <si>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</si>
  <si>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</si>
  <si>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</si>
  <si>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</si>
  <si>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</si>
  <si>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</si>
  <si>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</si>
  <si>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</si>
  <si>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</si>
  <si>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</si>
  <si>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</si>
  <si>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</si>
  <si>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</si>
  <si>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</si>
  <si>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</si>
  <si>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</si>
  <si>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</si>
  <si>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</si>
  <si>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</si>
  <si>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</si>
  <si>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</si>
  <si>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</si>
  <si>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</si>
  <si>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</si>
  <si>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</si>
  <si>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</si>
  <si>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</si>
  <si>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</si>
  <si>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</si>
  <si>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</si>
  <si>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</si>
  <si>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</si>
  <si>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</si>
  <si>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</si>
  <si>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</si>
  <si>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</si>
  <si>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</si>
  <si>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</si>
  <si>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</si>
  <si>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</si>
  <si>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</si>
  <si>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</si>
  <si>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</si>
  <si>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</si>
  <si>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</si>
  <si>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</si>
  <si>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</si>
  <si>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</si>
  <si>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</si>
  <si>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</si>
  <si>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</si>
  <si>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</si>
  <si>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</si>
  <si>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</si>
  <si>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</si>
  <si>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</si>
  <si>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</si>
  <si>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</si>
  <si>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</si>
  <si>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</si>
  <si>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</si>
  <si>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</si>
  <si>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</si>
  <si>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</si>
  <si>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</si>
  <si>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</si>
  <si>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</si>
  <si>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</si>
  <si>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</si>
  <si>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</si>
  <si>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</si>
  <si>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</si>
  <si>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</si>
  <si>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</si>
  <si>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</si>
  <si>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</si>
  <si>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</si>
  <si>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</si>
  <si>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</si>
  <si>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</si>
  <si>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</si>
  <si>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</si>
  <si>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</si>
  <si>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</si>
  <si>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</si>
  <si>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</si>
  <si>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</si>
  <si>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</si>
  <si>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</si>
  <si>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</si>
  <si>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</si>
  <si>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</si>
  <si>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</si>
  <si>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</si>
  <si>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</si>
  <si>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</si>
  <si>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</si>
  <si>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</si>
  <si>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</si>
  <si>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</si>
  <si>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</si>
  <si>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</si>
  <si>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</si>
  <si>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</si>
  <si>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</si>
  <si>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</si>
  <si>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</si>
  <si>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</si>
  <si>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</si>
  <si>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</si>
  <si>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</si>
  <si>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</si>
  <si>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</si>
  <si>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</si>
  <si>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</si>
  <si>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</si>
  <si>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</si>
  <si>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</si>
  <si>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</si>
  <si>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</si>
  <si>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</si>
  <si>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</si>
  <si>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</si>
  <si>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</si>
  <si>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</si>
  <si>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</si>
  <si>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</si>
  <si>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</si>
  <si>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</si>
  <si>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</si>
  <si>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</si>
  <si>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</si>
  <si>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</si>
  <si>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</si>
  <si>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</si>
  <si>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</si>
  <si>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</si>
  <si>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</si>
  <si>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</si>
  <si>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</si>
  <si>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</si>
  <si>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</si>
  <si>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</si>
  <si>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</si>
  <si>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</si>
  <si>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</si>
  <si>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</si>
  <si>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</si>
  <si>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</si>
  <si>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</si>
  <si>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</si>
  <si>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</si>
  <si>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</si>
  <si>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</si>
  <si>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</si>
  <si>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</si>
  <si>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</si>
  <si>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</si>
  <si>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</si>
  <si>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</si>
  <si>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</si>
  <si>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</si>
  <si>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</si>
  <si>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</si>
  <si>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</si>
  <si>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</si>
  <si>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</si>
  <si>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</si>
  <si>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</si>
  <si>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</si>
  <si>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</si>
  <si>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</si>
  <si>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</si>
  <si>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</si>
  <si>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</si>
  <si>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</si>
  <si>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</si>
  <si>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</si>
  <si>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</si>
  <si>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</si>
  <si>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</si>
  <si>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</si>
  <si>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</si>
  <si>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</si>
  <si>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</si>
  <si>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</si>
  <si>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</si>
  <si>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</si>
  <si>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</si>
  <si>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</si>
  <si>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</si>
  <si>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</si>
  <si>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</si>
  <si>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</si>
  <si>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</si>
  <si>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</si>
  <si>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</si>
  <si>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</si>
  <si>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</si>
  <si>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</si>
  <si>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</si>
  <si>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</si>
  <si>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</si>
  <si>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</si>
  <si>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</si>
  <si>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</si>
  <si>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</si>
  <si>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</si>
  <si>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</si>
  <si>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</si>
  <si>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</si>
  <si>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</si>
  <si>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</si>
  <si>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</si>
  <si>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</si>
  <si>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</si>
  <si>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</si>
  <si>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</si>
  <si>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</si>
  <si>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</si>
  <si>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</si>
  <si>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</si>
  <si>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</si>
  <si>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</si>
  <si>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</si>
  <si>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</si>
  <si>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</si>
  <si>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</si>
  <si>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</si>
  <si>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</si>
  <si>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</si>
  <si>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</si>
  <si>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</si>
  <si>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</si>
  <si>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</si>
  <si>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</si>
  <si>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</si>
  <si>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</si>
  <si>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</si>
  <si>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</si>
  <si>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</si>
  <si>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</si>
  <si>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</si>
  <si>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</si>
  <si>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</si>
  <si>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</si>
  <si>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</si>
  <si>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</si>
  <si>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</si>
  <si>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</si>
  <si>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</si>
  <si>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</si>
  <si>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</si>
  <si>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</si>
  <si>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</si>
  <si>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</si>
  <si>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</si>
  <si>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</si>
  <si>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</si>
  <si>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</si>
  <si>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</si>
  <si>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</si>
  <si>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</si>
  <si>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</si>
  <si>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</si>
  <si>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</si>
  <si>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</si>
  <si>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</si>
  <si>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</si>
  <si>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</si>
  <si>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</si>
  <si>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</si>
  <si>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</si>
  <si>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</si>
  <si>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</si>
  <si>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</si>
  <si>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</si>
  <si>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</si>
  <si>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</si>
  <si>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</si>
  <si>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</si>
  <si>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</si>
  <si>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</si>
  <si>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</si>
  <si>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</si>
  <si>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</si>
  <si>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</si>
  <si>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</si>
  <si>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</si>
  <si>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</si>
  <si>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</si>
  <si>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</si>
  <si>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</si>
  <si>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</si>
  <si>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</si>
  <si>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</si>
  <si>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</si>
  <si>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</si>
  <si>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</si>
  <si>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</si>
  <si>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</si>
  <si>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</si>
  <si>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</si>
  <si>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</si>
  <si>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</si>
  <si>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</si>
  <si>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</si>
  <si>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</si>
  <si>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</si>
  <si>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</si>
  <si>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</si>
  <si>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</si>
  <si>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</si>
  <si>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</si>
  <si>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</si>
  <si>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</si>
  <si>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</si>
  <si>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</si>
  <si>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</si>
  <si>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</si>
  <si>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</si>
  <si>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</si>
  <si>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</si>
  <si>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</si>
  <si>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</si>
  <si>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</si>
  <si>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</si>
  <si>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</si>
  <si>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</si>
  <si>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</si>
  <si>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</si>
  <si>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</si>
  <si>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</si>
  <si>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</si>
  <si>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</si>
  <si>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</si>
  <si>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</si>
  <si>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</si>
  <si>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</si>
  <si>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</si>
  <si>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</si>
  <si>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</si>
  <si>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</si>
  <si>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</si>
  <si>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</si>
  <si>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</si>
  <si>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</si>
  <si>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</si>
  <si>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</si>
  <si>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</si>
  <si>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</si>
  <si>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</si>
  <si>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</si>
  <si>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</si>
  <si>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</si>
  <si>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</si>
  <si>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</si>
  <si>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</si>
  <si>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</si>
  <si>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</si>
  <si>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</si>
  <si>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</si>
  <si>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</si>
  <si>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</si>
  <si>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</si>
  <si>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</si>
  <si>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</si>
  <si>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</si>
  <si>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</si>
  <si>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</si>
  <si>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</si>
  <si>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</si>
  <si>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</si>
  <si>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</si>
  <si>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</si>
  <si>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</si>
  <si>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</si>
  <si>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</si>
  <si>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</si>
  <si>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</si>
  <si>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</si>
  <si>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</si>
  <si>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</si>
  <si>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</si>
  <si>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</si>
  <si>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</si>
  <si>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</si>
  <si>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</si>
  <si>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</si>
  <si>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</si>
  <si>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</si>
  <si>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</si>
  <si>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</si>
  <si>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</si>
  <si>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</si>
  <si>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</si>
  <si>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</si>
  <si>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</si>
  <si>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</si>
  <si>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</si>
  <si>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</si>
  <si>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</si>
  <si>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</si>
  <si>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</si>
  <si>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</si>
  <si>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</si>
  <si>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</si>
  <si>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</si>
  <si>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</si>
  <si>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</si>
  <si>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</si>
  <si>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</si>
  <si>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</si>
  <si>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</si>
  <si>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</si>
  <si>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</si>
  <si>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</si>
  <si>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</si>
  <si>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</si>
  <si>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</si>
  <si>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</si>
  <si>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</si>
  <si>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</si>
  <si>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</si>
  <si>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</si>
  <si>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</si>
  <si>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</si>
  <si>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</si>
  <si>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</si>
  <si>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</si>
  <si>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</si>
  <si>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</si>
  <si>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</si>
  <si>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</si>
  <si>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</si>
  <si>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</si>
  <si>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</si>
  <si>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</si>
  <si>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</si>
  <si>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</si>
  <si>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</si>
  <si>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</si>
  <si>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</si>
  <si>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</si>
  <si>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</si>
  <si>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</si>
  <si>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</si>
  <si>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</si>
  <si>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</si>
  <si>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</si>
  <si>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</si>
  <si>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</si>
  <si>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</si>
  <si>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</si>
  <si>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</si>
  <si>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</si>
  <si>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</si>
  <si>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</si>
  <si>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</si>
  <si>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</si>
  <si>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</si>
  <si>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</si>
  <si>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</si>
  <si>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</si>
  <si>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</si>
  <si>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</si>
  <si>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</si>
  <si>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</si>
  <si>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</si>
  <si>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</si>
  <si>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</si>
  <si>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</si>
  <si>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</si>
  <si>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</si>
  <si>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</si>
  <si>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</si>
  <si>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</si>
  <si>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</si>
  <si>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</si>
  <si>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</si>
  <si>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</si>
  <si>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</si>
  <si>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</si>
  <si>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</si>
  <si>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</si>
  <si>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</si>
  <si>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</si>
  <si>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</si>
  <si>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</si>
  <si>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</si>
  <si>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</si>
  <si>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</si>
  <si>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</si>
  <si>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</si>
  <si>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</si>
  <si>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</si>
  <si>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</si>
  <si>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</si>
  <si>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</si>
  <si>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</si>
  <si>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</si>
  <si>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</si>
  <si>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</si>
  <si>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</si>
  <si>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</si>
  <si>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</si>
  <si>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</si>
  <si>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</si>
  <si>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</si>
  <si>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</si>
  <si>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</si>
  <si>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</si>
  <si>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</si>
  <si>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</si>
  <si>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</si>
  <si>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</si>
  <si>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</si>
  <si>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</si>
  <si>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</si>
  <si>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</si>
  <si>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</si>
  <si>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</si>
  <si>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</si>
  <si>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</si>
  <si>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</si>
  <si>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</si>
  <si>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</si>
  <si>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</si>
  <si>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</si>
  <si>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</si>
  <si>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</si>
  <si>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</si>
  <si>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</si>
  <si>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</si>
  <si>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</si>
  <si>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</si>
  <si>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</si>
  <si>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</si>
  <si>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</si>
  <si>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</si>
  <si>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</si>
  <si>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</si>
  <si>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</si>
  <si>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</si>
  <si>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</si>
  <si>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</si>
  <si>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</si>
  <si>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</si>
  <si>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</si>
  <si>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</si>
  <si>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</si>
  <si>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</si>
  <si>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</si>
  <si>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</si>
  <si>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</si>
  <si>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</si>
  <si>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</si>
  <si>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</si>
  <si>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</si>
  <si>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</si>
  <si>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</si>
  <si>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</si>
  <si>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</si>
  <si>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</si>
  <si>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</si>
  <si>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</si>
  <si>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</si>
  <si>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</si>
  <si>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</si>
  <si>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</si>
  <si>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</si>
  <si>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</si>
  <si>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</si>
  <si>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</si>
  <si>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</si>
  <si>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</si>
  <si>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</si>
  <si>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</si>
  <si>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</si>
  <si>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</si>
  <si>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</si>
  <si>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</si>
  <si>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</si>
  <si>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</si>
  <si>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</si>
  <si>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</si>
  <si>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</si>
  <si>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</si>
  <si>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</si>
  <si>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</si>
  <si>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</si>
  <si>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</si>
  <si>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</si>
  <si>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</si>
  <si>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</si>
  <si>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</si>
  <si>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</si>
  <si>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</si>
  <si>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</si>
  <si>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</si>
  <si>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</si>
  <si>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</si>
  <si>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</si>
  <si>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</si>
  <si>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</si>
  <si>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</si>
  <si>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</si>
  <si>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</si>
  <si>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</si>
  <si>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</si>
  <si>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</si>
  <si>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</si>
  <si>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</si>
  <si>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</si>
  <si>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</si>
  <si>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</si>
  <si>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</si>
  <si>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</si>
  <si>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</si>
  <si>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</si>
  <si>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</si>
  <si>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</si>
  <si>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</si>
  <si>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</si>
  <si>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</si>
  <si>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</si>
  <si>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</si>
  <si>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</si>
  <si>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</si>
  <si>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</si>
  <si>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</si>
  <si>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</si>
  <si>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</si>
  <si>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May 2022 CBO Unemployment Rate Projection</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</si>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</sst>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115"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
      <sz val="10"/>
      <name val="Arial"/>
    </font>
    <font>
      <sz val="11"/>
      <name val="Arial"/>
      <family val="2"/>
    </font>
    <font>
      <sz val="11"/>
      <color theme="3"/>
      <name val="Arial"/>
      <family val="2"/>
    </font>
    <font>
      <sz val="10"/>
      <name val="Arial"/>
      <family val="2"/>
    </font>
    <font>
      <sz val="12"/>
      <name val="Arial"/>
      <family val="2"/>
    </font>
    <font>
      <sz val="12"/>
      <color theme="1"/>
      <name val="Calibri"/>
      <family val="2"/>
      <scheme val="minor"/>
    </font>
    <font>
      <u/>
      <sz val="10"/>
      <color theme="10"/>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sz val="12"/>
      <name val="Arial"/>
    </font>
    <font>
      <b/>
      <sz val="11"/>
      <color rgb="FF000000"/>
      <name val="Arial"/>
      <family val="2"/>
    </font>
  </fonts>
  <fills count="7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90">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indexed="64"/>
      </right>
      <top style="thin">
        <color rgb="FFFFFF00"/>
      </top>
      <bottom style="thin">
        <color rgb="FFFFFF00"/>
      </bottom>
      <diagonal/>
    </border>
    <border>
      <left/>
      <right style="thin">
        <color rgb="FFFFFF00"/>
      </right>
      <top style="thin">
        <color rgb="FFFFFF00"/>
      </top>
      <bottom style="thin">
        <color rgb="FFFFFF00"/>
      </bottom>
      <diagonal/>
    </border>
  </borders>
  <cellStyleXfs count="907">
    <xf numFmtId="0" fontId="0" fillId="0" borderId="0"/>
    <xf numFmtId="9" fontId="77" fillId="0" borderId="0" applyFont="0" applyFill="0" applyBorder="0" applyAlignment="0" applyProtection="0"/>
    <xf numFmtId="0" fontId="77" fillId="0" borderId="0"/>
    <xf numFmtId="0" fontId="78" fillId="0" borderId="0"/>
    <xf numFmtId="0" fontId="84" fillId="0" borderId="0"/>
    <xf numFmtId="0" fontId="86" fillId="0" borderId="0" applyNumberFormat="0" applyFill="0" applyBorder="0" applyAlignment="0" applyProtection="0"/>
    <xf numFmtId="0" fontId="86" fillId="0" borderId="0" applyNumberFormat="0" applyFill="0" applyBorder="0" applyAlignment="0" applyProtection="0">
      <alignment vertical="top"/>
      <protection locked="0"/>
    </xf>
    <xf numFmtId="0" fontId="87" fillId="0" borderId="0"/>
    <xf numFmtId="0" fontId="87" fillId="0" borderId="0"/>
    <xf numFmtId="0" fontId="77" fillId="0" borderId="0"/>
    <xf numFmtId="0" fontId="88" fillId="0" borderId="0"/>
    <xf numFmtId="43" fontId="87" fillId="0" borderId="0" applyFont="0" applyFill="0" applyBorder="0" applyAlignment="0" applyProtection="0"/>
    <xf numFmtId="0" fontId="89" fillId="0" borderId="0"/>
    <xf numFmtId="0" fontId="89" fillId="0" borderId="0"/>
    <xf numFmtId="0" fontId="87" fillId="0" borderId="0"/>
    <xf numFmtId="0" fontId="87" fillId="0" borderId="0"/>
    <xf numFmtId="9" fontId="87" fillId="0" borderId="0" applyFont="0" applyFill="0" applyBorder="0" applyAlignment="0" applyProtection="0"/>
    <xf numFmtId="0" fontId="88" fillId="0" borderId="0"/>
    <xf numFmtId="0" fontId="87" fillId="0" borderId="0"/>
    <xf numFmtId="43" fontId="87" fillId="0" borderId="0" applyFont="0" applyFill="0" applyBorder="0" applyAlignment="0" applyProtection="0"/>
    <xf numFmtId="43" fontId="87" fillId="0" borderId="0" applyFont="0" applyFill="0" applyBorder="0" applyAlignment="0" applyProtection="0"/>
    <xf numFmtId="0" fontId="91" fillId="0" borderId="0" applyNumberFormat="0" applyFill="0" applyBorder="0" applyAlignment="0" applyProtection="0">
      <alignment vertical="top"/>
      <protection locked="0"/>
    </xf>
    <xf numFmtId="0" fontId="87" fillId="0" borderId="0"/>
    <xf numFmtId="0" fontId="92" fillId="0" borderId="0" applyNumberFormat="0" applyFill="0" applyBorder="0" applyAlignment="0" applyProtection="0"/>
    <xf numFmtId="9" fontId="77" fillId="0" borderId="0" applyFont="0" applyFill="0" applyBorder="0" applyAlignment="0" applyProtection="0"/>
    <xf numFmtId="0" fontId="87" fillId="0" borderId="0"/>
    <xf numFmtId="0" fontId="77" fillId="0" borderId="0"/>
    <xf numFmtId="0" fontId="88" fillId="0" borderId="0"/>
    <xf numFmtId="0" fontId="93" fillId="0" borderId="0" applyNumberFormat="0" applyFill="0" applyBorder="0" applyAlignment="0" applyProtection="0">
      <alignment vertical="top"/>
      <protection locked="0"/>
    </xf>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77" fillId="0" borderId="0"/>
    <xf numFmtId="0" fontId="77" fillId="0" borderId="0"/>
    <xf numFmtId="0" fontId="8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87" fillId="0" borderId="0"/>
    <xf numFmtId="0" fontId="8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42"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87" fillId="0" borderId="0"/>
    <xf numFmtId="0" fontId="19" fillId="47" borderId="0" applyNumberFormat="0" applyBorder="0" applyAlignment="0" applyProtection="0"/>
    <xf numFmtId="0" fontId="19" fillId="51" borderId="0" applyNumberFormat="0" applyBorder="0" applyAlignment="0" applyProtection="0"/>
    <xf numFmtId="0" fontId="19" fillId="55" borderId="0" applyNumberFormat="0" applyBorder="0" applyAlignment="0" applyProtection="0"/>
    <xf numFmtId="0" fontId="19" fillId="59" borderId="0" applyNumberFormat="0" applyBorder="0" applyAlignment="0" applyProtection="0"/>
    <xf numFmtId="0" fontId="19" fillId="63" borderId="0" applyNumberFormat="0" applyBorder="0" applyAlignment="0" applyProtection="0"/>
    <xf numFmtId="0" fontId="19" fillId="67" borderId="0" applyNumberFormat="0" applyBorder="0" applyAlignment="0" applyProtection="0"/>
    <xf numFmtId="0" fontId="19" fillId="48" borderId="0" applyNumberFormat="0" applyBorder="0" applyAlignment="0" applyProtection="0"/>
    <xf numFmtId="0" fontId="19" fillId="52" borderId="0" applyNumberFormat="0" applyBorder="0" applyAlignment="0" applyProtection="0"/>
    <xf numFmtId="0" fontId="19" fillId="56" borderId="0" applyNumberFormat="0" applyBorder="0" applyAlignment="0" applyProtection="0"/>
    <xf numFmtId="0" fontId="19" fillId="60" borderId="0" applyNumberFormat="0" applyBorder="0" applyAlignment="0" applyProtection="0"/>
    <xf numFmtId="0" fontId="19" fillId="64" borderId="0" applyNumberFormat="0" applyBorder="0" applyAlignment="0" applyProtection="0"/>
    <xf numFmtId="0" fontId="19" fillId="68" borderId="0" applyNumberFormat="0" applyBorder="0" applyAlignment="0" applyProtection="0"/>
    <xf numFmtId="0" fontId="94" fillId="49" borderId="0" applyNumberFormat="0" applyBorder="0" applyAlignment="0" applyProtection="0"/>
    <xf numFmtId="0" fontId="94" fillId="53" borderId="0" applyNumberFormat="0" applyBorder="0" applyAlignment="0" applyProtection="0"/>
    <xf numFmtId="0" fontId="94" fillId="57" borderId="0" applyNumberFormat="0" applyBorder="0" applyAlignment="0" applyProtection="0"/>
    <xf numFmtId="0" fontId="94" fillId="61" borderId="0" applyNumberFormat="0" applyBorder="0" applyAlignment="0" applyProtection="0"/>
    <xf numFmtId="0" fontId="94" fillId="65" borderId="0" applyNumberFormat="0" applyBorder="0" applyAlignment="0" applyProtection="0"/>
    <xf numFmtId="0" fontId="94" fillId="69" borderId="0" applyNumberFormat="0" applyBorder="0" applyAlignment="0" applyProtection="0"/>
    <xf numFmtId="0" fontId="94" fillId="46" borderId="0" applyNumberFormat="0" applyBorder="0" applyAlignment="0" applyProtection="0"/>
    <xf numFmtId="0" fontId="94" fillId="50" borderId="0" applyNumberFormat="0" applyBorder="0" applyAlignment="0" applyProtection="0"/>
    <xf numFmtId="0" fontId="94" fillId="54" borderId="0" applyNumberFormat="0" applyBorder="0" applyAlignment="0" applyProtection="0"/>
    <xf numFmtId="0" fontId="94" fillId="58" borderId="0" applyNumberFormat="0" applyBorder="0" applyAlignment="0" applyProtection="0"/>
    <xf numFmtId="0" fontId="94" fillId="62" borderId="0" applyNumberFormat="0" applyBorder="0" applyAlignment="0" applyProtection="0"/>
    <xf numFmtId="0" fontId="94" fillId="66" borderId="0" applyNumberFormat="0" applyBorder="0" applyAlignment="0" applyProtection="0"/>
    <xf numFmtId="0" fontId="95" fillId="40" borderId="0" applyNumberFormat="0" applyBorder="0" applyAlignment="0" applyProtection="0"/>
    <xf numFmtId="0" fontId="96" fillId="43" borderId="76" applyNumberFormat="0" applyAlignment="0" applyProtection="0"/>
    <xf numFmtId="0" fontId="97" fillId="44" borderId="79" applyNumberFormat="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3" fontId="87" fillId="0" borderId="0" applyFont="0" applyFill="0" applyBorder="0" applyAlignment="0" applyProtection="0"/>
    <xf numFmtId="44" fontId="98" fillId="0" borderId="0" applyFont="0" applyFill="0" applyBorder="0" applyAlignment="0" applyProtection="0"/>
    <xf numFmtId="44" fontId="98" fillId="0" borderId="0" applyFont="0" applyFill="0" applyBorder="0" applyAlignment="0" applyProtection="0"/>
    <xf numFmtId="0" fontId="99" fillId="0" borderId="0" applyNumberFormat="0" applyFill="0" applyBorder="0" applyAlignment="0" applyProtection="0"/>
    <xf numFmtId="0" fontId="100" fillId="39" borderId="0" applyNumberFormat="0" applyBorder="0" applyAlignment="0" applyProtection="0"/>
    <xf numFmtId="0" fontId="101" fillId="0" borderId="73" applyNumberFormat="0" applyFill="0" applyAlignment="0" applyProtection="0"/>
    <xf numFmtId="0" fontId="102" fillId="0" borderId="74" applyNumberFormat="0" applyFill="0" applyAlignment="0" applyProtection="0"/>
    <xf numFmtId="0" fontId="103" fillId="0" borderId="75" applyNumberFormat="0" applyFill="0" applyAlignment="0" applyProtection="0"/>
    <xf numFmtId="0" fontId="103" fillId="0" borderId="0" applyNumberFormat="0" applyFill="0" applyBorder="0" applyAlignment="0" applyProtection="0"/>
    <xf numFmtId="0" fontId="104" fillId="42" borderId="76" applyNumberFormat="0" applyAlignment="0" applyProtection="0"/>
    <xf numFmtId="0" fontId="105" fillId="0" borderId="78" applyNumberFormat="0" applyFill="0" applyAlignment="0" applyProtection="0"/>
    <xf numFmtId="0" fontId="106" fillId="41" borderId="0" applyNumberFormat="0" applyBorder="0" applyAlignment="0" applyProtection="0"/>
    <xf numFmtId="0" fontId="87" fillId="0" borderId="0"/>
    <xf numFmtId="0" fontId="77" fillId="0" borderId="0"/>
    <xf numFmtId="0" fontId="77" fillId="0" borderId="0"/>
    <xf numFmtId="0" fontId="77" fillId="0" borderId="0"/>
    <xf numFmtId="0" fontId="87" fillId="0" borderId="0"/>
    <xf numFmtId="0" fontId="77" fillId="0" borderId="0"/>
    <xf numFmtId="0" fontId="77" fillId="0" borderId="0"/>
    <xf numFmtId="0" fontId="77" fillId="0" borderId="0"/>
    <xf numFmtId="0" fontId="87" fillId="0" borderId="0"/>
    <xf numFmtId="0" fontId="77" fillId="0" borderId="0"/>
    <xf numFmtId="0" fontId="77" fillId="0" borderId="0"/>
    <xf numFmtId="0" fontId="77" fillId="0" borderId="0"/>
    <xf numFmtId="0" fontId="87" fillId="0" borderId="0"/>
    <xf numFmtId="0" fontId="87" fillId="0" borderId="0"/>
    <xf numFmtId="0" fontId="87" fillId="0" borderId="0"/>
    <xf numFmtId="0" fontId="87" fillId="0" borderId="0"/>
    <xf numFmtId="0" fontId="19" fillId="0" borderId="0"/>
    <xf numFmtId="0" fontId="8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87" fillId="0" borderId="0"/>
    <xf numFmtId="0" fontId="108" fillId="0" borderId="0"/>
    <xf numFmtId="0" fontId="108" fillId="0" borderId="0"/>
    <xf numFmtId="0" fontId="108" fillId="0" borderId="0"/>
    <xf numFmtId="0" fontId="108" fillId="0" borderId="0"/>
    <xf numFmtId="0" fontId="88" fillId="0" borderId="0"/>
    <xf numFmtId="0" fontId="88" fillId="0" borderId="0"/>
    <xf numFmtId="0" fontId="88" fillId="0" borderId="0"/>
    <xf numFmtId="0" fontId="87" fillId="0" borderId="0"/>
    <xf numFmtId="0" fontId="87" fillId="0" borderId="0"/>
    <xf numFmtId="0" fontId="77" fillId="0" borderId="0"/>
    <xf numFmtId="0" fontId="87" fillId="0" borderId="0"/>
    <xf numFmtId="0" fontId="77" fillId="45" borderId="80" applyNumberFormat="0" applyFont="0" applyAlignment="0" applyProtection="0"/>
    <xf numFmtId="0" fontId="77" fillId="45" borderId="80" applyNumberFormat="0" applyFont="0" applyAlignment="0" applyProtection="0"/>
    <xf numFmtId="0" fontId="77" fillId="45" borderId="80" applyNumberFormat="0" applyFont="0" applyAlignment="0" applyProtection="0"/>
    <xf numFmtId="0" fontId="19" fillId="45" borderId="80" applyNumberFormat="0" applyFont="0" applyAlignment="0" applyProtection="0"/>
    <xf numFmtId="0" fontId="109" fillId="43" borderId="77" applyNumberFormat="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0" fontId="73" fillId="0" borderId="81" applyNumberFormat="0" applyFill="0" applyAlignment="0" applyProtection="0"/>
    <xf numFmtId="0" fontId="110" fillId="0" borderId="0" applyNumberFormat="0" applyFill="0" applyBorder="0" applyAlignment="0" applyProtection="0"/>
    <xf numFmtId="0" fontId="70" fillId="0" borderId="0" applyNumberFormat="0" applyFill="0" applyBorder="0" applyAlignment="0" applyProtection="0"/>
    <xf numFmtId="0" fontId="19"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77" fillId="0" borderId="0"/>
    <xf numFmtId="0" fontId="77" fillId="0" borderId="0"/>
    <xf numFmtId="0" fontId="8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88"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9" fontId="8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90" fillId="0" borderId="0" applyNumberFormat="0" applyFill="0" applyBorder="0" applyAlignment="0" applyProtection="0"/>
    <xf numFmtId="0" fontId="88" fillId="0" borderId="0"/>
    <xf numFmtId="0" fontId="87" fillId="0" borderId="0"/>
    <xf numFmtId="0" fontId="111" fillId="0" borderId="0" applyFont="0" applyFill="0" applyBorder="0" applyAlignment="0" applyProtection="0"/>
    <xf numFmtId="0" fontId="112" fillId="0" borderId="0"/>
    <xf numFmtId="0" fontId="88" fillId="0" borderId="0"/>
    <xf numFmtId="43"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0" fontId="89" fillId="0" borderId="0"/>
    <xf numFmtId="9" fontId="87" fillId="0" borderId="0" applyFont="0" applyFill="0" applyBorder="0" applyAlignment="0" applyProtection="0"/>
    <xf numFmtId="0" fontId="87" fillId="0" borderId="0"/>
    <xf numFmtId="0" fontId="86" fillId="0" borderId="0" applyNumberFormat="0" applyFill="0" applyBorder="0" applyAlignment="0" applyProtection="0"/>
    <xf numFmtId="43" fontId="87" fillId="0" borderId="0" applyFont="0" applyFill="0" applyBorder="0" applyAlignment="0" applyProtection="0"/>
    <xf numFmtId="0" fontId="77" fillId="0" borderId="0"/>
    <xf numFmtId="0" fontId="92" fillId="0" borderId="0" applyNumberFormat="0" applyFill="0" applyBorder="0" applyAlignment="0" applyProtection="0"/>
    <xf numFmtId="0" fontId="87" fillId="0" borderId="0"/>
    <xf numFmtId="0" fontId="86" fillId="0" borderId="0" applyNumberFormat="0" applyFill="0" applyBorder="0" applyAlignment="0" applyProtection="0"/>
    <xf numFmtId="43" fontId="87" fillId="0" borderId="0" applyFont="0" applyFill="0" applyBorder="0" applyAlignment="0" applyProtection="0"/>
    <xf numFmtId="0" fontId="113" fillId="0" borderId="0"/>
    <xf numFmtId="0" fontId="88" fillId="0" borderId="0"/>
    <xf numFmtId="43" fontId="87" fillId="0" borderId="0" applyFont="0" applyFill="0" applyBorder="0" applyAlignment="0" applyProtection="0"/>
    <xf numFmtId="0" fontId="88" fillId="0" borderId="0"/>
    <xf numFmtId="0" fontId="86" fillId="0" borderId="0">
      <alignment vertical="top"/>
      <protection locked="0"/>
    </xf>
    <xf numFmtId="0" fontId="88" fillId="0" borderId="0"/>
    <xf numFmtId="43" fontId="77" fillId="0" borderId="0" applyFont="0" applyFill="0" applyBorder="0" applyAlignment="0" applyProtection="0"/>
    <xf numFmtId="43" fontId="77" fillId="0" borderId="0" applyFont="0" applyFill="0" applyBorder="0" applyAlignment="0" applyProtection="0"/>
    <xf numFmtId="0" fontId="77" fillId="0" borderId="0"/>
    <xf numFmtId="0" fontId="87" fillId="0" borderId="0"/>
    <xf numFmtId="0" fontId="87" fillId="0" borderId="0"/>
    <xf numFmtId="0" fontId="77" fillId="0" borderId="0"/>
    <xf numFmtId="43" fontId="77" fillId="0" borderId="0" applyFont="0" applyFill="0" applyBorder="0" applyAlignment="0" applyProtection="0"/>
    <xf numFmtId="0" fontId="86" fillId="0" borderId="0"/>
    <xf numFmtId="0" fontId="88" fillId="0" borderId="0"/>
    <xf numFmtId="0" fontId="91" fillId="0" borderId="0" applyNumberFormat="0" applyFill="0" applyBorder="0" applyAlignment="0" applyProtection="0">
      <alignment vertical="top"/>
      <protection locked="0"/>
    </xf>
    <xf numFmtId="0" fontId="87" fillId="0" borderId="0"/>
    <xf numFmtId="0" fontId="89" fillId="0" borderId="0"/>
    <xf numFmtId="43" fontId="87" fillId="0" borderId="0" applyFont="0" applyFill="0" applyBorder="0" applyAlignment="0" applyProtection="0"/>
    <xf numFmtId="0" fontId="77" fillId="0" borderId="0"/>
    <xf numFmtId="0" fontId="92" fillId="0" borderId="0" applyNumberFormat="0" applyFill="0" applyBorder="0" applyAlignment="0" applyProtection="0"/>
    <xf numFmtId="9" fontId="77" fillId="0" borderId="0"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45" borderId="80" applyNumberFormat="0" applyFont="0" applyAlignment="0" applyProtection="0"/>
    <xf numFmtId="0" fontId="77" fillId="45" borderId="80" applyNumberFormat="0" applyFont="0" applyAlignment="0" applyProtection="0"/>
    <xf numFmtId="0" fontId="77" fillId="45" borderId="80" applyNumberFormat="0" applyFont="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77" fillId="0" borderId="0"/>
    <xf numFmtId="0" fontId="86" fillId="0" borderId="0" applyNumberFormat="0" applyFill="0" applyBorder="0" applyAlignment="0" applyProtection="0"/>
    <xf numFmtId="0" fontId="89" fillId="0" borderId="0"/>
    <xf numFmtId="43" fontId="77" fillId="0" borderId="0" applyFont="0" applyFill="0" applyBorder="0" applyAlignment="0" applyProtection="0"/>
    <xf numFmtId="43" fontId="88" fillId="0" borderId="0" applyFont="0" applyFill="0" applyBorder="0" applyAlignment="0" applyProtection="0"/>
    <xf numFmtId="0" fontId="88" fillId="0" borderId="0"/>
    <xf numFmtId="0" fontId="88" fillId="0" borderId="0"/>
    <xf numFmtId="43" fontId="77" fillId="0" borderId="0" applyFont="0" applyFill="0" applyBorder="0" applyAlignment="0" applyProtection="0"/>
  </cellStyleXfs>
  <cellXfs count="162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8" borderId="2" xfId="0" applyNumberFormat="1" applyFont="1" applyFill="1" applyBorder="1" applyAlignment="1">
      <alignment horizontal="center"/>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0" fontId="4" fillId="0" borderId="4" xfId="0" applyFont="1" applyBorder="1" applyAlignment="1">
      <alignment wrapText="1"/>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1" fontId="23" fillId="0" borderId="0" xfId="0" applyNumberFormat="1" applyFont="1" applyAlignment="1">
      <alignment horizontal="center"/>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2"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4"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0" fontId="4" fillId="8" borderId="0" xfId="0" applyFont="1" applyFill="1"/>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6"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7" fillId="0" borderId="0" xfId="0" applyFont="1" applyAlignment="1">
      <alignment horizontal="center" vertical="top" wrapText="1"/>
    </xf>
    <xf numFmtId="1" fontId="4" fillId="8" borderId="3" xfId="0" applyNumberFormat="1" applyFont="1" applyFill="1" applyBorder="1" applyAlignment="1">
      <alignment horizontal="center" vertical="top" wrapText="1"/>
    </xf>
    <xf numFmtId="0" fontId="30" fillId="0" borderId="53"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30" fillId="0" borderId="54" xfId="0" applyFont="1" applyBorder="1" applyAlignment="1">
      <alignment horizontal="left" indent="2"/>
    </xf>
    <xf numFmtId="165" fontId="4" fillId="0" borderId="55" xfId="0" applyNumberFormat="1" applyFont="1" applyBorder="1" applyAlignment="1">
      <alignment horizontal="center" vertical="top" wrapText="1"/>
    </xf>
    <xf numFmtId="1" fontId="4" fillId="8" borderId="55"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74" fontId="30" fillId="0" borderId="0" xfId="0" applyNumberFormat="1" applyFont="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7" fillId="0" borderId="0" xfId="0" applyFont="1"/>
    <xf numFmtId="0" fontId="30" fillId="0" borderId="0" xfId="0" applyFont="1"/>
    <xf numFmtId="0" fontId="29" fillId="0" borderId="0" xfId="0" applyFont="1"/>
    <xf numFmtId="174" fontId="30" fillId="0" borderId="0" xfId="0" applyNumberFormat="1" applyFont="1"/>
    <xf numFmtId="0" fontId="38" fillId="0" borderId="1" xfId="0" applyFont="1" applyBorder="1" applyAlignment="1">
      <alignment horizontal="left"/>
    </xf>
    <xf numFmtId="174" fontId="30" fillId="0" borderId="3" xfId="0" applyNumberFormat="1" applyFont="1" applyBorder="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6"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1" xfId="0" applyNumberFormat="1" applyFont="1" applyBorder="1" applyAlignment="1">
      <alignment horizontal="center"/>
    </xf>
    <xf numFmtId="0" fontId="30" fillId="0" borderId="1" xfId="0" applyFont="1" applyBorder="1"/>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7" xfId="0" applyNumberFormat="1" applyFont="1" applyBorder="1" applyAlignment="1">
      <alignment horizontal="right"/>
    </xf>
    <xf numFmtId="168" fontId="1" fillId="0" borderId="58" xfId="0" applyNumberFormat="1" applyFont="1" applyBorder="1" applyAlignment="1">
      <alignment horizontal="center"/>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59" xfId="0" applyNumberFormat="1" applyFont="1" applyBorder="1" applyAlignment="1">
      <alignment horizontal="center"/>
    </xf>
    <xf numFmtId="10" fontId="23" fillId="0" borderId="0" xfId="0" applyNumberFormat="1" applyFont="1" applyAlignment="1">
      <alignment horizontal="center" vertical="top" wrapText="1"/>
    </xf>
    <xf numFmtId="0" fontId="42"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3" fillId="0" borderId="0" xfId="0" applyFont="1" applyAlignment="1">
      <alignment wrapText="1"/>
    </xf>
    <xf numFmtId="0" fontId="43"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39" fillId="0" borderId="5" xfId="0" applyFont="1" applyBorder="1" applyAlignment="1">
      <alignment horizontal="left"/>
    </xf>
    <xf numFmtId="0" fontId="39" fillId="0" borderId="0" xfId="0" applyFont="1" applyAlignment="1">
      <alignment horizontal="left"/>
    </xf>
    <xf numFmtId="0" fontId="39"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4" fillId="0" borderId="0" xfId="0" applyNumberFormat="1" applyFont="1" applyAlignment="1">
      <alignment horizontal="center"/>
    </xf>
    <xf numFmtId="2" fontId="44" fillId="0" borderId="3" xfId="0" applyNumberFormat="1" applyFont="1" applyBorder="1" applyAlignment="1">
      <alignment horizontal="center"/>
    </xf>
    <xf numFmtId="0" fontId="19" fillId="0" borderId="0" xfId="0" applyFont="1" applyAlignment="1">
      <alignment horizontal="center"/>
    </xf>
    <xf numFmtId="0" fontId="44" fillId="0" borderId="0" xfId="0" applyFont="1" applyAlignment="1">
      <alignment horizontal="center"/>
    </xf>
    <xf numFmtId="0" fontId="44"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0" fillId="0" borderId="4" xfId="0" applyFont="1" applyBorder="1" applyAlignment="1">
      <alignment vertical="center" wrapText="1"/>
    </xf>
    <xf numFmtId="0" fontId="43" fillId="0" borderId="4" xfId="0" applyFont="1" applyBorder="1" applyAlignment="1">
      <alignment wrapText="1"/>
    </xf>
    <xf numFmtId="0" fontId="43" fillId="0" borderId="6" xfId="0" applyFont="1" applyBorder="1" applyAlignment="1">
      <alignment wrapText="1"/>
    </xf>
    <xf numFmtId="0" fontId="43" fillId="0" borderId="46" xfId="0" applyFont="1" applyBorder="1" applyAlignment="1">
      <alignment wrapText="1"/>
    </xf>
    <xf numFmtId="0" fontId="43"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39"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39"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6" fillId="21" borderId="0" xfId="0" applyNumberFormat="1" applyFont="1" applyFill="1" applyAlignment="1">
      <alignment horizontal="center" vertical="top"/>
    </xf>
    <xf numFmtId="0" fontId="46" fillId="0" borderId="0" xfId="0" applyFont="1" applyAlignment="1">
      <alignment horizontal="center" vertical="top"/>
    </xf>
    <xf numFmtId="0" fontId="47" fillId="21" borderId="0" xfId="0" applyFont="1" applyFill="1" applyAlignment="1">
      <alignment horizontal="left" vertical="top" wrapText="1"/>
    </xf>
    <xf numFmtId="0" fontId="47" fillId="21" borderId="0" xfId="0" applyFont="1" applyFill="1" applyAlignment="1">
      <alignment horizontal="center" vertical="top"/>
    </xf>
    <xf numFmtId="0" fontId="46" fillId="21" borderId="0" xfId="0" applyFont="1" applyFill="1" applyAlignment="1">
      <alignment horizontal="center" vertical="top"/>
    </xf>
    <xf numFmtId="0" fontId="48" fillId="21" borderId="0" xfId="0" applyFont="1" applyFill="1" applyAlignment="1">
      <alignment horizontal="left" vertical="top" wrapText="1"/>
    </xf>
    <xf numFmtId="1" fontId="49" fillId="0" borderId="60" xfId="0" applyNumberFormat="1" applyFont="1" applyBorder="1" applyAlignment="1">
      <alignment vertical="top"/>
    </xf>
    <xf numFmtId="1" fontId="49" fillId="0" borderId="60" xfId="0" applyNumberFormat="1" applyFont="1" applyBorder="1" applyAlignment="1">
      <alignment horizontal="right" vertical="top"/>
    </xf>
    <xf numFmtId="0" fontId="50" fillId="22" borderId="60"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49" fillId="0" borderId="0" xfId="0" applyNumberFormat="1" applyFont="1" applyAlignment="1">
      <alignment vertical="top"/>
    </xf>
    <xf numFmtId="1" fontId="49" fillId="0" borderId="0" xfId="0" applyNumberFormat="1" applyFont="1" applyAlignment="1">
      <alignment horizontal="right" vertical="top"/>
    </xf>
    <xf numFmtId="0" fontId="50" fillId="22" borderId="0" xfId="0" applyFont="1" applyFill="1" applyAlignment="1">
      <alignment vertical="top"/>
    </xf>
    <xf numFmtId="0" fontId="50" fillId="22" borderId="7" xfId="0" applyFont="1" applyFill="1" applyBorder="1" applyAlignment="1">
      <alignment vertical="top"/>
    </xf>
    <xf numFmtId="1" fontId="51" fillId="0" borderId="0" xfId="0" applyNumberFormat="1" applyFont="1"/>
    <xf numFmtId="1" fontId="47" fillId="21" borderId="0" xfId="0" applyNumberFormat="1" applyFont="1" applyFill="1" applyAlignment="1">
      <alignment horizontal="center"/>
    </xf>
    <xf numFmtId="0" fontId="46" fillId="22" borderId="0" xfId="0" applyFont="1" applyFill="1" applyAlignment="1">
      <alignment horizontal="center" vertical="center"/>
    </xf>
    <xf numFmtId="0" fontId="47" fillId="22" borderId="0" xfId="0" applyFont="1" applyFill="1" applyAlignment="1">
      <alignment horizontal="left" vertical="center" wrapText="1"/>
    </xf>
    <xf numFmtId="1" fontId="46" fillId="7" borderId="0" xfId="0" applyNumberFormat="1" applyFont="1" applyFill="1" applyAlignment="1">
      <alignment horizontal="center" vertical="top"/>
    </xf>
    <xf numFmtId="0" fontId="47" fillId="7" borderId="0" xfId="0" applyFont="1" applyFill="1" applyAlignment="1">
      <alignment horizontal="center" vertical="top"/>
    </xf>
    <xf numFmtId="0" fontId="51"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2" fillId="0" borderId="0" xfId="0" applyFont="1"/>
    <xf numFmtId="0" fontId="47" fillId="0" borderId="0" xfId="0" applyFont="1" applyAlignment="1">
      <alignment horizontal="left"/>
    </xf>
    <xf numFmtId="0" fontId="47" fillId="0" borderId="0" xfId="0" applyFont="1" applyAlignment="1">
      <alignment horizontal="center" wrapText="1"/>
    </xf>
    <xf numFmtId="1" fontId="46" fillId="0" borderId="60" xfId="0" applyNumberFormat="1" applyFont="1" applyBorder="1" applyAlignment="1">
      <alignment horizontal="center" vertical="top"/>
    </xf>
    <xf numFmtId="0" fontId="47" fillId="22" borderId="60" xfId="0" applyFont="1" applyFill="1" applyBorder="1" applyAlignment="1">
      <alignment horizontal="center" vertical="top"/>
    </xf>
    <xf numFmtId="0" fontId="47" fillId="0" borderId="0" xfId="0" applyFont="1" applyAlignment="1">
      <alignment horizontal="center"/>
    </xf>
    <xf numFmtId="0" fontId="47"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23" borderId="0" xfId="0" applyNumberFormat="1" applyFont="1" applyFill="1" applyAlignment="1">
      <alignment horizontal="center" vertical="top"/>
    </xf>
    <xf numFmtId="0" fontId="47" fillId="23" borderId="0" xfId="0" applyFont="1" applyFill="1" applyAlignment="1">
      <alignment horizontal="center" vertical="top"/>
    </xf>
    <xf numFmtId="0" fontId="47" fillId="23" borderId="0" xfId="0" applyFont="1" applyFill="1" applyAlignment="1">
      <alignment horizontal="left" vertical="top" wrapText="1"/>
    </xf>
    <xf numFmtId="0" fontId="47" fillId="0" borderId="0" xfId="0" applyFont="1" applyAlignment="1">
      <alignment horizontal="left" vertical="top" wrapText="1"/>
    </xf>
    <xf numFmtId="0" fontId="46" fillId="0" borderId="46" xfId="0" applyFont="1" applyBorder="1" applyAlignment="1">
      <alignment horizontal="left" vertical="top"/>
    </xf>
    <xf numFmtId="0" fontId="46" fillId="0" borderId="46" xfId="0" applyFont="1" applyBorder="1" applyAlignment="1">
      <alignment horizontal="center" vertical="top" wrapText="1"/>
    </xf>
    <xf numFmtId="1" fontId="46" fillId="3" borderId="46" xfId="0" applyNumberFormat="1" applyFont="1" applyFill="1" applyBorder="1" applyAlignment="1">
      <alignment horizontal="center" vertical="top"/>
    </xf>
    <xf numFmtId="3" fontId="46" fillId="3" borderId="46" xfId="0" applyNumberFormat="1" applyFont="1" applyFill="1" applyBorder="1" applyAlignment="1">
      <alignment horizontal="center" vertical="top"/>
    </xf>
    <xf numFmtId="0" fontId="47" fillId="3" borderId="46" xfId="0" applyFont="1" applyFill="1" applyBorder="1" applyAlignment="1">
      <alignment horizontal="center" vertical="top"/>
    </xf>
    <xf numFmtId="0" fontId="47" fillId="0" borderId="46" xfId="0" applyFont="1" applyBorder="1" applyAlignment="1">
      <alignment horizontal="left" vertical="top" wrapText="1"/>
    </xf>
    <xf numFmtId="0" fontId="46" fillId="0" borderId="5" xfId="0" applyFont="1" applyBorder="1" applyAlignment="1">
      <alignment horizontal="left" vertical="top"/>
    </xf>
    <xf numFmtId="0" fontId="46" fillId="0" borderId="5" xfId="0" applyFont="1" applyBorder="1" applyAlignment="1">
      <alignment horizontal="center" vertical="top" wrapText="1"/>
    </xf>
    <xf numFmtId="3" fontId="49" fillId="0" borderId="0" xfId="0" applyNumberFormat="1" applyFont="1" applyAlignment="1">
      <alignment vertical="top"/>
    </xf>
    <xf numFmtId="0" fontId="46" fillId="23" borderId="5" xfId="0" applyFont="1" applyFill="1" applyBorder="1" applyAlignment="1">
      <alignment horizontal="center" vertical="top"/>
    </xf>
    <xf numFmtId="0" fontId="47" fillId="0" borderId="5" xfId="0" applyFont="1" applyBorder="1" applyAlignment="1">
      <alignment horizontal="left" vertical="top" wrapText="1"/>
    </xf>
    <xf numFmtId="0" fontId="47" fillId="0" borderId="0" xfId="0" applyFont="1" applyAlignment="1">
      <alignment horizontal="left" vertical="top"/>
    </xf>
    <xf numFmtId="0" fontId="47" fillId="0" borderId="0" xfId="0" applyFont="1" applyAlignment="1">
      <alignment horizontal="center" vertical="top" wrapText="1"/>
    </xf>
    <xf numFmtId="3" fontId="46" fillId="23" borderId="0" xfId="0" applyNumberFormat="1" applyFont="1" applyFill="1" applyAlignment="1">
      <alignment horizontal="center" vertical="top"/>
    </xf>
    <xf numFmtId="0" fontId="46" fillId="23" borderId="0" xfId="0" applyFont="1" applyFill="1" applyAlignment="1">
      <alignment horizontal="center" vertical="top"/>
    </xf>
    <xf numFmtId="1" fontId="47" fillId="23" borderId="0" xfId="0" applyNumberFormat="1" applyFont="1" applyFill="1" applyAlignment="1">
      <alignment horizontal="center" vertical="top"/>
    </xf>
    <xf numFmtId="0" fontId="47" fillId="0" borderId="0" xfId="0" applyFont="1" applyAlignment="1">
      <alignment horizontal="center" vertical="top"/>
    </xf>
    <xf numFmtId="1" fontId="47" fillId="23" borderId="0" xfId="0" applyNumberFormat="1" applyFont="1" applyFill="1" applyAlignment="1">
      <alignment horizontal="center"/>
    </xf>
    <xf numFmtId="1" fontId="47" fillId="23" borderId="0" xfId="0" applyNumberFormat="1" applyFont="1" applyFill="1" applyAlignment="1">
      <alignment horizontal="center" vertical="center"/>
    </xf>
    <xf numFmtId="1" fontId="46" fillId="23" borderId="0" xfId="0" applyNumberFormat="1" applyFont="1" applyFill="1" applyAlignment="1">
      <alignment horizontal="center" vertical="center"/>
    </xf>
    <xf numFmtId="0" fontId="47" fillId="0" borderId="0" xfId="0" applyFont="1" applyAlignment="1">
      <alignment horizontal="left" vertical="center"/>
    </xf>
    <xf numFmtId="0" fontId="47" fillId="0" borderId="0" xfId="0" applyFont="1" applyAlignment="1">
      <alignment horizontal="center" vertical="center" wrapText="1"/>
    </xf>
    <xf numFmtId="0" fontId="46" fillId="0" borderId="0" xfId="0" applyFont="1" applyAlignment="1">
      <alignment horizontal="left" vertical="top" wrapText="1"/>
    </xf>
    <xf numFmtId="1" fontId="46" fillId="23" borderId="5" xfId="0" applyNumberFormat="1" applyFont="1" applyFill="1" applyBorder="1" applyAlignment="1">
      <alignment horizontal="center" vertical="top"/>
    </xf>
    <xf numFmtId="3" fontId="46" fillId="23" borderId="5" xfId="0" applyNumberFormat="1" applyFont="1" applyFill="1" applyBorder="1" applyAlignment="1">
      <alignment horizontal="center" vertical="top"/>
    </xf>
    <xf numFmtId="0" fontId="47"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6" fillId="22" borderId="0" xfId="0" applyFont="1" applyFill="1" applyAlignment="1">
      <alignment horizontal="center"/>
    </xf>
    <xf numFmtId="0" fontId="47" fillId="22" borderId="0" xfId="0" applyFont="1" applyFill="1" applyAlignment="1">
      <alignment horizontal="left" wrapText="1"/>
    </xf>
    <xf numFmtId="1" fontId="46" fillId="26" borderId="0" xfId="0" applyNumberFormat="1" applyFont="1" applyFill="1" applyAlignment="1">
      <alignment horizontal="center" vertical="top"/>
    </xf>
    <xf numFmtId="3" fontId="46" fillId="26" borderId="0" xfId="0" applyNumberFormat="1" applyFont="1" applyFill="1" applyAlignment="1">
      <alignment horizontal="center" vertical="top"/>
    </xf>
    <xf numFmtId="0" fontId="47" fillId="26" borderId="0" xfId="0" applyFont="1" applyFill="1" applyAlignment="1">
      <alignment horizontal="center" vertical="top"/>
    </xf>
    <xf numFmtId="0" fontId="47" fillId="26" borderId="0" xfId="0" applyFont="1" applyFill="1" applyAlignment="1">
      <alignment horizontal="left" vertical="top" wrapText="1"/>
    </xf>
    <xf numFmtId="1" fontId="47" fillId="27" borderId="0" xfId="0" applyNumberFormat="1" applyFont="1" applyFill="1" applyAlignment="1">
      <alignment horizontal="center" vertical="top"/>
    </xf>
    <xf numFmtId="0" fontId="47" fillId="27" borderId="0" xfId="0" applyFont="1" applyFill="1" applyAlignment="1">
      <alignment horizontal="center" vertical="top"/>
    </xf>
    <xf numFmtId="0" fontId="47" fillId="27" borderId="0" xfId="0" applyFont="1" applyFill="1" applyAlignment="1">
      <alignment horizontal="left" vertical="top" wrapText="1"/>
    </xf>
    <xf numFmtId="1" fontId="47" fillId="27" borderId="0" xfId="0" applyNumberFormat="1" applyFont="1" applyFill="1" applyAlignment="1">
      <alignment horizontal="center"/>
    </xf>
    <xf numFmtId="1" fontId="46" fillId="27" borderId="0" xfId="0" applyNumberFormat="1" applyFont="1" applyFill="1" applyAlignment="1">
      <alignment horizontal="center" vertical="top"/>
    </xf>
    <xf numFmtId="3" fontId="46" fillId="27" borderId="0" xfId="0" applyNumberFormat="1" applyFont="1" applyFill="1" applyAlignment="1">
      <alignment horizontal="center" vertical="top"/>
    </xf>
    <xf numFmtId="1" fontId="46" fillId="25" borderId="0" xfId="0" applyNumberFormat="1" applyFont="1" applyFill="1" applyAlignment="1">
      <alignment horizontal="center" vertical="top"/>
    </xf>
    <xf numFmtId="0" fontId="47" fillId="25" borderId="0" xfId="0" applyFont="1" applyFill="1" applyAlignment="1">
      <alignment horizontal="center" vertical="top"/>
    </xf>
    <xf numFmtId="3" fontId="46" fillId="25" borderId="0" xfId="0" applyNumberFormat="1" applyFont="1" applyFill="1" applyAlignment="1">
      <alignment horizontal="center" vertical="top"/>
    </xf>
    <xf numFmtId="0" fontId="46" fillId="25" borderId="0" xfId="0" applyFont="1" applyFill="1" applyAlignment="1">
      <alignment horizontal="center" vertical="top"/>
    </xf>
    <xf numFmtId="0" fontId="46" fillId="10" borderId="0" xfId="0" applyFont="1" applyFill="1" applyAlignment="1">
      <alignment horizontal="left" vertical="top"/>
    </xf>
    <xf numFmtId="0" fontId="46" fillId="10" borderId="0" xfId="0" applyFont="1" applyFill="1" applyAlignment="1">
      <alignment horizontal="center" vertical="top" wrapText="1"/>
    </xf>
    <xf numFmtId="0" fontId="47" fillId="10" borderId="0" xfId="0" applyFont="1" applyFill="1" applyAlignment="1">
      <alignment horizontal="left" vertical="top" wrapText="1"/>
    </xf>
    <xf numFmtId="1" fontId="46" fillId="25" borderId="45" xfId="0" applyNumberFormat="1" applyFont="1" applyFill="1" applyBorder="1" applyAlignment="1">
      <alignment horizontal="center" vertical="top"/>
    </xf>
    <xf numFmtId="1" fontId="46" fillId="25" borderId="46" xfId="0" applyNumberFormat="1" applyFont="1" applyFill="1" applyBorder="1" applyAlignment="1">
      <alignment horizontal="center" vertical="top"/>
    </xf>
    <xf numFmtId="3" fontId="46" fillId="25" borderId="46" xfId="0" applyNumberFormat="1" applyFont="1" applyFill="1" applyBorder="1" applyAlignment="1">
      <alignment horizontal="center" vertical="top"/>
    </xf>
    <xf numFmtId="0" fontId="47" fillId="25" borderId="48" xfId="0" applyFont="1" applyFill="1" applyBorder="1" applyAlignment="1">
      <alignment horizontal="center" vertical="top" wrapText="1"/>
    </xf>
    <xf numFmtId="1" fontId="46" fillId="12" borderId="0" xfId="0" applyNumberFormat="1" applyFont="1" applyFill="1" applyAlignment="1">
      <alignment horizontal="center" vertical="top"/>
    </xf>
    <xf numFmtId="1" fontId="47" fillId="12" borderId="0" xfId="0" applyNumberFormat="1" applyFont="1" applyFill="1" applyAlignment="1">
      <alignment horizontal="center" vertical="top"/>
    </xf>
    <xf numFmtId="0" fontId="46" fillId="12" borderId="0" xfId="0" applyFont="1" applyFill="1" applyAlignment="1">
      <alignment horizontal="center" vertical="top"/>
    </xf>
    <xf numFmtId="0" fontId="14" fillId="0" borderId="0" xfId="0" applyFont="1" applyAlignment="1">
      <alignment horizontal="left" vertical="top" wrapText="1"/>
    </xf>
    <xf numFmtId="1" fontId="46"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3" fillId="0" borderId="0" xfId="0" applyFont="1" applyAlignment="1">
      <alignment horizontal="left" vertical="top"/>
    </xf>
    <xf numFmtId="0" fontId="12" fillId="0" borderId="0" xfId="0" applyFont="1" applyAlignment="1">
      <alignment horizontal="left"/>
    </xf>
    <xf numFmtId="0" fontId="54"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5" fillId="11" borderId="0" xfId="0" applyFont="1" applyFill="1" applyAlignment="1">
      <alignment horizontal="right"/>
    </xf>
    <xf numFmtId="0" fontId="7" fillId="11" borderId="0" xfId="0" applyFont="1" applyFill="1" applyAlignment="1">
      <alignment horizontal="right"/>
    </xf>
    <xf numFmtId="0" fontId="56" fillId="0" borderId="0" xfId="0" applyFont="1"/>
    <xf numFmtId="170" fontId="57" fillId="0" borderId="0" xfId="0" applyNumberFormat="1" applyFont="1" applyAlignment="1">
      <alignment horizontal="right" vertical="top"/>
    </xf>
    <xf numFmtId="1" fontId="7" fillId="0" borderId="0" xfId="0" applyNumberFormat="1" applyFont="1"/>
    <xf numFmtId="0" fontId="57" fillId="0" borderId="0" xfId="0" applyFont="1" applyAlignment="1">
      <alignment horizontal="right" vertical="top"/>
    </xf>
    <xf numFmtId="3" fontId="55" fillId="0" borderId="0" xfId="0" applyNumberFormat="1" applyFont="1"/>
    <xf numFmtId="3" fontId="58" fillId="0" borderId="0" xfId="0" applyNumberFormat="1" applyFont="1" applyAlignment="1">
      <alignment horizontal="right" vertical="top"/>
    </xf>
    <xf numFmtId="0" fontId="56" fillId="31" borderId="0" xfId="0" applyFont="1" applyFill="1" applyAlignment="1">
      <alignment horizontal="right"/>
    </xf>
    <xf numFmtId="0" fontId="59" fillId="0" borderId="0" xfId="0" applyFont="1"/>
    <xf numFmtId="0" fontId="46" fillId="0" borderId="0" xfId="0" applyFont="1" applyAlignment="1">
      <alignment horizontal="right"/>
    </xf>
    <xf numFmtId="165" fontId="60" fillId="0" borderId="0" xfId="0" applyNumberFormat="1" applyFont="1" applyAlignment="1">
      <alignment horizontal="right" vertical="top"/>
    </xf>
    <xf numFmtId="165" fontId="56" fillId="31" borderId="0" xfId="0" applyNumberFormat="1" applyFont="1" applyFill="1" applyAlignment="1">
      <alignment horizontal="right"/>
    </xf>
    <xf numFmtId="3" fontId="7" fillId="0" borderId="0" xfId="0" applyNumberFormat="1" applyFont="1"/>
    <xf numFmtId="0" fontId="7" fillId="0" borderId="0" xfId="0"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1"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5"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5" fillId="34" borderId="0" xfId="0" applyFont="1" applyFill="1"/>
    <xf numFmtId="0" fontId="7" fillId="34" borderId="0" xfId="0" applyFont="1" applyFill="1"/>
    <xf numFmtId="0" fontId="62"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2" fillId="0" borderId="0" xfId="0" applyFont="1"/>
    <xf numFmtId="1" fontId="8" fillId="0" borderId="0" xfId="0" applyNumberFormat="1" applyFont="1" applyAlignment="1">
      <alignment vertical="top"/>
    </xf>
    <xf numFmtId="0" fontId="7" fillId="0" borderId="0" xfId="0" applyFont="1" applyAlignment="1">
      <alignment horizontal="right"/>
    </xf>
    <xf numFmtId="0" fontId="55" fillId="0" borderId="0" xfId="0" applyFont="1" applyAlignment="1">
      <alignment horizontal="right"/>
    </xf>
    <xf numFmtId="0" fontId="55"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5" fillId="0" borderId="0" xfId="0" applyFont="1" applyAlignment="1">
      <alignment horizontal="center"/>
    </xf>
    <xf numFmtId="0" fontId="55"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1"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3" fontId="4" fillId="8" borderId="0" xfId="0" applyNumberFormat="1" applyFont="1" applyFill="1" applyBorder="1" applyAlignment="1">
      <alignment horizontal="center"/>
    </xf>
    <xf numFmtId="1" fontId="0" fillId="0" borderId="0" xfId="0" applyNumberFormat="1"/>
    <xf numFmtId="165" fontId="0" fillId="0" borderId="0" xfId="0" applyNumberFormat="1"/>
    <xf numFmtId="168" fontId="4" fillId="11" borderId="8" xfId="0" applyNumberFormat="1" applyFont="1" applyFill="1" applyBorder="1"/>
    <xf numFmtId="168" fontId="23" fillId="0" borderId="0" xfId="1" applyNumberFormat="1" applyFont="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4"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5"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5"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5"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5"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6"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6" xfId="0" applyFont="1" applyBorder="1" applyAlignment="1">
      <alignment horizontal="center" vertical="center"/>
    </xf>
    <xf numFmtId="0" fontId="80" fillId="0" borderId="67" xfId="3" applyFont="1" applyFill="1" applyBorder="1" applyAlignment="1">
      <alignment horizontal="center" vertical="center"/>
    </xf>
    <xf numFmtId="0" fontId="42"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68" xfId="0" applyNumberFormat="1" applyFont="1" applyBorder="1" applyAlignment="1">
      <alignment horizontal="center"/>
    </xf>
    <xf numFmtId="10" fontId="19" fillId="0" borderId="62" xfId="0" applyNumberFormat="1" applyFont="1" applyBorder="1" applyAlignment="1">
      <alignment horizontal="center"/>
    </xf>
    <xf numFmtId="10" fontId="13" fillId="0" borderId="69" xfId="0" applyNumberFormat="1" applyFont="1" applyBorder="1"/>
    <xf numFmtId="0" fontId="39" fillId="0" borderId="62" xfId="0" applyFont="1" applyBorder="1" applyAlignment="1">
      <alignment horizontal="left"/>
    </xf>
    <xf numFmtId="0" fontId="39" fillId="0" borderId="8" xfId="0" applyFont="1" applyBorder="1" applyAlignment="1">
      <alignment horizontal="left"/>
    </xf>
    <xf numFmtId="10" fontId="19" fillId="0" borderId="70" xfId="0" applyNumberFormat="1" applyFont="1" applyBorder="1" applyAlignment="1">
      <alignment horizontal="center"/>
    </xf>
    <xf numFmtId="10" fontId="19" fillId="0" borderId="71" xfId="0" applyNumberFormat="1" applyFont="1" applyBorder="1" applyAlignment="1">
      <alignment horizontal="center"/>
    </xf>
    <xf numFmtId="10" fontId="19" fillId="0" borderId="72" xfId="0" applyNumberFormat="1" applyFont="1" applyBorder="1" applyAlignment="1">
      <alignment horizontal="center"/>
    </xf>
    <xf numFmtId="0" fontId="0" fillId="0" borderId="71" xfId="0" applyBorder="1"/>
    <xf numFmtId="0" fontId="12" fillId="12" borderId="62" xfId="0" applyFont="1" applyFill="1" applyBorder="1" applyAlignment="1">
      <alignment horizontal="center"/>
    </xf>
    <xf numFmtId="0" fontId="4" fillId="12" borderId="62"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69" xfId="0" applyFont="1" applyBorder="1"/>
    <xf numFmtId="0" fontId="1" fillId="0" borderId="0" xfId="0" applyFont="1" applyAlignment="1">
      <alignment horizontal="center"/>
    </xf>
    <xf numFmtId="0" fontId="78" fillId="0" borderId="0" xfId="3"/>
    <xf numFmtId="0" fontId="16" fillId="38" borderId="67" xfId="3" applyFont="1" applyFill="1" applyBorder="1" applyAlignment="1">
      <alignment horizontal="center" vertical="center"/>
    </xf>
    <xf numFmtId="0" fontId="79" fillId="0" borderId="0" xfId="3" applyFont="1"/>
    <xf numFmtId="0" fontId="1" fillId="0" borderId="0" xfId="0" applyFont="1" applyAlignment="1">
      <alignment wrapText="1"/>
    </xf>
    <xf numFmtId="0" fontId="4" fillId="0" borderId="7" xfId="0" applyFont="1" applyBorder="1" applyAlignment="1">
      <alignment horizontal="center"/>
    </xf>
    <xf numFmtId="0" fontId="1" fillId="0" borderId="13" xfId="0" applyFont="1" applyFill="1" applyBorder="1" applyAlignment="1">
      <alignment wrapText="1"/>
    </xf>
    <xf numFmtId="1" fontId="4" fillId="8" borderId="0" xfId="0" applyNumberFormat="1" applyFont="1" applyFill="1" applyBorder="1"/>
    <xf numFmtId="165" fontId="4" fillId="8" borderId="0" xfId="0" applyNumberFormat="1" applyFont="1" applyFill="1" applyBorder="1" applyAlignment="1">
      <alignment horizontal="center"/>
    </xf>
    <xf numFmtId="165" fontId="4" fillId="8" borderId="68" xfId="0" applyNumberFormat="1" applyFont="1" applyFill="1" applyBorder="1" applyAlignment="1">
      <alignment horizontal="center"/>
    </xf>
    <xf numFmtId="3" fontId="23" fillId="8" borderId="1" xfId="0" applyNumberFormat="1" applyFont="1" applyFill="1" applyBorder="1" applyAlignment="1">
      <alignment horizontal="center"/>
    </xf>
    <xf numFmtId="1" fontId="4" fillId="8" borderId="1" xfId="0" applyNumberFormat="1" applyFont="1" applyFill="1" applyBorder="1"/>
    <xf numFmtId="165" fontId="4" fillId="8" borderId="62" xfId="0" applyNumberFormat="1" applyFont="1" applyFill="1" applyBorder="1" applyAlignment="1">
      <alignment horizontal="center"/>
    </xf>
    <xf numFmtId="1" fontId="4" fillId="0" borderId="0" xfId="0" applyNumberFormat="1" applyFont="1" applyBorder="1"/>
    <xf numFmtId="2" fontId="4" fillId="12" borderId="0" xfId="0" applyNumberFormat="1" applyFont="1" applyFill="1" applyBorder="1" applyAlignment="1">
      <alignment horizontal="center"/>
    </xf>
    <xf numFmtId="1" fontId="4" fillId="0" borderId="0" xfId="0" applyNumberFormat="1" applyFont="1" applyBorder="1" applyAlignment="1">
      <alignment horizontal="center"/>
    </xf>
    <xf numFmtId="3" fontId="23" fillId="8" borderId="0" xfId="0" applyNumberFormat="1" applyFont="1" applyFill="1" applyBorder="1" applyAlignment="1">
      <alignment horizontal="center"/>
    </xf>
    <xf numFmtId="1" fontId="4" fillId="8" borderId="3" xfId="0" applyNumberFormat="1" applyFont="1" applyFill="1" applyBorder="1"/>
    <xf numFmtId="3" fontId="4" fillId="12" borderId="68" xfId="0" applyNumberFormat="1" applyFont="1" applyFill="1" applyBorder="1" applyAlignment="1">
      <alignment horizontal="center"/>
    </xf>
    <xf numFmtId="165" fontId="4" fillId="8" borderId="69" xfId="0" applyNumberFormat="1" applyFont="1" applyFill="1" applyBorder="1" applyAlignment="1">
      <alignment horizontal="center"/>
    </xf>
    <xf numFmtId="3" fontId="23" fillId="12" borderId="0" xfId="0" applyNumberFormat="1" applyFont="1" applyFill="1" applyBorder="1" applyAlignment="1">
      <alignment horizontal="center"/>
    </xf>
    <xf numFmtId="0" fontId="1" fillId="0" borderId="0" xfId="0" applyFont="1"/>
    <xf numFmtId="0" fontId="4" fillId="0" borderId="0" xfId="0" applyFont="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12" fillId="0" borderId="0" xfId="0" applyFont="1" applyAlignment="1">
      <alignment horizontal="center"/>
    </xf>
    <xf numFmtId="0" fontId="4" fillId="12" borderId="0" xfId="0" applyFont="1" applyFill="1" applyBorder="1" applyAlignment="1">
      <alignment horizontal="center"/>
    </xf>
    <xf numFmtId="0" fontId="12" fillId="0" borderId="45" xfId="0" applyFont="1" applyBorder="1" applyAlignment="1">
      <alignment horizontal="center"/>
    </xf>
    <xf numFmtId="1" fontId="30" fillId="0" borderId="0" xfId="0" applyNumberFormat="1" applyFont="1" applyBorder="1" applyAlignment="1">
      <alignment horizontal="center"/>
    </xf>
    <xf numFmtId="169" fontId="4" fillId="0" borderId="0" xfId="0" applyNumberFormat="1" applyFont="1" applyBorder="1"/>
    <xf numFmtId="1" fontId="4" fillId="8" borderId="0" xfId="0" applyNumberFormat="1" applyFont="1" applyFill="1" applyBorder="1" applyAlignment="1">
      <alignment horizontal="center"/>
    </xf>
    <xf numFmtId="167" fontId="4" fillId="0" borderId="0" xfId="0" applyNumberFormat="1" applyFont="1" applyBorder="1" applyAlignment="1">
      <alignment horizontal="center"/>
    </xf>
    <xf numFmtId="167" fontId="4" fillId="8"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63" xfId="0" applyNumberFormat="1" applyFont="1" applyFill="1" applyBorder="1" applyAlignment="1">
      <alignment horizontal="center"/>
    </xf>
    <xf numFmtId="0" fontId="4" fillId="0" borderId="0" xfId="0" applyFont="1" applyBorder="1"/>
    <xf numFmtId="1" fontId="4" fillId="0" borderId="0" xfId="0" applyNumberFormat="1" applyFont="1" applyFill="1" applyBorder="1" applyAlignment="1">
      <alignment horizontal="center"/>
    </xf>
    <xf numFmtId="0" fontId="40" fillId="0" borderId="82" xfId="0" applyFont="1" applyBorder="1" applyAlignment="1">
      <alignment vertical="center" wrapText="1"/>
    </xf>
    <xf numFmtId="0" fontId="42" fillId="0" borderId="1" xfId="0" applyFont="1" applyBorder="1" applyAlignment="1">
      <alignment wrapText="1"/>
    </xf>
    <xf numFmtId="1" fontId="4" fillId="8" borderId="1" xfId="0" applyNumberFormat="1" applyFont="1" applyFill="1" applyBorder="1" applyAlignment="1">
      <alignment horizontal="center"/>
    </xf>
    <xf numFmtId="0" fontId="1" fillId="0" borderId="0" xfId="0" applyFont="1" applyBorder="1"/>
    <xf numFmtId="1" fontId="4" fillId="8" borderId="83" xfId="0" applyNumberFormat="1" applyFont="1" applyFill="1" applyBorder="1" applyAlignment="1">
      <alignment horizontal="center"/>
    </xf>
    <xf numFmtId="0" fontId="4" fillId="12" borderId="82" xfId="0" applyFont="1" applyFill="1" applyBorder="1"/>
    <xf numFmtId="1" fontId="4" fillId="8" borderId="84" xfId="0" applyNumberFormat="1" applyFont="1" applyFill="1" applyBorder="1" applyAlignment="1">
      <alignment horizontal="center"/>
    </xf>
    <xf numFmtId="1" fontId="4" fillId="8" borderId="82" xfId="0" applyNumberFormat="1" applyFont="1" applyFill="1" applyBorder="1" applyAlignment="1">
      <alignment horizontal="center"/>
    </xf>
    <xf numFmtId="0" fontId="4" fillId="12" borderId="84" xfId="0" applyFont="1" applyFill="1" applyBorder="1"/>
    <xf numFmtId="0" fontId="0" fillId="7" borderId="0" xfId="0" applyFill="1"/>
    <xf numFmtId="0" fontId="4" fillId="12" borderId="83" xfId="0" applyFont="1" applyFill="1" applyBorder="1" applyAlignment="1">
      <alignment horizontal="center"/>
    </xf>
    <xf numFmtId="0" fontId="4" fillId="0" borderId="0" xfId="0" applyFont="1" applyFill="1" applyAlignment="1">
      <alignment horizontal="center"/>
    </xf>
    <xf numFmtId="0" fontId="4" fillId="0" borderId="0" xfId="0" applyFont="1" applyAlignment="1">
      <alignment horizontal="center"/>
    </xf>
    <xf numFmtId="0" fontId="12" fillId="12" borderId="45" xfId="0" applyFont="1" applyFill="1" applyBorder="1" applyAlignment="1">
      <alignment horizontal="center"/>
    </xf>
    <xf numFmtId="174" fontId="29" fillId="0" borderId="46" xfId="0" applyNumberFormat="1" applyFont="1" applyFill="1" applyBorder="1" applyAlignment="1">
      <alignment horizontal="center"/>
    </xf>
    <xf numFmtId="0" fontId="114" fillId="0" borderId="45" xfId="0" applyFont="1" applyBorder="1" applyAlignment="1">
      <alignment wrapText="1"/>
    </xf>
    <xf numFmtId="174" fontId="29" fillId="0" borderId="48" xfId="0" applyNumberFormat="1" applyFont="1" applyFill="1" applyBorder="1" applyAlignment="1">
      <alignment horizontal="center"/>
    </xf>
    <xf numFmtId="0" fontId="0" fillId="0" borderId="0" xfId="0" applyFill="1"/>
    <xf numFmtId="0" fontId="1" fillId="0" borderId="0" xfId="0" applyFont="1" applyFill="1"/>
    <xf numFmtId="0" fontId="4" fillId="0" borderId="85" xfId="0" applyFont="1" applyBorder="1"/>
    <xf numFmtId="0" fontId="4" fillId="0" borderId="86" xfId="0" applyFont="1" applyBorder="1"/>
    <xf numFmtId="0" fontId="4" fillId="0" borderId="87" xfId="0" applyFont="1" applyBorder="1" applyAlignment="1">
      <alignment horizontal="center"/>
    </xf>
    <xf numFmtId="0" fontId="4" fillId="0" borderId="86" xfId="0" applyFont="1" applyBorder="1" applyAlignment="1">
      <alignment horizontal="center"/>
    </xf>
    <xf numFmtId="165" fontId="4" fillId="0" borderId="86" xfId="0" applyNumberFormat="1" applyFont="1" applyBorder="1" applyAlignment="1">
      <alignment horizontal="center"/>
    </xf>
    <xf numFmtId="168" fontId="4" fillId="0" borderId="86" xfId="0" applyNumberFormat="1" applyFont="1" applyBorder="1" applyAlignment="1">
      <alignment horizontal="center"/>
    </xf>
    <xf numFmtId="168" fontId="85" fillId="8" borderId="86" xfId="7" applyNumberFormat="1" applyFont="1" applyFill="1" applyBorder="1"/>
    <xf numFmtId="168" fontId="85" fillId="8" borderId="89" xfId="7" applyNumberFormat="1" applyFont="1" applyFill="1" applyBorder="1"/>
    <xf numFmtId="168" fontId="4" fillId="70" borderId="86" xfId="0" applyNumberFormat="1" applyFont="1" applyFill="1" applyBorder="1" applyAlignment="1">
      <alignment horizontal="center"/>
    </xf>
    <xf numFmtId="4" fontId="4" fillId="70" borderId="88" xfId="0" applyNumberFormat="1" applyFont="1" applyFill="1" applyBorder="1" applyAlignment="1">
      <alignment horizontal="center"/>
    </xf>
    <xf numFmtId="168" fontId="4" fillId="70" borderId="7" xfId="0" applyNumberFormat="1" applyFont="1" applyFill="1" applyBorder="1" applyAlignment="1">
      <alignment horizontal="center"/>
    </xf>
    <xf numFmtId="4" fontId="4" fillId="70" borderId="8" xfId="0" applyNumberFormat="1" applyFont="1" applyFill="1" applyBorder="1" applyAlignment="1">
      <alignment horizontal="center"/>
    </xf>
    <xf numFmtId="0" fontId="4" fillId="0" borderId="86" xfId="0" applyFont="1" applyBorder="1" applyAlignment="1">
      <alignment horizontal="left"/>
    </xf>
    <xf numFmtId="3" fontId="4" fillId="0" borderId="86" xfId="0" applyNumberFormat="1" applyFont="1" applyBorder="1" applyAlignment="1">
      <alignment horizontal="center"/>
    </xf>
    <xf numFmtId="1" fontId="85" fillId="0" borderId="86" xfId="7" applyNumberFormat="1" applyFont="1" applyFill="1" applyBorder="1"/>
    <xf numFmtId="1" fontId="85" fillId="8" borderId="86" xfId="7" applyNumberFormat="1" applyFont="1" applyFill="1" applyBorder="1"/>
    <xf numFmtId="1" fontId="85" fillId="8" borderId="89" xfId="7" applyNumberFormat="1" applyFont="1" applyFill="1" applyBorder="1"/>
    <xf numFmtId="0" fontId="27" fillId="0" borderId="85" xfId="0" applyFont="1" applyBorder="1" applyAlignment="1">
      <alignment wrapText="1"/>
    </xf>
    <xf numFmtId="0" fontId="27" fillId="0" borderId="85" xfId="0" applyFont="1" applyBorder="1" applyAlignment="1">
      <alignment horizontal="center" vertical="center" wrapText="1"/>
    </xf>
    <xf numFmtId="0" fontId="2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12" borderId="4" xfId="0" applyFont="1" applyFill="1" applyBorder="1" applyAlignment="1">
      <alignment horizontal="center" vertical="center"/>
    </xf>
    <xf numFmtId="0" fontId="4" fillId="8" borderId="14"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0" xfId="0" applyFont="1" applyFill="1" applyAlignment="1">
      <alignment horizontal="center" vertical="center"/>
    </xf>
    <xf numFmtId="0" fontId="4" fillId="12" borderId="3" xfId="0" applyFont="1" applyFill="1" applyBorder="1" applyAlignment="1">
      <alignment horizontal="center" vertical="center"/>
    </xf>
    <xf numFmtId="0" fontId="4" fillId="12" borderId="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1" xfId="0" applyFont="1" applyFill="1" applyBorder="1" applyAlignment="1">
      <alignment horizontal="center" vertical="center"/>
    </xf>
    <xf numFmtId="3" fontId="4" fillId="8" borderId="0" xfId="0" applyNumberFormat="1" applyFont="1" applyFill="1" applyBorder="1" applyAlignment="1">
      <alignment horizontal="center" vertical="center"/>
    </xf>
    <xf numFmtId="0" fontId="4" fillId="8" borderId="3" xfId="0" applyFont="1" applyFill="1" applyBorder="1" applyAlignment="1">
      <alignment horizontal="center" vertical="center"/>
    </xf>
    <xf numFmtId="0" fontId="4" fillId="8" borderId="12" xfId="0" applyFont="1" applyFill="1" applyBorder="1" applyAlignment="1">
      <alignment horizontal="center" vertical="center"/>
    </xf>
    <xf numFmtId="0" fontId="4" fillId="0" borderId="86" xfId="0" applyFont="1" applyBorder="1" applyAlignment="1">
      <alignment horizontal="center" vertical="center"/>
    </xf>
    <xf numFmtId="3" fontId="4" fillId="0" borderId="87" xfId="0" applyNumberFormat="1" applyFont="1" applyBorder="1" applyAlignment="1">
      <alignment horizontal="center" vertical="center"/>
    </xf>
    <xf numFmtId="3" fontId="4" fillId="0" borderId="86" xfId="0" applyNumberFormat="1" applyFont="1" applyBorder="1" applyAlignment="1">
      <alignment horizontal="center" vertical="center"/>
    </xf>
    <xf numFmtId="1" fontId="85" fillId="0" borderId="86" xfId="7" applyNumberFormat="1" applyFont="1" applyFill="1" applyBorder="1" applyAlignment="1">
      <alignment horizontal="center" vertical="center"/>
    </xf>
    <xf numFmtId="1" fontId="85" fillId="0" borderId="88" xfId="7" applyNumberFormat="1" applyFont="1" applyFill="1" applyBorder="1" applyAlignment="1">
      <alignment horizontal="center" vertical="center"/>
    </xf>
    <xf numFmtId="1" fontId="85" fillId="8" borderId="86" xfId="7" applyNumberFormat="1" applyFont="1" applyFill="1" applyBorder="1" applyAlignment="1">
      <alignment horizontal="center" vertical="center"/>
    </xf>
    <xf numFmtId="1" fontId="85" fillId="8" borderId="89" xfId="7" applyNumberFormat="1" applyFont="1" applyFill="1" applyBorder="1" applyAlignment="1">
      <alignment horizontal="center" vertical="center"/>
    </xf>
    <xf numFmtId="0" fontId="4" fillId="0" borderId="0" xfId="0" applyFont="1" applyAlignment="1">
      <alignment horizontal="center" vertical="center"/>
    </xf>
    <xf numFmtId="3" fontId="4" fillId="0" borderId="1" xfId="0" applyNumberFormat="1" applyFont="1" applyBorder="1" applyAlignment="1">
      <alignment horizontal="center" vertical="center"/>
    </xf>
    <xf numFmtId="3" fontId="4" fillId="0" borderId="0" xfId="0" applyNumberFormat="1" applyFont="1" applyBorder="1" applyAlignment="1">
      <alignment horizontal="center" vertical="center"/>
    </xf>
    <xf numFmtId="1" fontId="4" fillId="0" borderId="0" xfId="0" applyNumberFormat="1" applyFont="1" applyBorder="1" applyAlignment="1">
      <alignment horizontal="center" vertical="center"/>
    </xf>
    <xf numFmtId="1" fontId="4" fillId="8" borderId="3" xfId="0" applyNumberFormat="1" applyFont="1" applyFill="1" applyBorder="1" applyAlignment="1">
      <alignment horizontal="center" vertical="center"/>
    </xf>
    <xf numFmtId="1" fontId="4" fillId="8" borderId="0" xfId="0" applyNumberFormat="1" applyFont="1" applyFill="1" applyAlignment="1">
      <alignment horizontal="center" vertical="center"/>
    </xf>
    <xf numFmtId="168" fontId="4" fillId="0" borderId="0" xfId="0" applyNumberFormat="1" applyFont="1" applyBorder="1" applyAlignment="1">
      <alignment horizontal="center" vertical="center"/>
    </xf>
    <xf numFmtId="168" fontId="4" fillId="8" borderId="3" xfId="0" applyNumberFormat="1" applyFont="1" applyFill="1" applyBorder="1" applyAlignment="1">
      <alignment horizontal="center" vertical="center"/>
    </xf>
    <xf numFmtId="168" fontId="4" fillId="8" borderId="0" xfId="0" applyNumberFormat="1" applyFont="1" applyFill="1" applyAlignment="1">
      <alignment horizontal="center" vertical="center"/>
    </xf>
    <xf numFmtId="0" fontId="4" fillId="0" borderId="86" xfId="0" applyFont="1" applyBorder="1" applyAlignment="1">
      <alignment horizontal="center" vertical="center" wrapText="1"/>
    </xf>
    <xf numFmtId="0" fontId="4" fillId="0" borderId="87" xfId="0" applyFont="1" applyBorder="1" applyAlignment="1">
      <alignment horizontal="center" vertical="center" wrapText="1"/>
    </xf>
    <xf numFmtId="165" fontId="4" fillId="0" borderId="86" xfId="0" applyNumberFormat="1" applyFont="1" applyBorder="1" applyAlignment="1">
      <alignment horizontal="center" vertical="center"/>
    </xf>
    <xf numFmtId="168" fontId="85" fillId="0" borderId="86" xfId="7" applyNumberFormat="1" applyFont="1" applyFill="1" applyBorder="1" applyAlignment="1">
      <alignment horizontal="center" vertical="center"/>
    </xf>
    <xf numFmtId="168" fontId="85" fillId="0" borderId="88" xfId="7" applyNumberFormat="1" applyFont="1" applyFill="1" applyBorder="1" applyAlignment="1">
      <alignment horizontal="center" vertical="center"/>
    </xf>
    <xf numFmtId="168" fontId="85" fillId="8" borderId="86" xfId="7" applyNumberFormat="1" applyFont="1" applyFill="1" applyBorder="1" applyAlignment="1">
      <alignment horizontal="center" vertical="center"/>
    </xf>
    <xf numFmtId="168" fontId="85" fillId="8" borderId="89" xfId="7" applyNumberFormat="1" applyFont="1" applyFill="1" applyBorder="1" applyAlignment="1">
      <alignment horizontal="center" vertical="center"/>
    </xf>
    <xf numFmtId="0" fontId="4" fillId="0" borderId="0" xfId="0" applyFont="1" applyAlignment="1">
      <alignment horizontal="center" vertical="center" wrapText="1"/>
    </xf>
    <xf numFmtId="0" fontId="4" fillId="0" borderId="0" xfId="0" applyFont="1" applyBorder="1" applyAlignment="1">
      <alignment horizontal="center" vertical="center" wrapText="1"/>
    </xf>
    <xf numFmtId="165" fontId="4" fillId="0" borderId="0" xfId="0" applyNumberFormat="1" applyFont="1" applyBorder="1" applyAlignment="1">
      <alignment horizontal="center" vertical="center"/>
    </xf>
    <xf numFmtId="168" fontId="4" fillId="12" borderId="0" xfId="0" applyNumberFormat="1" applyFont="1" applyFill="1" applyBorder="1" applyAlignment="1">
      <alignment horizontal="center" vertical="center"/>
    </xf>
    <xf numFmtId="168" fontId="4" fillId="12" borderId="3" xfId="0" applyNumberFormat="1" applyFont="1" applyFill="1" applyBorder="1" applyAlignment="1">
      <alignment horizontal="center" vertical="center"/>
    </xf>
    <xf numFmtId="1" fontId="23" fillId="8" borderId="0" xfId="0" applyNumberFormat="1" applyFont="1" applyFill="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87" xfId="0" applyFont="1" applyBorder="1" applyAlignment="1">
      <alignment horizontal="left"/>
    </xf>
    <xf numFmtId="1" fontId="85" fillId="8" borderId="87" xfId="7" applyNumberFormat="1" applyFont="1" applyFill="1" applyBorder="1"/>
    <xf numFmtId="0" fontId="30" fillId="0" borderId="1" xfId="0" applyFont="1" applyFill="1" applyBorder="1" applyAlignment="1">
      <alignment horizontal="left" indent="2"/>
    </xf>
    <xf numFmtId="3" fontId="4" fillId="0" borderId="0" xfId="0" applyNumberFormat="1" applyFont="1" applyFill="1" applyAlignment="1">
      <alignment horizontal="center" vertical="top" wrapText="1"/>
    </xf>
    <xf numFmtId="3" fontId="4" fillId="0" borderId="1" xfId="0" applyNumberFormat="1" applyFont="1" applyFill="1" applyBorder="1" applyAlignment="1">
      <alignment horizontal="center" vertical="top" wrapText="1"/>
    </xf>
    <xf numFmtId="1" fontId="4" fillId="0" borderId="0" xfId="0" applyNumberFormat="1" applyFont="1" applyFill="1" applyAlignment="1">
      <alignment horizontal="center" wrapText="1"/>
    </xf>
    <xf numFmtId="1" fontId="0" fillId="0" borderId="0" xfId="0" applyNumberFormat="1" applyFill="1"/>
    <xf numFmtId="0" fontId="12" fillId="15" borderId="83" xfId="0" applyFont="1" applyFill="1" applyBorder="1"/>
    <xf numFmtId="0" fontId="4" fillId="15" borderId="83" xfId="0" applyFont="1" applyFill="1" applyBorder="1" applyAlignment="1">
      <alignment horizontal="center"/>
    </xf>
    <xf numFmtId="0" fontId="4" fillId="15" borderId="82" xfId="0" applyFont="1" applyFill="1" applyBorder="1" applyAlignment="1">
      <alignment horizontal="center"/>
    </xf>
    <xf numFmtId="0" fontId="4" fillId="15" borderId="84" xfId="0" applyFont="1" applyFill="1" applyBorder="1" applyAlignment="1">
      <alignment horizontal="center"/>
    </xf>
    <xf numFmtId="0" fontId="32" fillId="0" borderId="85" xfId="0" applyFont="1" applyBorder="1" applyAlignment="1">
      <alignment horizontal="left" wrapText="1"/>
    </xf>
    <xf numFmtId="4" fontId="4" fillId="0" borderId="87" xfId="0" applyNumberFormat="1" applyFont="1" applyBorder="1" applyAlignment="1">
      <alignment horizontal="center"/>
    </xf>
    <xf numFmtId="3" fontId="4" fillId="0" borderId="86" xfId="0" applyNumberFormat="1" applyFont="1" applyBorder="1" applyAlignment="1">
      <alignment horizontal="right"/>
    </xf>
    <xf numFmtId="3" fontId="85" fillId="0" borderId="86" xfId="17" applyNumberFormat="1" applyFont="1" applyBorder="1" applyAlignment="1">
      <alignment horizontal="right"/>
    </xf>
    <xf numFmtId="3" fontId="85" fillId="0" borderId="89" xfId="17" applyNumberFormat="1" applyFont="1" applyBorder="1" applyAlignment="1">
      <alignment horizontal="right"/>
    </xf>
    <xf numFmtId="0" fontId="12" fillId="0" borderId="85" xfId="0" applyFont="1" applyBorder="1"/>
    <xf numFmtId="2" fontId="4" fillId="0" borderId="87" xfId="0" applyNumberFormat="1" applyFont="1" applyBorder="1"/>
    <xf numFmtId="2" fontId="4" fillId="0" borderId="86" xfId="0" applyNumberFormat="1" applyFont="1" applyBorder="1" applyAlignment="1">
      <alignment horizontal="right"/>
    </xf>
    <xf numFmtId="3" fontId="85" fillId="0" borderId="86" xfId="539" applyNumberFormat="1" applyFont="1" applyBorder="1" applyAlignment="1">
      <alignment horizontal="right"/>
    </xf>
    <xf numFmtId="3" fontId="85" fillId="0" borderId="89" xfId="539" applyNumberFormat="1" applyFont="1" applyBorder="1" applyAlignment="1">
      <alignment horizontal="right"/>
    </xf>
    <xf numFmtId="165" fontId="4" fillId="0" borderId="0" xfId="0" applyNumberFormat="1" applyFont="1" applyFill="1" applyAlignment="1">
      <alignment horizontal="center" vertical="top" wrapText="1"/>
    </xf>
    <xf numFmtId="168" fontId="4" fillId="0" borderId="1"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168" fontId="4" fillId="0" borderId="3" xfId="0" applyNumberFormat="1" applyFont="1" applyFill="1" applyBorder="1" applyAlignment="1">
      <alignment horizontal="center" vertical="top" wrapText="1"/>
    </xf>
    <xf numFmtId="167" fontId="4" fillId="0" borderId="0" xfId="0" applyNumberFormat="1" applyFont="1" applyFill="1"/>
    <xf numFmtId="168" fontId="23" fillId="0" borderId="0" xfId="1" applyNumberFormat="1" applyFont="1" applyFill="1"/>
    <xf numFmtId="1" fontId="23" fillId="8" borderId="3" xfId="0" applyNumberFormat="1" applyFont="1" applyFill="1" applyBorder="1" applyAlignment="1">
      <alignment horizontal="center" vertical="top" wrapText="1"/>
    </xf>
    <xf numFmtId="0" fontId="65" fillId="0" borderId="85" xfId="0" applyFont="1" applyBorder="1" applyAlignment="1">
      <alignment wrapText="1"/>
    </xf>
    <xf numFmtId="1" fontId="4" fillId="0" borderId="86" xfId="0" applyNumberFormat="1" applyFont="1" applyBorder="1" applyAlignment="1">
      <alignment horizontal="center"/>
    </xf>
    <xf numFmtId="3" fontId="85" fillId="0" borderId="86" xfId="539" applyNumberFormat="1" applyFont="1" applyBorder="1"/>
    <xf numFmtId="3" fontId="85" fillId="0" borderId="89" xfId="539" applyNumberFormat="1" applyFont="1" applyBorder="1"/>
    <xf numFmtId="0" fontId="65" fillId="0" borderId="85" xfId="0" applyFont="1" applyBorder="1"/>
    <xf numFmtId="0" fontId="42" fillId="0" borderId="85" xfId="0" applyFont="1" applyBorder="1" applyAlignment="1">
      <alignment horizontal="left" indent="2"/>
    </xf>
    <xf numFmtId="1" fontId="4" fillId="0" borderId="87" xfId="0" applyNumberFormat="1" applyFont="1" applyBorder="1" applyAlignment="1">
      <alignment horizontal="center"/>
    </xf>
    <xf numFmtId="37" fontId="85" fillId="0" borderId="86" xfId="902" applyNumberFormat="1" applyFont="1" applyBorder="1" applyAlignment="1">
      <alignment wrapText="1" readingOrder="1"/>
    </xf>
    <xf numFmtId="37" fontId="85" fillId="0" borderId="89" xfId="902" applyNumberFormat="1" applyFont="1" applyFill="1" applyBorder="1" applyAlignment="1">
      <alignment wrapText="1" readingOrder="1"/>
    </xf>
    <xf numFmtId="0" fontId="65" fillId="0" borderId="85" xfId="0" applyFont="1" applyBorder="1" applyAlignment="1">
      <alignment horizontal="left" indent="2"/>
    </xf>
    <xf numFmtId="0" fontId="65" fillId="0" borderId="85" xfId="0" applyFont="1" applyBorder="1" applyAlignment="1"/>
    <xf numFmtId="0" fontId="42" fillId="0" borderId="85" xfId="0" applyFont="1" applyBorder="1"/>
    <xf numFmtId="0" fontId="42" fillId="0" borderId="85" xfId="0" applyFont="1" applyBorder="1" applyAlignment="1">
      <alignment horizontal="left" indent="1"/>
    </xf>
    <xf numFmtId="1" fontId="85" fillId="0" borderId="89" xfId="7" applyNumberFormat="1" applyFont="1" applyFill="1" applyBorder="1"/>
    <xf numFmtId="0" fontId="4" fillId="0" borderId="85" xfId="0" applyFont="1" applyBorder="1" applyAlignment="1">
      <alignment horizontal="left" indent="2"/>
    </xf>
    <xf numFmtId="169" fontId="4" fillId="0" borderId="86" xfId="0" applyNumberFormat="1" applyFont="1" applyBorder="1"/>
    <xf numFmtId="1" fontId="85" fillId="0" borderId="86" xfId="7" applyNumberFormat="1" applyFont="1" applyBorder="1"/>
    <xf numFmtId="0" fontId="4" fillId="0" borderId="85" xfId="0" applyFont="1" applyBorder="1" applyAlignment="1">
      <alignment horizontal="center" wrapText="1"/>
    </xf>
    <xf numFmtId="169" fontId="4" fillId="0" borderId="86" xfId="0" applyNumberFormat="1" applyFont="1" applyBorder="1" applyAlignment="1">
      <alignment horizontal="center"/>
    </xf>
    <xf numFmtId="169" fontId="4" fillId="0" borderId="0" xfId="0" applyNumberFormat="1" applyFont="1" applyBorder="1" applyAlignment="1">
      <alignment horizontal="center"/>
    </xf>
    <xf numFmtId="0" fontId="4" fillId="0" borderId="85" xfId="0" applyFont="1" applyBorder="1" applyAlignment="1">
      <alignment horizontal="center"/>
    </xf>
    <xf numFmtId="169" fontId="4" fillId="0" borderId="87" xfId="0" applyNumberFormat="1" applyFont="1" applyBorder="1" applyAlignment="1">
      <alignment horizontal="center"/>
    </xf>
    <xf numFmtId="0" fontId="12" fillId="0" borderId="46" xfId="0" applyFont="1" applyFill="1" applyBorder="1" applyAlignment="1">
      <alignment horizontal="center"/>
    </xf>
    <xf numFmtId="0" fontId="12" fillId="0" borderId="4" xfId="0" applyFont="1" applyFill="1" applyBorder="1" applyAlignment="1">
      <alignment horizontal="center"/>
    </xf>
    <xf numFmtId="0" fontId="12" fillId="0" borderId="5" xfId="0" applyFont="1" applyFill="1" applyBorder="1" applyAlignment="1">
      <alignment horizontal="center"/>
    </xf>
    <xf numFmtId="174" fontId="29" fillId="0" borderId="45" xfId="0" applyNumberFormat="1" applyFont="1" applyFill="1" applyBorder="1" applyAlignment="1">
      <alignment horizontal="center"/>
    </xf>
    <xf numFmtId="174" fontId="29" fillId="0" borderId="4" xfId="0" applyNumberFormat="1" applyFont="1" applyFill="1" applyBorder="1" applyAlignment="1">
      <alignment horizontal="center"/>
    </xf>
    <xf numFmtId="174" fontId="29" fillId="0" borderId="5" xfId="0" applyNumberFormat="1" applyFont="1" applyFill="1" applyBorder="1" applyAlignment="1">
      <alignment horizontal="center"/>
    </xf>
    <xf numFmtId="0" fontId="4" fillId="0" borderId="0" xfId="0" applyFont="1" applyFill="1" applyBorder="1" applyAlignment="1">
      <alignment wrapText="1"/>
    </xf>
    <xf numFmtId="0" fontId="4" fillId="0" borderId="0" xfId="0" applyFont="1" applyFill="1" applyBorder="1"/>
    <xf numFmtId="168" fontId="4" fillId="0" borderId="0" xfId="0" applyNumberFormat="1" applyFont="1" applyFill="1" applyBorder="1"/>
    <xf numFmtId="3" fontId="4" fillId="12" borderId="7" xfId="0" applyNumberFormat="1" applyFont="1" applyFill="1" applyBorder="1" applyAlignment="1">
      <alignment horizontal="center" vertical="center"/>
    </xf>
    <xf numFmtId="3" fontId="4" fillId="0" borderId="7" xfId="0" applyNumberFormat="1" applyFont="1" applyFill="1" applyBorder="1" applyAlignment="1">
      <alignment horizontal="center" vertical="center"/>
    </xf>
    <xf numFmtId="168" fontId="4" fillId="0" borderId="82" xfId="0" applyNumberFormat="1" applyFont="1" applyBorder="1" applyAlignment="1">
      <alignment horizontal="right" vertical="top" wrapText="1"/>
    </xf>
    <xf numFmtId="1" fontId="23" fillId="0" borderId="0" xfId="0" applyNumberFormat="1" applyFont="1" applyBorder="1" applyAlignment="1">
      <alignment horizontal="center" vertical="top" wrapText="1"/>
    </xf>
    <xf numFmtId="168" fontId="4" fillId="0"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68" fontId="4" fillId="12" borderId="0" xfId="0" applyNumberFormat="1" applyFont="1" applyFill="1" applyBorder="1" applyAlignment="1">
      <alignment horizontal="center" vertical="top" wrapText="1"/>
    </xf>
    <xf numFmtId="1" fontId="4" fillId="8" borderId="0" xfId="0" applyNumberFormat="1" applyFont="1" applyFill="1" applyBorder="1" applyAlignment="1">
      <alignment horizontal="center" vertical="top" wrapText="1"/>
    </xf>
    <xf numFmtId="168" fontId="23" fillId="0" borderId="0" xfId="0" applyNumberFormat="1" applyFont="1" applyBorder="1" applyAlignment="1">
      <alignment horizontal="center" vertical="top" wrapText="1"/>
    </xf>
    <xf numFmtId="168" fontId="4" fillId="0" borderId="0" xfId="0" applyNumberFormat="1" applyFont="1" applyBorder="1" applyAlignment="1">
      <alignment horizontal="center" wrapText="1"/>
    </xf>
    <xf numFmtId="1" fontId="23" fillId="8" borderId="0" xfId="0" applyNumberFormat="1" applyFont="1" applyFill="1" applyBorder="1" applyAlignment="1">
      <alignment horizontal="center" vertical="top" wrapText="1"/>
    </xf>
    <xf numFmtId="168" fontId="23" fillId="16" borderId="0" xfId="0" applyNumberFormat="1" applyFont="1" applyFill="1" applyBorder="1" applyAlignment="1">
      <alignment horizontal="center" vertical="top" wrapText="1"/>
    </xf>
    <xf numFmtId="168" fontId="4" fillId="8" borderId="0" xfId="0" applyNumberFormat="1" applyFont="1" applyFill="1" applyBorder="1" applyAlignment="1">
      <alignment horizontal="center" wrapText="1"/>
    </xf>
    <xf numFmtId="168" fontId="4" fillId="8" borderId="0" xfId="0" applyNumberFormat="1" applyFont="1" applyFill="1" applyBorder="1" applyAlignment="1">
      <alignment horizontal="center" vertical="top" wrapText="1"/>
    </xf>
    <xf numFmtId="168" fontId="4" fillId="16" borderId="0" xfId="0" applyNumberFormat="1" applyFont="1" applyFill="1" applyBorder="1" applyAlignment="1">
      <alignment horizontal="center" vertical="top" wrapText="1"/>
    </xf>
    <xf numFmtId="168" fontId="4" fillId="8" borderId="83" xfId="0" applyNumberFormat="1" applyFont="1" applyFill="1" applyBorder="1" applyAlignment="1">
      <alignment horizontal="right" vertical="top" wrapText="1"/>
    </xf>
    <xf numFmtId="168" fontId="4" fillId="8" borderId="82" xfId="0" applyNumberFormat="1" applyFont="1" applyFill="1" applyBorder="1" applyAlignment="1">
      <alignment horizontal="right" vertical="top" wrapText="1"/>
    </xf>
    <xf numFmtId="168" fontId="4" fillId="8" borderId="84" xfId="0" applyNumberFormat="1" applyFont="1" applyFill="1" applyBorder="1" applyAlignment="1">
      <alignment horizontal="right" vertical="top" wrapText="1"/>
    </xf>
    <xf numFmtId="1" fontId="23" fillId="8" borderId="1" xfId="0" applyNumberFormat="1" applyFont="1" applyFill="1" applyBorder="1" applyAlignment="1">
      <alignment horizontal="center" vertical="top" wrapText="1"/>
    </xf>
    <xf numFmtId="1" fontId="4" fillId="8"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4" fillId="8" borderId="1" xfId="0" applyNumberFormat="1" applyFont="1" applyFill="1" applyBorder="1" applyAlignment="1">
      <alignment horizontal="center" wrapText="1"/>
    </xf>
    <xf numFmtId="168" fontId="4" fillId="8" borderId="1" xfId="0" applyNumberFormat="1" applyFont="1" applyFill="1" applyBorder="1" applyAlignment="1">
      <alignment horizontal="center" vertical="top" wrapText="1"/>
    </xf>
    <xf numFmtId="168" fontId="4" fillId="8" borderId="3" xfId="0" applyNumberFormat="1" applyFont="1" applyFill="1" applyBorder="1" applyAlignment="1">
      <alignment horizontal="center" vertical="top" wrapText="1"/>
    </xf>
    <xf numFmtId="168" fontId="4" fillId="20" borderId="1" xfId="0" applyNumberFormat="1" applyFont="1" applyFill="1" applyBorder="1" applyAlignment="1">
      <alignment horizontal="center" vertical="top" wrapText="1"/>
    </xf>
    <xf numFmtId="168" fontId="4" fillId="16" borderId="3" xfId="0" applyNumberFormat="1" applyFont="1" applyFill="1" applyBorder="1" applyAlignment="1">
      <alignment horizontal="center" vertical="top" wrapText="1"/>
    </xf>
    <xf numFmtId="168" fontId="36" fillId="8" borderId="2" xfId="0" applyNumberFormat="1" applyFont="1" applyFill="1" applyBorder="1" applyAlignment="1">
      <alignment horizontal="center"/>
    </xf>
    <xf numFmtId="168" fontId="4" fillId="0" borderId="83" xfId="0" applyNumberFormat="1" applyFont="1" applyBorder="1" applyAlignment="1">
      <alignment horizontal="right" vertical="top" wrapText="1"/>
    </xf>
    <xf numFmtId="168" fontId="4" fillId="0" borderId="84" xfId="0" applyNumberFormat="1" applyFont="1" applyBorder="1" applyAlignment="1">
      <alignment horizontal="right" vertical="top" wrapText="1"/>
    </xf>
    <xf numFmtId="168" fontId="4" fillId="0" borderId="0" xfId="0" applyNumberFormat="1" applyFont="1" applyBorder="1" applyAlignment="1">
      <alignment horizontal="center" vertical="top" wrapText="1"/>
    </xf>
    <xf numFmtId="168" fontId="4" fillId="16" borderId="83" xfId="0" applyNumberFormat="1" applyFont="1" applyFill="1" applyBorder="1" applyAlignment="1">
      <alignment horizontal="right" vertical="top" wrapText="1"/>
    </xf>
    <xf numFmtId="168" fontId="4" fillId="16" borderId="82" xfId="0" applyNumberFormat="1" applyFont="1" applyFill="1" applyBorder="1" applyAlignment="1">
      <alignment horizontal="right" vertical="top" wrapText="1"/>
    </xf>
    <xf numFmtId="168" fontId="4" fillId="16" borderId="84" xfId="0" applyNumberFormat="1" applyFont="1" applyFill="1" applyBorder="1" applyAlignment="1">
      <alignment horizontal="right" vertical="top" wrapText="1"/>
    </xf>
    <xf numFmtId="0" fontId="42" fillId="0" borderId="1" xfId="0" applyFont="1" applyBorder="1" applyAlignment="1">
      <alignment horizontal="center" vertical="center" wrapText="1"/>
    </xf>
    <xf numFmtId="165" fontId="12" fillId="0" borderId="0" xfId="0" applyNumberFormat="1" applyFont="1" applyFill="1" applyAlignment="1">
      <alignment horizontal="center" vertical="top" wrapText="1"/>
    </xf>
    <xf numFmtId="165" fontId="12" fillId="0" borderId="3" xfId="0" applyNumberFormat="1" applyFont="1" applyFill="1" applyBorder="1" applyAlignment="1">
      <alignment horizontal="center" vertical="top" wrapText="1"/>
    </xf>
    <xf numFmtId="165" fontId="12" fillId="8" borderId="0" xfId="0" applyNumberFormat="1" applyFont="1" applyFill="1" applyAlignment="1">
      <alignment horizontal="center" vertical="top" wrapText="1"/>
    </xf>
    <xf numFmtId="0" fontId="1" fillId="0" borderId="2" xfId="0" applyFont="1" applyFill="1" applyBorder="1"/>
    <xf numFmtId="0" fontId="1" fillId="0" borderId="7" xfId="0" applyFont="1" applyFill="1" applyBorder="1"/>
    <xf numFmtId="2" fontId="4" fillId="0" borderId="7" xfId="0" applyNumberFormat="1" applyFont="1" applyFill="1" applyBorder="1"/>
    <xf numFmtId="2" fontId="4" fillId="0" borderId="8" xfId="0" applyNumberFormat="1" applyFont="1" applyFill="1" applyBorder="1"/>
    <xf numFmtId="2" fontId="4" fillId="8" borderId="7" xfId="0" applyNumberFormat="1" applyFont="1" applyFill="1" applyBorder="1"/>
    <xf numFmtId="165" fontId="23" fillId="8" borderId="83" xfId="0" applyNumberFormat="1" applyFont="1" applyFill="1" applyBorder="1" applyAlignment="1">
      <alignment horizontal="center"/>
    </xf>
    <xf numFmtId="165" fontId="23" fillId="8" borderId="68" xfId="0" applyNumberFormat="1" applyFont="1" applyFill="1" applyBorder="1" applyAlignment="1">
      <alignment horizontal="center"/>
    </xf>
    <xf numFmtId="165" fontId="23" fillId="8" borderId="84" xfId="0" applyNumberFormat="1" applyFont="1" applyFill="1" applyBorder="1" applyAlignment="1">
      <alignment horizontal="center"/>
    </xf>
    <xf numFmtId="2" fontId="4" fillId="8" borderId="2" xfId="0" applyNumberFormat="1" applyFont="1" applyFill="1" applyBorder="1"/>
    <xf numFmtId="2" fontId="4" fillId="8" borderId="8" xfId="0" applyNumberFormat="1" applyFont="1" applyFill="1" applyBorder="1"/>
    <xf numFmtId="3" fontId="4" fillId="0" borderId="0" xfId="0" applyNumberFormat="1" applyFont="1" applyFill="1" applyAlignment="1">
      <alignment horizontal="center" wrapText="1"/>
    </xf>
    <xf numFmtId="0" fontId="4" fillId="0" borderId="0" xfId="0" applyFont="1" applyFill="1" applyAlignment="1">
      <alignment horizontal="center" wrapText="1"/>
    </xf>
    <xf numFmtId="3" fontId="12" fillId="0" borderId="0" xfId="0" applyNumberFormat="1" applyFont="1" applyFill="1" applyAlignment="1">
      <alignment horizontal="center" wrapText="1"/>
    </xf>
    <xf numFmtId="3" fontId="12" fillId="0" borderId="3" xfId="0" applyNumberFormat="1" applyFont="1" applyFill="1" applyBorder="1" applyAlignment="1">
      <alignment horizontal="center" wrapText="1"/>
    </xf>
    <xf numFmtId="3" fontId="4" fillId="0" borderId="7" xfId="0" applyNumberFormat="1" applyFont="1" applyFill="1" applyBorder="1" applyAlignment="1">
      <alignment horizontal="center" vertical="top" wrapText="1"/>
    </xf>
    <xf numFmtId="3" fontId="4" fillId="0" borderId="2" xfId="0" applyNumberFormat="1" applyFont="1" applyFill="1" applyBorder="1" applyAlignment="1">
      <alignment horizontal="center" vertical="top" wrapText="1"/>
    </xf>
    <xf numFmtId="3" fontId="4" fillId="0" borderId="7" xfId="0" applyNumberFormat="1" applyFont="1" applyFill="1" applyBorder="1" applyAlignment="1">
      <alignment horizontal="center" wrapText="1"/>
    </xf>
    <xf numFmtId="0" fontId="4" fillId="0" borderId="7" xfId="0" applyFont="1" applyFill="1" applyBorder="1" applyAlignment="1">
      <alignment horizontal="center" wrapText="1"/>
    </xf>
    <xf numFmtId="3" fontId="12" fillId="0" borderId="7" xfId="0" applyNumberFormat="1" applyFont="1" applyFill="1" applyBorder="1" applyAlignment="1">
      <alignment horizontal="center" wrapText="1"/>
    </xf>
    <xf numFmtId="3" fontId="12" fillId="0" borderId="8" xfId="0" applyNumberFormat="1" applyFont="1" applyFill="1" applyBorder="1" applyAlignment="1">
      <alignment horizontal="center" wrapText="1"/>
    </xf>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7"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65" fillId="0" borderId="1" xfId="0" applyFont="1" applyFill="1" applyBorder="1" applyAlignment="1">
      <alignment horizontal="left" indent="2"/>
    </xf>
    <xf numFmtId="0" fontId="42" fillId="0" borderId="1" xfId="0" applyFont="1" applyFill="1" applyBorder="1" applyAlignment="1">
      <alignment horizontal="left" vertical="top" wrapText="1" indent="2"/>
    </xf>
    <xf numFmtId="0" fontId="12" fillId="0" borderId="1" xfId="0" applyFont="1" applyFill="1" applyBorder="1" applyAlignment="1">
      <alignment horizontal="left" wrapText="1"/>
    </xf>
    <xf numFmtId="168" fontId="4" fillId="0" borderId="1" xfId="0" applyNumberFormat="1" applyFont="1" applyFill="1" applyBorder="1" applyAlignment="1">
      <alignment horizontal="center"/>
    </xf>
    <xf numFmtId="168" fontId="4" fillId="0" borderId="0" xfId="0" applyNumberFormat="1" applyFont="1" applyFill="1" applyAlignment="1">
      <alignment horizontal="center"/>
    </xf>
    <xf numFmtId="168" fontId="12" fillId="0" borderId="0" xfId="0" applyNumberFormat="1" applyFont="1" applyFill="1" applyAlignment="1">
      <alignment horizontal="center"/>
    </xf>
    <xf numFmtId="168" fontId="12" fillId="0" borderId="3" xfId="0" applyNumberFormat="1" applyFont="1" applyFill="1" applyBorder="1" applyAlignment="1">
      <alignment horizontal="center"/>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0" borderId="1" xfId="0" applyFont="1" applyFill="1" applyBorder="1" applyAlignment="1">
      <alignment horizontal="left" indent="1"/>
    </xf>
    <xf numFmtId="0" fontId="4" fillId="0" borderId="3" xfId="0" applyFont="1" applyFill="1" applyBorder="1"/>
    <xf numFmtId="0" fontId="4" fillId="0" borderId="0" xfId="0" applyFont="1" applyFill="1"/>
    <xf numFmtId="9" fontId="4" fillId="0" borderId="0" xfId="0" applyNumberFormat="1" applyFont="1" applyFill="1"/>
    <xf numFmtId="9" fontId="4" fillId="0" borderId="3" xfId="0" applyNumberFormat="1" applyFont="1" applyFill="1" applyBorder="1"/>
    <xf numFmtId="10" fontId="4" fillId="0" borderId="0" xfId="0" applyNumberFormat="1" applyFont="1" applyFill="1"/>
    <xf numFmtId="0" fontId="4" fillId="0" borderId="2" xfId="0" applyFont="1" applyFill="1" applyBorder="1" applyAlignment="1">
      <alignment horizontal="left" indent="1"/>
    </xf>
    <xf numFmtId="0" fontId="4" fillId="0" borderId="8" xfId="0" applyFont="1" applyFill="1" applyBorder="1"/>
    <xf numFmtId="0" fontId="4" fillId="0" borderId="7" xfId="0" applyFont="1" applyFill="1" applyBorder="1"/>
    <xf numFmtId="9" fontId="4" fillId="0" borderId="7" xfId="0" applyNumberFormat="1" applyFont="1" applyFill="1" applyBorder="1"/>
    <xf numFmtId="9" fontId="4" fillId="0" borderId="8" xfId="0" applyNumberFormat="1" applyFont="1" applyFill="1" applyBorder="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 fillId="12" borderId="0" xfId="0" applyFont="1" applyFill="1" applyAlignment="1">
      <alignment horizontal="center"/>
    </xf>
    <xf numFmtId="0" fontId="4" fillId="12" borderId="68" xfId="0" applyFont="1" applyFill="1" applyBorder="1" applyAlignment="1">
      <alignment horizontal="center"/>
    </xf>
    <xf numFmtId="0" fontId="82" fillId="0" borderId="0" xfId="3" applyFont="1"/>
    <xf numFmtId="0" fontId="78" fillId="0" borderId="0" xfId="3"/>
    <xf numFmtId="0" fontId="83" fillId="0" borderId="0" xfId="3" applyFont="1"/>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7" xfId="3" applyFont="1" applyFill="1" applyBorder="1" applyAlignment="1">
      <alignment horizontal="center" vertic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 xfId="0" applyFont="1" applyFill="1" applyBorder="1" applyAlignment="1">
      <alignment horizontal="center"/>
    </xf>
    <xf numFmtId="0" fontId="12" fillId="12" borderId="6"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0" borderId="3" xfId="0" applyFont="1" applyBorder="1" applyAlignment="1">
      <alignment horizontal="center" wrapText="1"/>
    </xf>
    <xf numFmtId="0" fontId="12" fillId="12" borderId="2" xfId="0" applyFont="1" applyFill="1" applyBorder="1" applyAlignment="1">
      <alignment horizontal="center"/>
    </xf>
    <xf numFmtId="0" fontId="12" fillId="12" borderId="8" xfId="0" applyFont="1" applyFill="1" applyBorder="1" applyAlignment="1">
      <alignment horizontal="center"/>
    </xf>
    <xf numFmtId="0" fontId="12" fillId="12" borderId="40"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0" borderId="0" xfId="0" applyFont="1" applyAlignment="1">
      <alignment horizontal="left" wrapText="1"/>
    </xf>
    <xf numFmtId="0" fontId="12" fillId="12" borderId="5" xfId="0" applyFont="1" applyFill="1" applyBorder="1" applyAlignment="1">
      <alignment horizontal="center"/>
    </xf>
    <xf numFmtId="0" fontId="12" fillId="12" borderId="0" xfId="0" applyFont="1" applyFill="1" applyAlignment="1">
      <alignment horizontal="center"/>
    </xf>
    <xf numFmtId="0" fontId="12" fillId="12" borderId="7" xfId="0" applyFont="1" applyFill="1" applyBorder="1" applyAlignment="1">
      <alignment horizont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12" fillId="12" borderId="4"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3" xfId="0" applyFont="1" applyFill="1" applyBorder="1" applyAlignment="1">
      <alignment horizontal="center" vertical="center"/>
    </xf>
    <xf numFmtId="0" fontId="4" fillId="12" borderId="6" xfId="0" applyFont="1" applyFill="1" applyBorder="1" applyAlignment="1">
      <alignment horizontal="center" vertical="center"/>
    </xf>
    <xf numFmtId="0" fontId="4" fillId="8" borderId="40"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6" xfId="0"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1" xfId="0" applyFont="1" applyFill="1" applyBorder="1" applyAlignment="1">
      <alignment horizontal="center" vertical="center"/>
    </xf>
    <xf numFmtId="0" fontId="4" fillId="12" borderId="69" xfId="0" applyFont="1" applyFill="1" applyBorder="1" applyAlignment="1">
      <alignment horizontal="center" vertical="center"/>
    </xf>
    <xf numFmtId="0" fontId="4" fillId="12" borderId="68" xfId="0" applyFont="1" applyFill="1" applyBorder="1" applyAlignment="1">
      <alignment horizontal="center" vertical="center"/>
    </xf>
    <xf numFmtId="0" fontId="4" fillId="12" borderId="62" xfId="0" applyFont="1" applyFill="1" applyBorder="1" applyAlignment="1">
      <alignment horizontal="center" vertic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31" fillId="0" borderId="0" xfId="0" applyFont="1" applyAlignment="1">
      <alignment horizontal="left" vertical="top" wrapText="1"/>
    </xf>
    <xf numFmtId="0" fontId="12" fillId="0" borderId="0" xfId="0" applyFont="1" applyAlignment="1">
      <alignment horizontal="center" vertical="top" wrapText="1"/>
    </xf>
    <xf numFmtId="0" fontId="33" fillId="0" borderId="0" xfId="0" applyFont="1" applyAlignment="1">
      <alignment horizontal="left" vertical="top" wrapText="1"/>
    </xf>
    <xf numFmtId="0" fontId="0" fillId="3" borderId="7" xfId="0"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8" borderId="46" xfId="0" applyFont="1" applyFill="1" applyBorder="1" applyAlignment="1">
      <alignment horizontal="center"/>
    </xf>
    <xf numFmtId="0" fontId="12" fillId="8" borderId="48" xfId="0" applyFont="1" applyFill="1" applyBorder="1" applyAlignment="1">
      <alignment horizontal="center"/>
    </xf>
    <xf numFmtId="0" fontId="4" fillId="12"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5" borderId="0" xfId="0" applyFont="1" applyFill="1" applyAlignment="1">
      <alignment horizontal="center"/>
    </xf>
    <xf numFmtId="0" fontId="35" fillId="0" borderId="7" xfId="0" applyFont="1" applyBorder="1" applyAlignment="1">
      <alignment horizontal="center"/>
    </xf>
    <xf numFmtId="0" fontId="35" fillId="0" borderId="0" xfId="0" applyFont="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2" fillId="0" borderId="7" xfId="0" applyFont="1" applyBorder="1" applyAlignment="1">
      <alignment horizontal="left" vertical="top" wrapText="1"/>
    </xf>
    <xf numFmtId="0" fontId="4" fillId="12" borderId="83" xfId="0" applyFont="1" applyFill="1" applyBorder="1" applyAlignment="1">
      <alignment horizontal="right"/>
    </xf>
    <xf numFmtId="0" fontId="4" fillId="12" borderId="82" xfId="0" applyFont="1" applyFill="1" applyBorder="1" applyAlignment="1">
      <alignment horizontal="right"/>
    </xf>
    <xf numFmtId="0" fontId="4" fillId="12" borderId="0" xfId="0" applyFont="1" applyFill="1" applyBorder="1" applyAlignment="1">
      <alignment horizontal="center"/>
    </xf>
    <xf numFmtId="0" fontId="4" fillId="12" borderId="69" xfId="0" applyFont="1" applyFill="1" applyBorder="1" applyAlignment="1">
      <alignment horizontal="right"/>
    </xf>
    <xf numFmtId="0" fontId="4" fillId="12" borderId="68" xfId="0" applyFont="1" applyFill="1" applyBorder="1" applyAlignment="1">
      <alignment horizontal="right"/>
    </xf>
    <xf numFmtId="0" fontId="42" fillId="0" borderId="0" xfId="0" applyFont="1" applyAlignment="1">
      <alignment horizontal="center" vertical="top" wrapText="1"/>
    </xf>
    <xf numFmtId="0" fontId="4" fillId="12" borderId="83" xfId="0" applyFont="1" applyFill="1" applyBorder="1" applyAlignment="1">
      <alignment horizontal="center"/>
    </xf>
    <xf numFmtId="0" fontId="4" fillId="12" borderId="82" xfId="0" applyFont="1" applyFill="1" applyBorder="1" applyAlignment="1">
      <alignment horizontal="center"/>
    </xf>
    <xf numFmtId="0" fontId="4" fillId="12" borderId="84" xfId="0" applyFont="1" applyFill="1" applyBorder="1" applyAlignment="1">
      <alignment horizontal="center"/>
    </xf>
    <xf numFmtId="0" fontId="39" fillId="17" borderId="2" xfId="0" applyFont="1" applyFill="1" applyBorder="1" applyAlignment="1">
      <alignment horizontal="center"/>
    </xf>
    <xf numFmtId="0" fontId="39" fillId="17" borderId="7" xfId="0" applyFont="1" applyFill="1" applyBorder="1" applyAlignment="1">
      <alignment horizontal="center"/>
    </xf>
    <xf numFmtId="0" fontId="39" fillId="17" borderId="8" xfId="0" applyFont="1" applyFill="1" applyBorder="1" applyAlignment="1">
      <alignment horizontal="center"/>
    </xf>
    <xf numFmtId="0" fontId="40" fillId="8" borderId="46" xfId="0" applyFont="1" applyFill="1" applyBorder="1" applyAlignment="1">
      <alignment horizontal="center"/>
    </xf>
    <xf numFmtId="0" fontId="4" fillId="8" borderId="69" xfId="0" applyFont="1" applyFill="1" applyBorder="1" applyAlignment="1">
      <alignment horizontal="center"/>
    </xf>
    <xf numFmtId="0" fontId="4" fillId="8" borderId="68" xfId="0" applyFont="1" applyFill="1" applyBorder="1" applyAlignment="1">
      <alignment horizontal="center"/>
    </xf>
    <xf numFmtId="0" fontId="4" fillId="8" borderId="62" xfId="0" applyFont="1" applyFill="1" applyBorder="1" applyAlignment="1">
      <alignment horizontal="center"/>
    </xf>
    <xf numFmtId="0" fontId="40" fillId="3" borderId="0" xfId="0" applyFont="1" applyFill="1" applyAlignment="1">
      <alignment horizontal="center"/>
    </xf>
    <xf numFmtId="0" fontId="42" fillId="0" borderId="0" xfId="0" applyFont="1" applyAlignment="1">
      <alignment horizontal="left" vertical="top" wrapText="1"/>
    </xf>
    <xf numFmtId="0" fontId="40" fillId="12" borderId="4" xfId="0" applyFont="1" applyFill="1" applyBorder="1" applyAlignment="1">
      <alignment horizontal="center"/>
    </xf>
    <xf numFmtId="0" fontId="40" fillId="12" borderId="69" xfId="0" applyFont="1" applyFill="1" applyBorder="1" applyAlignment="1">
      <alignment horizontal="center"/>
    </xf>
    <xf numFmtId="0" fontId="12" fillId="12" borderId="62" xfId="0" applyFont="1" applyFill="1" applyBorder="1" applyAlignment="1">
      <alignment horizontal="center"/>
    </xf>
    <xf numFmtId="0" fontId="40" fillId="12" borderId="9" xfId="0" applyFont="1" applyFill="1" applyBorder="1" applyAlignment="1">
      <alignment horizontal="center"/>
    </xf>
    <xf numFmtId="0" fontId="40" fillId="12" borderId="10" xfId="0" applyFont="1" applyFill="1" applyBorder="1" applyAlignment="1">
      <alignment horizontal="center"/>
    </xf>
    <xf numFmtId="0" fontId="40" fillId="12" borderId="40" xfId="0" applyFont="1" applyFill="1" applyBorder="1" applyAlignment="1">
      <alignment horizontal="center"/>
    </xf>
    <xf numFmtId="0" fontId="41" fillId="0" borderId="7" xfId="0" applyFont="1" applyBorder="1" applyAlignment="1">
      <alignment horizontal="left" vertical="top" wrapText="1"/>
    </xf>
    <xf numFmtId="0" fontId="40" fillId="12" borderId="45" xfId="0" applyFont="1" applyFill="1" applyBorder="1" applyAlignment="1">
      <alignment horizontal="center"/>
    </xf>
    <xf numFmtId="0" fontId="12" fillId="12" borderId="68" xfId="0" applyFont="1" applyFill="1" applyBorder="1" applyAlignment="1">
      <alignment horizontal="center"/>
    </xf>
    <xf numFmtId="0" fontId="41" fillId="0" borderId="2" xfId="0" applyFont="1" applyBorder="1" applyAlignment="1">
      <alignment horizontal="center"/>
    </xf>
    <xf numFmtId="0" fontId="41" fillId="0" borderId="7" xfId="0" applyFont="1" applyBorder="1" applyAlignment="1">
      <alignment horizontal="center"/>
    </xf>
    <xf numFmtId="0" fontId="41"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49" fillId="0" borderId="61" xfId="0" applyNumberFormat="1" applyFont="1" applyBorder="1" applyAlignment="1">
      <alignment horizontal="center" vertical="top"/>
    </xf>
    <xf numFmtId="1" fontId="49" fillId="0" borderId="0" xfId="0" applyNumberFormat="1" applyFont="1" applyAlignment="1">
      <alignment horizontal="center" vertical="top"/>
    </xf>
    <xf numFmtId="1" fontId="49" fillId="0" borderId="45" xfId="0" applyNumberFormat="1" applyFont="1" applyBorder="1" applyAlignment="1">
      <alignment horizontal="center" vertical="top"/>
    </xf>
    <xf numFmtId="1" fontId="49" fillId="0" borderId="46" xfId="0" applyNumberFormat="1" applyFont="1" applyBorder="1" applyAlignment="1">
      <alignment horizontal="center" vertical="top"/>
    </xf>
    <xf numFmtId="1" fontId="49"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cellXfs>
  <cellStyles count="907">
    <cellStyle name="20% - Accent1 2" xfId="198" xr:uid="{562D296B-B643-423E-BF1D-773AE6A4810A}"/>
    <cellStyle name="20% - Accent2 2" xfId="199" xr:uid="{613211A0-40B5-4C1B-AAFE-4A992A203B7A}"/>
    <cellStyle name="20% - Accent3 2" xfId="200" xr:uid="{5313F3CC-798C-416D-A47A-92FFE5307271}"/>
    <cellStyle name="20% - Accent4 2" xfId="201" xr:uid="{9F3195EB-F68A-4342-84B8-6BACB9647814}"/>
    <cellStyle name="20% - Accent5 2" xfId="202" xr:uid="{C31BCD36-48F4-4767-B335-DB7E61CD364E}"/>
    <cellStyle name="20% - Accent6 2" xfId="203" xr:uid="{E0751364-70BF-4CDC-8911-11538E9416CE}"/>
    <cellStyle name="40% - Accent1 2" xfId="204" xr:uid="{3BF3D6DA-5AC4-4177-94A3-91E561CDC963}"/>
    <cellStyle name="40% - Accent2 2" xfId="205" xr:uid="{54835F5B-19B8-4592-BDCF-3F010250FE2B}"/>
    <cellStyle name="40% - Accent3 2" xfId="206" xr:uid="{5AD0F214-3BE4-496C-A4CC-025ECE1C4104}"/>
    <cellStyle name="40% - Accent4 2" xfId="207" xr:uid="{62D87402-1FDF-4975-87E0-0DD580B9290B}"/>
    <cellStyle name="40% - Accent5 2" xfId="208" xr:uid="{E7C0E32C-BD6C-4A7F-8189-492F90E55301}"/>
    <cellStyle name="40% - Accent6 2" xfId="209" xr:uid="{68D12613-32B8-499A-ABAC-DEF793A50357}"/>
    <cellStyle name="60% - Accent1 2" xfId="210" xr:uid="{83093281-C2F5-4941-94F7-9A4A1F6A8323}"/>
    <cellStyle name="60% - Accent2 2" xfId="211" xr:uid="{D702C4ED-ED24-4378-82BB-59B8545748D9}"/>
    <cellStyle name="60% - Accent3 2" xfId="212" xr:uid="{484515D9-9EB3-483D-B4A6-F1A315A5D227}"/>
    <cellStyle name="60% - Accent4 2" xfId="213" xr:uid="{EA797A1C-7011-451F-B352-E1D5308E4DA2}"/>
    <cellStyle name="60% - Accent5 2" xfId="214" xr:uid="{A872905D-BF04-43E9-9B82-F85A5E2BE8E9}"/>
    <cellStyle name="60% - Accent6 2" xfId="215" xr:uid="{3CD1AFE1-F111-4EAE-8CA2-C786894DCC63}"/>
    <cellStyle name="Accent1 2" xfId="216" xr:uid="{918C2A2E-766E-4220-8155-D23FA7924F39}"/>
    <cellStyle name="Accent2 2" xfId="217" xr:uid="{CDB276A1-C9DB-4A8C-8544-75F56246A8A9}"/>
    <cellStyle name="Accent3 2" xfId="218" xr:uid="{C4C3C100-72CF-4D56-AA10-54CB3CF2B552}"/>
    <cellStyle name="Accent4 2" xfId="219" xr:uid="{032E7619-199C-4E58-B093-9BF72BDB5E3C}"/>
    <cellStyle name="Accent5 2" xfId="220" xr:uid="{DDC30CF1-A5BA-487F-82A9-85DBD484C199}"/>
    <cellStyle name="Accent6 2" xfId="221" xr:uid="{0D16E996-A663-4A99-AE39-A4EEE0A7BB3F}"/>
    <cellStyle name="Bad 2" xfId="222" xr:uid="{CFC9D6DD-5F17-4EB9-80B0-E6B9F2CE7F82}"/>
    <cellStyle name="Calculation 2" xfId="223" xr:uid="{82E652D5-3ECF-4D5A-BD74-939D0BD7585F}"/>
    <cellStyle name="Check Cell 2" xfId="224" xr:uid="{0E9CCC09-439A-48BB-94EF-54964EA696B5}"/>
    <cellStyle name="Comma 2" xfId="11" xr:uid="{F7D2C727-48E1-4BB4-87FF-76FE438DB222}"/>
    <cellStyle name="Comma 2 2" xfId="19" xr:uid="{10C01B2B-C5A4-4ABC-8394-D6929FAA1F33}"/>
    <cellStyle name="Comma 2 2 2" xfId="519" xr:uid="{1219BE87-2B73-48BA-B1FC-EA20C5F85EFC}"/>
    <cellStyle name="Comma 2 2 3" xfId="531" xr:uid="{748A3E6C-D535-410D-B049-F2B924473FE0}"/>
    <cellStyle name="Comma 2 3" xfId="225" xr:uid="{EC5CFC56-9182-4626-B3C5-97F572239D52}"/>
    <cellStyle name="Comma 2 4" xfId="226" xr:uid="{AAFA97C7-BD52-4A42-9993-8AE87CC63D26}"/>
    <cellStyle name="Comma 2 5" xfId="227" xr:uid="{44325705-4073-478C-AFED-1724E1F97C6F}"/>
    <cellStyle name="Comma 2 6" xfId="228" xr:uid="{F1DB190C-EF80-4AD6-BCD8-752A0F4FC2EE}"/>
    <cellStyle name="Comma 2 7" xfId="510" xr:uid="{8055394F-9BD5-4E15-BC24-7223B5B7E4B5}"/>
    <cellStyle name="Comma 2 8" xfId="527" xr:uid="{ADFD1773-2F21-467F-A46A-8F8B61CD1AE6}"/>
    <cellStyle name="Comma 2 8 2" xfId="902" xr:uid="{3177EAF5-D389-4E9F-A97F-44A29430F77C}"/>
    <cellStyle name="Comma 2 9" xfId="532" xr:uid="{D493A850-6C24-4133-877D-13C21CE4138F}"/>
    <cellStyle name="Comma 3" xfId="20" xr:uid="{F01DD086-A76F-47A5-824A-8E29D46376C6}"/>
    <cellStyle name="Comma 3 2" xfId="543" xr:uid="{60E40EF2-46C5-4DAF-B68F-71D59D914BEA}"/>
    <cellStyle name="Comma 3 2 2" xfId="903" xr:uid="{29D6688E-2732-4141-8DA7-68EA96F6DCD3}"/>
    <cellStyle name="Comma 3 3" xfId="514" xr:uid="{5D10AB06-24E0-4A6B-ABE1-B18B007ED7B5}"/>
    <cellStyle name="Comma 4" xfId="229" xr:uid="{0111FE30-726E-4731-BA18-62729100D8FD}"/>
    <cellStyle name="Comma 4 2" xfId="524" xr:uid="{A2F84748-780B-4285-A918-332095855D3B}"/>
    <cellStyle name="Comma 4 3" xfId="537" xr:uid="{954F5905-A820-4BD1-A40C-9E8597E08C21}"/>
    <cellStyle name="Comma 5" xfId="513" xr:uid="{7FC05933-69C2-4270-B7C0-C134EC1C2A71}"/>
    <cellStyle name="Comma 6" xfId="906" xr:uid="{E5CDAA04-97F1-4F62-B18A-FAFBE1E2ED55}"/>
    <cellStyle name="Comma 9" xfId="230" xr:uid="{D9654472-9970-4B1B-A55A-F0F6CB3C7871}"/>
    <cellStyle name="Comma0" xfId="231" xr:uid="{00576007-2B8C-4075-951B-7620092AE2D2}"/>
    <cellStyle name="Currency 2" xfId="232" xr:uid="{198E9DAB-0CA4-4E75-8093-AB5EAB19FFA3}"/>
    <cellStyle name="Currency 3" xfId="233" xr:uid="{AF79CA40-A15E-4387-8254-DD3952237A6B}"/>
    <cellStyle name="Currency0" xfId="507" xr:uid="{9D4CA72C-7AA0-4C0B-A677-0377B34FF357}"/>
    <cellStyle name="Explanatory Text 2" xfId="234" xr:uid="{A5730694-ED47-4898-82F9-A16277544791}"/>
    <cellStyle name="Good 2" xfId="235" xr:uid="{A67F034F-5FEA-4552-98E3-960C2D109A8C}"/>
    <cellStyle name="Heading 1 2" xfId="236" xr:uid="{99C3C96C-B00E-457D-A387-934755873117}"/>
    <cellStyle name="Heading 2 2" xfId="237" xr:uid="{973A45EF-0232-446E-A0E3-F0DBBC348B88}"/>
    <cellStyle name="Heading 3 2" xfId="238" xr:uid="{D81C76D3-0867-43E3-9EF2-6135E6EF2661}"/>
    <cellStyle name="Heading 4 2" xfId="239" xr:uid="{97BC9160-87A8-4D3C-B7DF-89E7FD42D64B}"/>
    <cellStyle name="Hyperlink 16" xfId="538" xr:uid="{BC081637-9A7B-42E2-ADC0-2FCC6A8417DD}"/>
    <cellStyle name="Hyperlink 2" xfId="21" xr:uid="{C8B422E6-8057-4A8A-9384-9F3FEE4C0117}"/>
    <cellStyle name="Hyperlink 2 2" xfId="540" xr:uid="{56C7C9AF-906F-4C09-8B2D-4E9951962494}"/>
    <cellStyle name="Hyperlink 2 2 2" xfId="900" xr:uid="{4F0C8141-C19D-48DD-98FC-FC999B39FFA3}"/>
    <cellStyle name="Hyperlink 2 3" xfId="523" xr:uid="{2309DD2F-931B-4D4C-A9FA-FE05747A353D}"/>
    <cellStyle name="Hyperlink 3" xfId="23" xr:uid="{C342AF83-6CF8-4E59-A0A4-CFF063E07F44}"/>
    <cellStyle name="Hyperlink 3 2" xfId="521" xr:uid="{B2299FF3-AADC-41E1-BBE9-337448B6CB31}"/>
    <cellStyle name="Hyperlink 3 3" xfId="529" xr:uid="{48D031B5-FD32-40DA-8FDB-24D5B9DAB213}"/>
    <cellStyle name="Hyperlink 3 4" xfId="545" xr:uid="{656C7B1A-123D-44E1-8F1C-309C33371500}"/>
    <cellStyle name="Hyperlink 3 5" xfId="518" xr:uid="{F88E3531-165C-45E4-967A-A68F90C7EBBE}"/>
    <cellStyle name="Hyperlink 4" xfId="28" xr:uid="{9D0B5D14-C448-4B6F-A9B0-4BD0298B656F}"/>
    <cellStyle name="Hyperlink 5" xfId="320" xr:uid="{03F9196F-F059-47D7-85C0-76B4ADB2DAFF}"/>
    <cellStyle name="Hyperlink 6" xfId="6" xr:uid="{7C45BAE8-ADD7-45ED-91CA-6001D1980AC4}"/>
    <cellStyle name="Hyperlink 6 2" xfId="504" xr:uid="{F3D808EC-6E09-4B7F-9982-729995A95ACE}"/>
    <cellStyle name="Hyperlink 7" xfId="5" xr:uid="{09DCEA22-44BB-47EA-8A47-F40A4248C9CA}"/>
    <cellStyle name="Input 2" xfId="240" xr:uid="{D9C9E8A2-9EF4-48EB-9B39-97CA522296BD}"/>
    <cellStyle name="Linked Cell 2" xfId="241" xr:uid="{13C98E11-19A6-4048-A300-C9251762BB26}"/>
    <cellStyle name="Neutral 2" xfId="242" xr:uid="{F8B35000-90FF-4606-9DED-8338496E9424}"/>
    <cellStyle name="Normal" xfId="0" builtinId="0"/>
    <cellStyle name="Normal 10" xfId="26" xr:uid="{1AC3E474-5B09-43BF-8693-7EB71845800D}"/>
    <cellStyle name="Normal 10 2" xfId="322" xr:uid="{471A960E-D877-4DA1-95A4-50D8C3A84681}"/>
    <cellStyle name="Normal 10 2 2" xfId="723" xr:uid="{A485880F-149B-4ABC-9BE6-CE879B6E7257}"/>
    <cellStyle name="Normal 10 3" xfId="547" xr:uid="{8B641FC4-A7F4-4E7A-85C7-1FE956885F55}"/>
    <cellStyle name="Normal 11" xfId="243" xr:uid="{6CA48972-7253-4C75-9F32-2EBB73BFA53B}"/>
    <cellStyle name="Normal 11 2" xfId="244" xr:uid="{A4AB6600-6885-4001-8320-A1148D4AC406}"/>
    <cellStyle name="Normal 11 2 2" xfId="710" xr:uid="{721D3E0B-2118-43C8-9610-5702D8ACFDC5}"/>
    <cellStyle name="Normal 11 3" xfId="245" xr:uid="{927F29EF-3343-4E35-A337-52F6CE914D2A}"/>
    <cellStyle name="Normal 11 3 2" xfId="711" xr:uid="{D0C2D78D-B4AD-4459-BE54-491E931E6CB4}"/>
    <cellStyle name="Normal 11 4" xfId="246" xr:uid="{353CE1FE-1CB4-4CFE-A3BA-0FFBB3BB8ABA}"/>
    <cellStyle name="Normal 11 4 2" xfId="712" xr:uid="{D248B281-E237-49CA-8A5A-25874F9AA2C9}"/>
    <cellStyle name="Normal 110" xfId="533" xr:uid="{2468416F-076E-42F3-88CF-124870BCBE1A}"/>
    <cellStyle name="Normal 110 2" xfId="536" xr:uid="{34086630-1778-444E-AC8A-5C0D43C91BF6}"/>
    <cellStyle name="Normal 110 3" xfId="899" xr:uid="{8F15188E-DAF9-4F37-AF33-869587390D77}"/>
    <cellStyle name="Normal 12" xfId="247" xr:uid="{A07CC4E4-484C-4A04-8AB7-D7FE104D98FD}"/>
    <cellStyle name="Normal 12 2" xfId="248" xr:uid="{6E16A277-4578-4558-BFDC-6F668E64E333}"/>
    <cellStyle name="Normal 12 2 2" xfId="713" xr:uid="{C012AB6A-70B3-40D8-A9A7-71B2D4059672}"/>
    <cellStyle name="Normal 12 3" xfId="249" xr:uid="{165C39D3-A829-45A9-BDD0-C0CAFF6428E1}"/>
    <cellStyle name="Normal 12 3 2" xfId="714" xr:uid="{B3E72379-B7C3-47AB-BF43-1F569C444AC7}"/>
    <cellStyle name="Normal 12 4" xfId="250" xr:uid="{C67DC553-A9A2-4EEE-BA10-8E93EFF99366}"/>
    <cellStyle name="Normal 12 4 2" xfId="715" xr:uid="{88244847-0A46-41D5-896B-5B7EAAB47EF8}"/>
    <cellStyle name="Normal 13" xfId="251" xr:uid="{C730479A-86AA-43B2-A599-FF5BA29C842A}"/>
    <cellStyle name="Normal 13 2" xfId="252" xr:uid="{D0FA11A3-94BB-4D4B-9B93-2681161953A1}"/>
    <cellStyle name="Normal 13 2 2" xfId="716" xr:uid="{23DEDB75-FEC6-4A53-B336-1E6B91E77041}"/>
    <cellStyle name="Normal 13 3" xfId="253" xr:uid="{34FB6DB2-7035-42F3-9208-1808BC42EFCA}"/>
    <cellStyle name="Normal 13 3 2" xfId="717" xr:uid="{6B1C7383-BBDF-4173-B643-DD6251FCB38C}"/>
    <cellStyle name="Normal 13 4" xfId="254" xr:uid="{E6714CD6-92DA-4764-B782-25108B2F2D12}"/>
    <cellStyle name="Normal 13 4 2" xfId="718" xr:uid="{E6E39AA6-589F-44BD-8D1E-68D90B038C17}"/>
    <cellStyle name="Normal 14" xfId="2" xr:uid="{AC7C809A-36F6-4EC5-ADEA-52D6F64CE4C9}"/>
    <cellStyle name="Normal 14 2" xfId="256" xr:uid="{59214276-8452-4D41-9205-A300C295C794}"/>
    <cellStyle name="Normal 14 3" xfId="255" xr:uid="{10328AFE-5EB4-478F-AAB6-6A2A0E1A9257}"/>
    <cellStyle name="Normal 15" xfId="257" xr:uid="{6D7BE5C1-C9F2-44DA-8CBB-4A4EFB512211}"/>
    <cellStyle name="Normal 16" xfId="258" xr:uid="{962A8442-2A08-4CC3-8466-C624DBBAF762}"/>
    <cellStyle name="Normal 17" xfId="259" xr:uid="{7D3475C7-7232-450C-8B04-6B4C603EF434}"/>
    <cellStyle name="Normal 18" xfId="260" xr:uid="{03B61F4B-299A-4FA1-8E8D-B37F577F914E}"/>
    <cellStyle name="Normal 19" xfId="509" xr:uid="{B429432A-8383-4C5D-8C87-446515994DED}"/>
    <cellStyle name="Normal 2" xfId="3" xr:uid="{56AA82AA-B40A-4DCD-8F06-7FFF420B1C43}"/>
    <cellStyle name="Normal 2 10" xfId="29" xr:uid="{78536A8D-784A-4E7B-8E27-21D2E3530846}"/>
    <cellStyle name="Normal 2 10 2" xfId="323" xr:uid="{24A44A35-6E0E-4D32-9EF2-F0A3F7F2450C}"/>
    <cellStyle name="Normal 2 10 2 2" xfId="724" xr:uid="{3F49FE87-958E-48E7-BC30-8C48D8BDC63D}"/>
    <cellStyle name="Normal 2 10 3" xfId="548" xr:uid="{506A9B4A-DBC4-4C4A-B48F-EBF7D26D2791}"/>
    <cellStyle name="Normal 2 11" xfId="30" xr:uid="{C25FCEE3-B1E6-4568-81CC-BC98B170C803}"/>
    <cellStyle name="Normal 2 11 2" xfId="324" xr:uid="{34C17402-057B-4B0B-8FD6-5AF40DE45C24}"/>
    <cellStyle name="Normal 2 11 2 2" xfId="725" xr:uid="{E5AB0B46-F850-497A-A2A2-F7C97E96A1B5}"/>
    <cellStyle name="Normal 2 11 3" xfId="549" xr:uid="{31BF9262-9E07-43AC-A43E-867699431581}"/>
    <cellStyle name="Normal 2 12" xfId="261" xr:uid="{3F1898BC-FDE0-4F25-AC5D-EFB4363A2933}"/>
    <cellStyle name="Normal 2 13" xfId="262" xr:uid="{9B2B15E9-9FC2-4C99-9F80-35B5441ED38B}"/>
    <cellStyle name="Normal 2 14" xfId="263" xr:uid="{6A739169-0FE9-4B74-967C-51461460D430}"/>
    <cellStyle name="Normal 2 15" xfId="264" xr:uid="{62B40B5E-4A63-4A1A-8156-8BA5DF76206E}"/>
    <cellStyle name="Normal 2 16" xfId="265" xr:uid="{871E802E-BCF5-4E81-AC09-852B05D34C0B}"/>
    <cellStyle name="Normal 2 17" xfId="266" xr:uid="{9A8ECE18-4CDD-414F-B858-4D7A19D5681B}"/>
    <cellStyle name="Normal 2 18" xfId="267" xr:uid="{95AEB257-ACFB-4929-9981-8608B0D3306C}"/>
    <cellStyle name="Normal 2 19" xfId="268" xr:uid="{6611515B-9E2E-42D1-9F45-ED7F028B5045}"/>
    <cellStyle name="Normal 2 2" xfId="15" xr:uid="{F0425BA1-9C5B-4FE3-A2B6-E70F1C809116}"/>
    <cellStyle name="Normal 2 2 10" xfId="325" xr:uid="{482DE65D-18E1-4AF5-B6FB-779B69B9D043}"/>
    <cellStyle name="Normal 2 2 10 2" xfId="726" xr:uid="{C6E3AFC5-6375-4100-A620-C76FCA68C9FD}"/>
    <cellStyle name="Normal 2 2 2" xfId="31" xr:uid="{CAFC8C20-CA87-440E-A780-E8755467BC63}"/>
    <cellStyle name="Normal 2 2 2 2" xfId="32" xr:uid="{57E516F4-CA8B-4FDC-A2D5-B6A246ED42DB}"/>
    <cellStyle name="Normal 2 2 2 2 2" xfId="326" xr:uid="{66C87796-D98E-4D36-8BD6-AC95158F7582}"/>
    <cellStyle name="Normal 2 2 2 2 2 2" xfId="727" xr:uid="{EAA01800-C445-42D7-A36F-4E4D025CE94F}"/>
    <cellStyle name="Normal 2 2 2 2 3" xfId="551" xr:uid="{1D17678A-9F38-4217-9370-5A41245555A5}"/>
    <cellStyle name="Normal 2 2 2 3" xfId="33" xr:uid="{ED344D3D-454F-473D-A086-8771D5EC76E8}"/>
    <cellStyle name="Normal 2 2 2 3 2" xfId="327" xr:uid="{64517553-4FD3-411C-B594-3C3B8DC29B82}"/>
    <cellStyle name="Normal 2 2 2 3 2 2" xfId="728" xr:uid="{E4BE4255-9018-43D0-AA23-3C53297D25AA}"/>
    <cellStyle name="Normal 2 2 2 3 3" xfId="552" xr:uid="{E4AF7E34-9845-41DC-A323-3094802D6BF4}"/>
    <cellStyle name="Normal 2 2 2 4" xfId="328" xr:uid="{20986D68-C444-4ED9-81A0-13FDB7392710}"/>
    <cellStyle name="Normal 2 2 2 4 2" xfId="729" xr:uid="{BDBCE1D4-AD7A-4126-BAB2-EB7E9860EE5E}"/>
    <cellStyle name="Normal 2 2 2 5" xfId="550" xr:uid="{01A6FCB6-B043-4FD4-9D61-299DB6B8F448}"/>
    <cellStyle name="Normal 2 2 3" xfId="34" xr:uid="{467FFA4D-2EEA-4B53-95C8-85B3DB5B46C5}"/>
    <cellStyle name="Normal 2 2 3 2" xfId="35" xr:uid="{E408774D-B87A-4EB5-AF94-DDC7EAA59F54}"/>
    <cellStyle name="Normal 2 2 3 2 2" xfId="329" xr:uid="{88008675-8618-4EF5-A5CA-48B1900A9B45}"/>
    <cellStyle name="Normal 2 2 3 2 2 2" xfId="730" xr:uid="{5B94A287-6E13-4C65-A9AC-93BACDA42C09}"/>
    <cellStyle name="Normal 2 2 3 2 3" xfId="554" xr:uid="{7B6F3A9D-D613-43CF-80F4-972B92837B17}"/>
    <cellStyle name="Normal 2 2 3 3" xfId="330" xr:uid="{CAC8CAD5-79FE-4DBE-9922-A59B10BBE3D4}"/>
    <cellStyle name="Normal 2 2 3 3 2" xfId="731" xr:uid="{7F0B84D0-70C1-405C-B761-9D9EF7C5048B}"/>
    <cellStyle name="Normal 2 2 3 4" xfId="553" xr:uid="{71856460-A217-4341-8F14-EEA5141B96E7}"/>
    <cellStyle name="Normal 2 2 4" xfId="36" xr:uid="{45DEFBB5-3866-47C6-A78C-B8D8BB0ED78C}"/>
    <cellStyle name="Normal 2 2 4 2" xfId="37" xr:uid="{91283CB8-7B25-43E5-A29D-3877D3313770}"/>
    <cellStyle name="Normal 2 2 4 2 2" xfId="331" xr:uid="{E6329D4F-DAAF-47EC-9341-87C231AE0B2A}"/>
    <cellStyle name="Normal 2 2 4 2 2 2" xfId="732" xr:uid="{F5B8D762-F4C7-4597-B50B-B155B1EBDBBF}"/>
    <cellStyle name="Normal 2 2 4 2 3" xfId="556" xr:uid="{FBA7B301-5F8E-4626-8ECB-DA4B428DDF40}"/>
    <cellStyle name="Normal 2 2 4 3" xfId="332" xr:uid="{01328491-E9C2-4DBC-B2D7-AA0B38DA6BAA}"/>
    <cellStyle name="Normal 2 2 4 3 2" xfId="733" xr:uid="{39593B8D-4CBA-4E1B-B2B4-BC513F22A6FC}"/>
    <cellStyle name="Normal 2 2 4 4" xfId="555" xr:uid="{7374B3EC-07FB-435C-ACF9-01BF60D908E4}"/>
    <cellStyle name="Normal 2 2 5" xfId="38" xr:uid="{858FE128-78EA-4111-AD04-043C305046E8}"/>
    <cellStyle name="Normal 2 2 5 2" xfId="39" xr:uid="{49466412-A27A-4FD7-A37E-06680465E83A}"/>
    <cellStyle name="Normal 2 2 5 2 2" xfId="333" xr:uid="{46950498-E7B5-4D0A-BCE5-C283002E4EC3}"/>
    <cellStyle name="Normal 2 2 5 2 2 2" xfId="734" xr:uid="{E0353076-A4F2-4E48-83DE-1FB023717731}"/>
    <cellStyle name="Normal 2 2 5 2 3" xfId="558" xr:uid="{2CCA20D7-6504-412D-81FA-1C8797ED2430}"/>
    <cellStyle name="Normal 2 2 5 3" xfId="334" xr:uid="{5DE6DFC7-2666-43A5-835E-AB6E63227C0C}"/>
    <cellStyle name="Normal 2 2 5 3 2" xfId="735" xr:uid="{6486ECD0-B9B6-464B-90EA-D667C0C51D92}"/>
    <cellStyle name="Normal 2 2 5 4" xfId="557" xr:uid="{85852C0B-DC67-4806-833B-432F6D41C64F}"/>
    <cellStyle name="Normal 2 2 6" xfId="40" xr:uid="{695B718B-589F-4666-BF7A-894DA2AA5CA9}"/>
    <cellStyle name="Normal 2 2 6 2" xfId="335" xr:uid="{32081471-C24A-4C0D-BF2D-58A5A430812A}"/>
    <cellStyle name="Normal 2 2 6 2 2" xfId="736" xr:uid="{B4EE3200-3E21-4F50-AB71-8A1BAD0D387A}"/>
    <cellStyle name="Normal 2 2 6 3" xfId="559" xr:uid="{941F393B-724D-4172-8482-07A065F5AA01}"/>
    <cellStyle name="Normal 2 2 7" xfId="41" xr:uid="{900A70ED-A2E3-4024-8D35-DA9B46798C81}"/>
    <cellStyle name="Normal 2 2 7 2" xfId="336" xr:uid="{A6EB641E-D424-48BB-89F7-42BC52F06AC6}"/>
    <cellStyle name="Normal 2 2 7 2 2" xfId="737" xr:uid="{267600C7-6D06-42E8-B1E2-679A4ADEB3AF}"/>
    <cellStyle name="Normal 2 2 7 3" xfId="560" xr:uid="{7277B557-6EB7-4069-8FAE-4B8B217C93E1}"/>
    <cellStyle name="Normal 2 2 8" xfId="42" xr:uid="{019B2D77-4483-477B-8BFF-B95D541C3507}"/>
    <cellStyle name="Normal 2 2 8 2" xfId="337" xr:uid="{D8B43A2C-4D86-4747-8622-4BD857D4B9BE}"/>
    <cellStyle name="Normal 2 2 8 2 2" xfId="738" xr:uid="{6D58C634-9ED5-4EDC-83C1-0436F44D5965}"/>
    <cellStyle name="Normal 2 2 8 3" xfId="561" xr:uid="{6C23322F-682B-4A65-90D1-D37B0CC8B34B}"/>
    <cellStyle name="Normal 2 2 9" xfId="338" xr:uid="{BA4895E9-1D6A-4234-A55D-6F6F3D4D5EB5}"/>
    <cellStyle name="Normal 2 20" xfId="269" xr:uid="{46D6F198-00EA-490F-AF22-37F0B9D358B6}"/>
    <cellStyle name="Normal 2 21" xfId="270" xr:uid="{D7F59EDA-6A09-4550-9A55-34E057877B24}"/>
    <cellStyle name="Normal 2 22" xfId="271" xr:uid="{9914B162-C3BF-400F-A094-1119C4613A95}"/>
    <cellStyle name="Normal 2 23" xfId="272" xr:uid="{7F245FE1-9A20-48E5-97A8-FFF4F4135C87}"/>
    <cellStyle name="Normal 2 24" xfId="321" xr:uid="{A37604CE-7341-4F90-B1B4-990F54FEC098}"/>
    <cellStyle name="Normal 2 25" xfId="508" xr:uid="{EDC9BBEA-9B96-4234-B36D-8B17E9A23E19}"/>
    <cellStyle name="Normal 2 26" xfId="12" xr:uid="{37376F02-1A45-4EA2-82BE-ED03970A37FF}"/>
    <cellStyle name="Normal 2 3" xfId="7" xr:uid="{9024EA29-D150-41D9-B8AB-F9230CF9C289}"/>
    <cellStyle name="Normal 2 3 11" xfId="539" xr:uid="{C5AFA537-2A91-4AB3-B499-07910260BBF8}"/>
    <cellStyle name="Normal 2 3 2" xfId="8" xr:uid="{A41D946D-2303-4D32-800A-3F76B19A1F88}"/>
    <cellStyle name="Normal 2 3 2 2" xfId="43" xr:uid="{767F44C7-7167-4982-BF87-ABF5E72FD899}"/>
    <cellStyle name="Normal 2 3 2 2 2" xfId="339" xr:uid="{D35BCD03-D2A6-4560-8CCC-79113AEB07CB}"/>
    <cellStyle name="Normal 2 3 2 2 2 2" xfId="739" xr:uid="{71109824-6855-463A-A4C3-5849A263241C}"/>
    <cellStyle name="Normal 2 3 2 2 3" xfId="562" xr:uid="{4C007165-B4D1-473C-93C8-9EFFDF72B8E5}"/>
    <cellStyle name="Normal 2 3 2 3" xfId="44" xr:uid="{B21FD71F-F3C5-4335-9C3D-2CDF3905D410}"/>
    <cellStyle name="Normal 2 3 2 3 2" xfId="340" xr:uid="{0A7C39CF-53DE-47C2-8049-F3DD85D5284D}"/>
    <cellStyle name="Normal 2 3 2 3 2 2" xfId="740" xr:uid="{9EA42410-8107-4109-B18C-C6EF46691A30}"/>
    <cellStyle name="Normal 2 3 2 3 3" xfId="563" xr:uid="{EDEFD4A1-166C-4C5E-AB6A-87AE32E40D04}"/>
    <cellStyle name="Normal 2 3 2 4" xfId="341" xr:uid="{3A766015-201D-48E6-B0D4-6AEF5A5AD6F4}"/>
    <cellStyle name="Normal 2 3 2 5" xfId="517" xr:uid="{973C1E2C-9BFB-40B9-B684-F3A30A188DA5}"/>
    <cellStyle name="Normal 2 3 2 6" xfId="526" xr:uid="{073E61A6-9E29-4C52-8186-9C47C752D4B4}"/>
    <cellStyle name="Normal 2 3 3" xfId="45" xr:uid="{FBCA50FC-EF15-41AB-895B-4C95985963F2}"/>
    <cellStyle name="Normal 2 3 4" xfId="46" xr:uid="{DA82BF05-74C9-4B15-BF54-51329E6DD59E}"/>
    <cellStyle name="Normal 2 3 4 2" xfId="342" xr:uid="{7DC98433-9E67-4549-8E8C-DE098D4C5AF9}"/>
    <cellStyle name="Normal 2 3 4 2 2" xfId="741" xr:uid="{58852946-C9D6-4302-8D05-F8FCCE992A48}"/>
    <cellStyle name="Normal 2 3 4 3" xfId="564" xr:uid="{02D67C4F-229E-4B41-B23B-E6288AB15DBF}"/>
    <cellStyle name="Normal 2 3 5" xfId="47" xr:uid="{6BF544FC-0B9A-4826-9BBF-4C4A413EA662}"/>
    <cellStyle name="Normal 2 3 5 2" xfId="343" xr:uid="{13D5C13E-A17E-4A06-8037-F7C9BB72F106}"/>
    <cellStyle name="Normal 2 3 5 2 2" xfId="742" xr:uid="{24C5EE74-2AEB-4A50-A7E4-7A37BD89B354}"/>
    <cellStyle name="Normal 2 3 5 3" xfId="565" xr:uid="{9D0C39E4-D230-431D-88C8-46513C7DFAF0}"/>
    <cellStyle name="Normal 2 3 6" xfId="344" xr:uid="{6BC5B3E4-5306-4FD9-8988-0F8746782324}"/>
    <cellStyle name="Normal 2 3 6 2" xfId="743" xr:uid="{8F718A37-1EBB-442D-8FC9-C7BB40D792F6}"/>
    <cellStyle name="Normal 2 3 7" xfId="17" xr:uid="{94B289BA-E462-49FF-A6F5-6598EA5A22B2}"/>
    <cellStyle name="Normal 2 3 8" xfId="535" xr:uid="{66B179D3-C5D7-42C5-8DFE-6F9DE3CCBA40}"/>
    <cellStyle name="Normal 2 4" xfId="48" xr:uid="{64FF905D-3E12-4469-88C5-74760384D98B}"/>
    <cellStyle name="Normal 2 4 2" xfId="49" xr:uid="{448BF2E0-2E87-4919-B759-B1519E72680A}"/>
    <cellStyle name="Normal 2 4 2 2" xfId="345" xr:uid="{069BB604-1511-42E2-9FC4-C937975E09B8}"/>
    <cellStyle name="Normal 2 4 2 2 2" xfId="744" xr:uid="{83D3E3A1-F602-48BC-966B-A5CDC003E43A}"/>
    <cellStyle name="Normal 2 4 2 3" xfId="566" xr:uid="{22D490AF-65CB-406A-B9E8-B4BF8E3486FC}"/>
    <cellStyle name="Normal 2 4 3" xfId="522" xr:uid="{957476E2-85D9-488E-BA74-98F0633F70C8}"/>
    <cellStyle name="Normal 2 4 3 2" xfId="901" xr:uid="{D29B60B8-F225-4320-BD28-89B8D64B5915}"/>
    <cellStyle name="Normal 2 4 4" xfId="515" xr:uid="{DCED152D-0A04-4D0A-AFF1-D1677F1AC2AD}"/>
    <cellStyle name="Normal 2 5" xfId="50" xr:uid="{823CF78D-4407-468A-99C9-7F5420D72F37}"/>
    <cellStyle name="Normal 2 5 2" xfId="51" xr:uid="{7D41AD14-76B7-4293-8DB2-DFB116C202B6}"/>
    <cellStyle name="Normal 2 5 2 2" xfId="346" xr:uid="{8EF998E8-5E92-4104-8A7F-D70064DF56F1}"/>
    <cellStyle name="Normal 2 5 2 2 2" xfId="745" xr:uid="{109936ED-2DB8-4938-A8DE-DC8541BC6B8B}"/>
    <cellStyle name="Normal 2 5 2 3" xfId="568" xr:uid="{290EC1E5-A34C-459D-A56E-F7767FF22F08}"/>
    <cellStyle name="Normal 2 5 3" xfId="347" xr:uid="{5C85E893-3E37-442C-B93E-831DCF7B7684}"/>
    <cellStyle name="Normal 2 5 3 2" xfId="746" xr:uid="{EE4D4048-2EAA-46D5-B303-C9B43A4AEE63}"/>
    <cellStyle name="Normal 2 5 4" xfId="567" xr:uid="{27CFC5AB-5DDC-4505-B9EA-03CAC3D93359}"/>
    <cellStyle name="Normal 2 6" xfId="52" xr:uid="{6B7179BB-D9CC-480F-939A-3A0602FE932E}"/>
    <cellStyle name="Normal 2 6 2" xfId="53" xr:uid="{CF9B39E3-9D12-414A-A1A7-B70B8C34D2BC}"/>
    <cellStyle name="Normal 2 6 2 2" xfId="348" xr:uid="{5D9B6290-4178-4C17-893C-41B7C30E3ECA}"/>
    <cellStyle name="Normal 2 6 2 2 2" xfId="747" xr:uid="{A5491C65-0A95-42C9-A948-4C66B14D6DA2}"/>
    <cellStyle name="Normal 2 6 2 3" xfId="570" xr:uid="{E4A5B045-6D8A-43AF-ADC9-2834D6F52F35}"/>
    <cellStyle name="Normal 2 6 3" xfId="349" xr:uid="{27927EB1-BCD4-48C8-9E1F-7DBF9B7111E8}"/>
    <cellStyle name="Normal 2 6 3 2" xfId="748" xr:uid="{AA779F81-DAD5-4D08-B8A8-AC528C5637B7}"/>
    <cellStyle name="Normal 2 6 4" xfId="520" xr:uid="{960FC9ED-FAD9-49E4-8BDB-D28B68E1FC32}"/>
    <cellStyle name="Normal 2 6 5" xfId="569" xr:uid="{0ABCC675-5D41-46A5-A2DB-BB2EBCFE383E}"/>
    <cellStyle name="Normal 2 6 6" xfId="530" xr:uid="{0943D596-FB6E-4102-AEBA-6F0B993A1A41}"/>
    <cellStyle name="Normal 2 7" xfId="54" xr:uid="{71E48496-C44F-482B-B7D8-C1DE63DA2D02}"/>
    <cellStyle name="Normal 2 7 2" xfId="55" xr:uid="{B079FF3A-08CA-451A-9C78-08418236232C}"/>
    <cellStyle name="Normal 2 7 2 2" xfId="350" xr:uid="{C3A2FFD3-0820-4449-8DF9-D49BD4A98F6B}"/>
    <cellStyle name="Normal 2 7 2 2 2" xfId="749" xr:uid="{99FB5ACB-6418-4102-BC52-4667766AE829}"/>
    <cellStyle name="Normal 2 7 2 3" xfId="572" xr:uid="{ACE065D2-5604-42D4-8C05-102D1196E141}"/>
    <cellStyle name="Normal 2 7 3" xfId="351" xr:uid="{AA884387-1249-42B1-AEF2-BAE7EFB2013E}"/>
    <cellStyle name="Normal 2 7 3 2" xfId="750" xr:uid="{C7BDF1DF-00A6-4DF1-80D2-27126347D792}"/>
    <cellStyle name="Normal 2 7 4" xfId="571" xr:uid="{E4781441-8702-40FF-8690-3530F98AC716}"/>
    <cellStyle name="Normal 2 8" xfId="56" xr:uid="{3EFF2118-483A-4322-8247-E59D3E838C69}"/>
    <cellStyle name="Normal 2 8 2" xfId="57" xr:uid="{27439F55-B500-4836-A495-607AABE406D7}"/>
    <cellStyle name="Normal 2 8 2 2" xfId="352" xr:uid="{E1F200BB-891E-4AD2-BB1C-C664DE3BBEE9}"/>
    <cellStyle name="Normal 2 8 2 2 2" xfId="751" xr:uid="{46942342-16D8-4E46-AB21-7BDFC38CC4AA}"/>
    <cellStyle name="Normal 2 8 2 3" xfId="574" xr:uid="{1F0D617E-454E-4FD2-863E-DC8B43E07DE9}"/>
    <cellStyle name="Normal 2 8 3" xfId="353" xr:uid="{F40C782C-3B05-447F-8715-C0A7453BB257}"/>
    <cellStyle name="Normal 2 8 3 2" xfId="752" xr:uid="{1DCFBB1B-52FE-403E-B40A-54C29A343159}"/>
    <cellStyle name="Normal 2 8 4" xfId="573" xr:uid="{5AA90207-66B6-4AF9-A988-AAEDAB81DDA4}"/>
    <cellStyle name="Normal 2 9" xfId="58" xr:uid="{257FBCA4-4626-4D46-8C74-0C3061DB3267}"/>
    <cellStyle name="Normal 2 9 2" xfId="354" xr:uid="{0A1F01D5-4EE5-404C-AC61-2C35BED21F60}"/>
    <cellStyle name="Normal 2 9 2 2" xfId="753" xr:uid="{6DEB22BB-D6CA-463C-86EA-B3A1903874C0}"/>
    <cellStyle name="Normal 2 9 3" xfId="575" xr:uid="{0DA60FF4-166F-4129-B9AE-4943544BA704}"/>
    <cellStyle name="Normal 20" xfId="9" xr:uid="{3B96AB28-D495-4BAE-A8DD-31B81D656436}"/>
    <cellStyle name="Normal 20 2" xfId="905" xr:uid="{C8C684EB-063B-43DA-BD6D-2BC6005977C6}"/>
    <cellStyle name="Normal 21" xfId="4" xr:uid="{F91E0DB8-81F0-4DFC-91FC-5D85355F866D}"/>
    <cellStyle name="Normal 21 2" xfId="904" xr:uid="{8A69F096-58E1-4005-A4F6-7A798C6B9407}"/>
    <cellStyle name="Normal 21 3" xfId="534" xr:uid="{DCA068D6-BEFB-4015-AFE5-3AEF8BBFA695}"/>
    <cellStyle name="Normal 22" xfId="544" xr:uid="{185363D7-81A9-447A-8B2C-D5DA0BE1AAFA}"/>
    <cellStyle name="Normal 23" xfId="525" xr:uid="{9E324128-2298-4B36-B5D7-32680F7C14CB}"/>
    <cellStyle name="Normal 3" xfId="10" xr:uid="{3B6868C8-EEA3-46FD-B02A-27F4496E10DA}"/>
    <cellStyle name="Normal 3 10" xfId="273" xr:uid="{BAB17E9A-702E-4F46-BCEE-3293B7749B8A}"/>
    <cellStyle name="Normal 3 11" xfId="274" xr:uid="{B8B4086D-36E2-44C3-BB1B-0835CAFAC524}"/>
    <cellStyle name="Normal 3 12" xfId="275" xr:uid="{7D21594C-70C9-4E8B-9C9B-AFF083D32513}"/>
    <cellStyle name="Normal 3 13" xfId="276" xr:uid="{2AC9F2B6-8CCB-4AA8-8237-4877285CD820}"/>
    <cellStyle name="Normal 3 14" xfId="528" xr:uid="{F077C9BA-C83A-417B-B4D5-18F66CDBC39B}"/>
    <cellStyle name="Normal 3 2" xfId="18" xr:uid="{F9B77684-9B93-4789-BDC2-1261C5E4DA09}"/>
    <cellStyle name="Normal 3 2 2" xfId="27" xr:uid="{6DF37B42-321F-4279-B5CF-5695C7C97780}"/>
    <cellStyle name="Normal 3 2 2 2" xfId="59" xr:uid="{9D808EAE-D760-4943-AB4B-1F424137E675}"/>
    <cellStyle name="Normal 3 2 2 3" xfId="355" xr:uid="{B01B0C49-DF50-4D87-8787-6DB1A9254217}"/>
    <cellStyle name="Normal 3 2 2 3 2" xfId="754" xr:uid="{C612BFD4-13E2-4E35-9151-24BDEBB8E09D}"/>
    <cellStyle name="Normal 3 2 3" xfId="60" xr:uid="{AE05F0D1-E211-448F-8A0A-10DAD88364D4}"/>
    <cellStyle name="Normal 3 2 3 2" xfId="356" xr:uid="{645B1BBE-7176-4A41-A8C2-9F689751E73C}"/>
    <cellStyle name="Normal 3 2 4" xfId="61" xr:uid="{481F89CA-428B-48BB-8FDA-FA7B09806D5E}"/>
    <cellStyle name="Normal 3 2 5" xfId="357" xr:uid="{01AD5056-60B3-4F0E-BB78-850131BE9A75}"/>
    <cellStyle name="Normal 3 2 6" xfId="358" xr:uid="{859CD983-0B8A-49A1-8DE4-F5E83EA79937}"/>
    <cellStyle name="Normal 3 2 6 2" xfId="755" xr:uid="{12D22991-17A5-4CCB-A020-A699ABE0EE2B}"/>
    <cellStyle name="Normal 3 3" xfId="62" xr:uid="{1A85FCAE-6E46-49DA-B24E-3DDAED484EED}"/>
    <cellStyle name="Normal 3 3 2" xfId="63" xr:uid="{4D6CB8F7-DBDE-4210-BBFC-61AC14426504}"/>
    <cellStyle name="Normal 3 3 2 2" xfId="359" xr:uid="{2C44A367-9EDF-4C9D-B41F-ABE0DFC4A113}"/>
    <cellStyle name="Normal 3 3 2 2 2" xfId="756" xr:uid="{2C8A2CDD-7200-4A4E-B76F-F32442A9E7B1}"/>
    <cellStyle name="Normal 3 3 2 3" xfId="577" xr:uid="{E50C9DC6-173D-4E48-9EE3-1366C3154EC5}"/>
    <cellStyle name="Normal 3 3 3" xfId="64" xr:uid="{9B961C80-41A0-4C0B-B3AC-FA80E638FA9C}"/>
    <cellStyle name="Normal 3 3 3 2" xfId="360" xr:uid="{CA274A5B-88F7-4D32-B462-4CA2974F6024}"/>
    <cellStyle name="Normal 3 3 3 2 2" xfId="757" xr:uid="{A8FB985E-1E8F-4AAF-B9E6-BC98AA2AA150}"/>
    <cellStyle name="Normal 3 3 3 3" xfId="578" xr:uid="{C1A23275-E54F-4DA4-B654-8E3088E42D49}"/>
    <cellStyle name="Normal 3 3 4" xfId="361" xr:uid="{B2FB6694-DBC6-4A88-8515-F68156CE7CBD}"/>
    <cellStyle name="Normal 3 3 4 2" xfId="758" xr:uid="{35D6DE1F-1E65-4E1A-B75F-331054E7855C}"/>
    <cellStyle name="Normal 3 3 5" xfId="576" xr:uid="{80E12F34-AC56-4E62-B96F-6134A7C5B457}"/>
    <cellStyle name="Normal 3 4" xfId="65" xr:uid="{5A2873B9-6C4C-4E82-A21E-C833CEF9DE76}"/>
    <cellStyle name="Normal 3 4 2" xfId="66" xr:uid="{601318A5-DE94-40D9-99AD-EF2FFB623BD2}"/>
    <cellStyle name="Normal 3 4 2 2" xfId="362" xr:uid="{FCAEB8E4-502E-4150-A2CF-CEB3EDAE6895}"/>
    <cellStyle name="Normal 3 4 2 2 2" xfId="759" xr:uid="{8B8BF4B7-2927-4A9A-99D5-89CEFF2D9F65}"/>
    <cellStyle name="Normal 3 4 2 3" xfId="580" xr:uid="{14F7DF46-11C7-4E63-8277-051D372AC53C}"/>
    <cellStyle name="Normal 3 4 3" xfId="363" xr:uid="{CCDC76E3-373B-4478-95A9-A9666CD8F6FE}"/>
    <cellStyle name="Normal 3 4 3 2" xfId="760" xr:uid="{998C8662-2B87-431C-BC4C-945182FA861A}"/>
    <cellStyle name="Normal 3 4 4" xfId="579" xr:uid="{55FA999A-FBF9-41E9-BEAE-FC4DDEF3CDA8}"/>
    <cellStyle name="Normal 3 5" xfId="67" xr:uid="{24FEAF3D-E2E1-4E6B-BEF7-DE872D21DFE2}"/>
    <cellStyle name="Normal 3 5 2" xfId="68" xr:uid="{CE5A34B9-3103-4F87-87D3-16EBBD6A16E8}"/>
    <cellStyle name="Normal 3 5 2 2" xfId="364" xr:uid="{9ABF4E24-1A29-4DC1-980D-B440BD62CFE7}"/>
    <cellStyle name="Normal 3 5 2 2 2" xfId="761" xr:uid="{DF3BF2C3-E5C1-474A-881F-AF1D49E8AAE7}"/>
    <cellStyle name="Normal 3 5 2 3" xfId="582" xr:uid="{B7587062-968D-4CBD-BD84-870004E55FCB}"/>
    <cellStyle name="Normal 3 5 3" xfId="365" xr:uid="{1A2F2F60-AB28-4C18-A623-D62BC13B4452}"/>
    <cellStyle name="Normal 3 5 3 2" xfId="762" xr:uid="{56E9D6F9-D587-4CAE-929B-23D8F6509692}"/>
    <cellStyle name="Normal 3 5 4" xfId="581" xr:uid="{AB8463DE-FEC8-4208-A32D-5B148DAF1E9B}"/>
    <cellStyle name="Normal 3 6" xfId="69" xr:uid="{888BB4BB-171D-4ECB-8DC2-E022CD69D9D0}"/>
    <cellStyle name="Normal 3 6 2" xfId="70" xr:uid="{BEC1813C-990A-4BD8-B881-2AB2D6E10190}"/>
    <cellStyle name="Normal 3 6 2 2" xfId="366" xr:uid="{E3EA6126-C127-4D87-941A-4C96753095D5}"/>
    <cellStyle name="Normal 3 6 2 2 2" xfId="763" xr:uid="{C7CDCF23-D359-4259-8189-2C7380ADC575}"/>
    <cellStyle name="Normal 3 6 2 3" xfId="584" xr:uid="{A0554416-5C90-4140-84ED-6E0E02FFF4C3}"/>
    <cellStyle name="Normal 3 6 3" xfId="367" xr:uid="{04D4F701-48EA-4A1D-A108-926FCAC62015}"/>
    <cellStyle name="Normal 3 6 3 2" xfId="764" xr:uid="{96B6F8F9-B3AE-4DC9-93E1-509CCEA8B9CA}"/>
    <cellStyle name="Normal 3 6 4" xfId="583" xr:uid="{5C07C1CC-644B-4AB5-9ADB-F013918A9426}"/>
    <cellStyle name="Normal 3 7" xfId="71" xr:uid="{2FEB0771-6EAD-43A5-83CE-AFFD0F97E0F4}"/>
    <cellStyle name="Normal 3 7 2" xfId="368" xr:uid="{E9C9C9E2-D957-4F30-88F3-269A3709F2C7}"/>
    <cellStyle name="Normal 3 7 2 2" xfId="765" xr:uid="{FD96E243-FF29-497A-BA01-96ADE95AC962}"/>
    <cellStyle name="Normal 3 7 3" xfId="585" xr:uid="{E03407AF-3116-4CFA-B2DD-93D06D781FA8}"/>
    <cellStyle name="Normal 3 8" xfId="72" xr:uid="{40E6D6EF-F08E-4F07-B56F-3D694DCE3424}"/>
    <cellStyle name="Normal 3 8 2" xfId="369" xr:uid="{AA8DB375-7D13-4FFB-9C53-3F1D3E1E37E9}"/>
    <cellStyle name="Normal 3 8 2 2" xfId="766" xr:uid="{26C700D0-2C9B-4AF3-94D1-FF787D1715D3}"/>
    <cellStyle name="Normal 3 8 3" xfId="586" xr:uid="{00BF47D7-2C0C-466E-BFE5-AD5A85E922A0}"/>
    <cellStyle name="Normal 3 9" xfId="73" xr:uid="{B4907B7C-59BF-45CE-BDC0-D474E3A193FC}"/>
    <cellStyle name="Normal 3 9 2" xfId="370" xr:uid="{5824DEA0-47DD-4ABF-93D5-3F8A81795101}"/>
    <cellStyle name="Normal 3 9 2 2" xfId="767" xr:uid="{92FC211E-486A-4A9B-83B0-1CAF0826C34C}"/>
    <cellStyle name="Normal 3 9 3" xfId="587" xr:uid="{0EE7C451-029E-4F46-B6B5-7B26B122F740}"/>
    <cellStyle name="Normal 4" xfId="13" xr:uid="{3A867E2B-CBFE-49AF-89F2-DEBE9436330F}"/>
    <cellStyle name="Normal 4 10" xfId="74" xr:uid="{523B0E1E-B975-4141-9BBD-A3B3E94A4F52}"/>
    <cellStyle name="Normal 4 10 2" xfId="371" xr:uid="{CFD6EDDA-3DC5-4456-A5B4-712C26F72E74}"/>
    <cellStyle name="Normal 4 10 2 2" xfId="372" xr:uid="{5DC787CD-C042-4085-9345-4D8AF731B960}"/>
    <cellStyle name="Normal 4 10 2 2 2" xfId="769" xr:uid="{BEDDE3CC-7A68-4100-BC54-FD3BD3DEE50F}"/>
    <cellStyle name="Normal 4 10 2 3" xfId="768" xr:uid="{879A656E-2679-467F-A87D-27314E81A059}"/>
    <cellStyle name="Normal 4 10 3" xfId="373" xr:uid="{2D413EC1-8D7D-4BC9-959A-3A343C831006}"/>
    <cellStyle name="Normal 4 10 3 2" xfId="770" xr:uid="{A97FBB0D-CF2F-4C7B-AD8D-1397941020C6}"/>
    <cellStyle name="Normal 4 10 4" xfId="588" xr:uid="{177B2294-1DC1-4FED-96B3-718298D05F41}"/>
    <cellStyle name="Normal 4 11" xfId="277" xr:uid="{281BCB7A-5B58-4167-85C8-900B235A153F}"/>
    <cellStyle name="Normal 4 11 2" xfId="505" xr:uid="{8A6175C9-833B-4019-9B32-EA053A608DB5}"/>
    <cellStyle name="Normal 4 12" xfId="278" xr:uid="{C3BC47B0-E13A-4C23-A7B0-1C9E15BBD4B1}"/>
    <cellStyle name="Normal 4 13" xfId="279" xr:uid="{1C1EB530-DC28-481E-987D-9C22499263C5}"/>
    <cellStyle name="Normal 4 14" xfId="542" xr:uid="{38392152-B202-4090-9E65-F1A4E94C7DE1}"/>
    <cellStyle name="Normal 4 2" xfId="75" xr:uid="{ED84928C-CEAE-4875-A7D0-C5D055E53A0A}"/>
    <cellStyle name="Normal 4 2 2" xfId="76" xr:uid="{67032B57-EC63-4A61-9484-0778766FC0DB}"/>
    <cellStyle name="Normal 4 2 2 2" xfId="77" xr:uid="{D492CEAB-169D-42D1-8975-1A9D6E1537DB}"/>
    <cellStyle name="Normal 4 2 2 2 2" xfId="374" xr:uid="{F2D5B887-D312-40FF-A128-3D0337D4391F}"/>
    <cellStyle name="Normal 4 2 2 2 2 2" xfId="771" xr:uid="{D7C27844-C96E-4D36-95B0-AD530A4C5D20}"/>
    <cellStyle name="Normal 4 2 2 2 3" xfId="591" xr:uid="{E0B560A1-EC13-4967-A6BA-B1EB4A0CE719}"/>
    <cellStyle name="Normal 4 2 2 3" xfId="375" xr:uid="{A115FDF7-B5DA-4BFD-8EDB-CD2406D0B248}"/>
    <cellStyle name="Normal 4 2 2 3 2" xfId="772" xr:uid="{F08E15F9-D4AD-4908-A3AA-A948551ABB0A}"/>
    <cellStyle name="Normal 4 2 2 4" xfId="590" xr:uid="{46947AB1-9730-40B0-8E2A-2F1C2AF15EB7}"/>
    <cellStyle name="Normal 4 2 3" xfId="78" xr:uid="{CD22A0B7-0B05-4538-A2A6-8376826EAEF3}"/>
    <cellStyle name="Normal 4 2 3 2" xfId="376" xr:uid="{9AAB3EBF-0CD8-4734-8C8B-D17A08FF9AA8}"/>
    <cellStyle name="Normal 4 2 3 2 2" xfId="773" xr:uid="{216C667B-CFE1-4BAB-A411-22B653EBC863}"/>
    <cellStyle name="Normal 4 2 3 3" xfId="592" xr:uid="{1557F1A5-EBD5-4BCC-9BE1-8BBAEF84D5B4}"/>
    <cellStyle name="Normal 4 2 4" xfId="79" xr:uid="{4B0266D0-E36E-4D40-BF09-28FA9D038B56}"/>
    <cellStyle name="Normal 4 2 4 2" xfId="377" xr:uid="{AC5327E6-825A-4827-8F0B-2709C1CB44CB}"/>
    <cellStyle name="Normal 4 2 4 2 2" xfId="774" xr:uid="{1A3755F1-4E1F-46F2-A9CC-3C9706A88AD6}"/>
    <cellStyle name="Normal 4 2 4 3" xfId="593" xr:uid="{3DB2B9EE-FE91-4A58-8AB7-F789CB1335EF}"/>
    <cellStyle name="Normal 4 2 5" xfId="80" xr:uid="{E98CBB40-F97C-4894-9631-DEDA8EDD5C2F}"/>
    <cellStyle name="Normal 4 2 5 2" xfId="378" xr:uid="{DDF6443A-C37A-4FD6-88E6-308644BEC0E1}"/>
    <cellStyle name="Normal 4 2 5 2 2" xfId="775" xr:uid="{9C681626-ADDE-409A-AAA7-468F6050F465}"/>
    <cellStyle name="Normal 4 2 5 3" xfId="594" xr:uid="{1AF4052F-6984-412D-870A-6D8D5B2215AE}"/>
    <cellStyle name="Normal 4 2 6" xfId="379" xr:uid="{5D31032F-2720-42FF-B5C1-02E832A6B287}"/>
    <cellStyle name="Normal 4 2 6 2" xfId="776" xr:uid="{4F039EAD-B810-43A8-8C2D-2C9E1929033D}"/>
    <cellStyle name="Normal 4 2 7" xfId="380" xr:uid="{396092CA-FE7E-4BF8-98C1-42D7D5425B25}"/>
    <cellStyle name="Normal 4 2 7 2" xfId="777" xr:uid="{70F79BBE-1D74-497C-9F9B-A5BB9939ED69}"/>
    <cellStyle name="Normal 4 2 8" xfId="589" xr:uid="{82F3946B-CC18-4A95-BA52-C72526F303B7}"/>
    <cellStyle name="Normal 4 3" xfId="81" xr:uid="{9F78922C-E6D7-444B-9771-7D5F732AA06B}"/>
    <cellStyle name="Normal 4 3 2" xfId="82" xr:uid="{2BD0471A-D577-40F9-9EE3-22C21C8EA919}"/>
    <cellStyle name="Normal 4 3 2 2" xfId="381" xr:uid="{D2C3AE7F-3F9D-43E4-AFA4-A22D3012C043}"/>
    <cellStyle name="Normal 4 3 2 2 2" xfId="778" xr:uid="{3E733626-9D6E-4DF7-8D7C-04766AFA8037}"/>
    <cellStyle name="Normal 4 3 2 3" xfId="596" xr:uid="{DF9C21C7-7F40-4104-AFF3-594BA8A93BB9}"/>
    <cellStyle name="Normal 4 3 3" xfId="83" xr:uid="{CB2AB35C-BB3D-497F-8321-CBADE38EB2E0}"/>
    <cellStyle name="Normal 4 3 3 2" xfId="382" xr:uid="{AA544568-BEF7-41D2-9298-0F2D9105AEFD}"/>
    <cellStyle name="Normal 4 3 3 2 2" xfId="779" xr:uid="{A6CC0F77-7CEB-4627-80A4-5F7E877F2029}"/>
    <cellStyle name="Normal 4 3 3 3" xfId="597" xr:uid="{649527AE-FADB-4643-B40C-35B1662DB2F9}"/>
    <cellStyle name="Normal 4 3 4" xfId="84" xr:uid="{A597DAC1-6A82-466D-BD74-313046EE5C47}"/>
    <cellStyle name="Normal 4 3 4 2" xfId="383" xr:uid="{B8014489-3779-46F2-9277-DAB788F8559E}"/>
    <cellStyle name="Normal 4 3 4 2 2" xfId="780" xr:uid="{E275AF5C-1D3E-4407-8BD3-64C1CD6B1FBF}"/>
    <cellStyle name="Normal 4 3 4 3" xfId="598" xr:uid="{B4179211-08AA-4999-BB4C-A64D540C35F3}"/>
    <cellStyle name="Normal 4 3 5" xfId="384" xr:uid="{7D7C5F20-C452-456B-8E44-15E7D613088D}"/>
    <cellStyle name="Normal 4 3 5 2" xfId="781" xr:uid="{8043C91D-3BB1-49D4-90F6-8F403F7465DF}"/>
    <cellStyle name="Normal 4 3 6" xfId="595" xr:uid="{BE0525EE-375E-46BF-9554-3494B4DA1E4B}"/>
    <cellStyle name="Normal 4 4" xfId="85" xr:uid="{47D2AA18-3691-4F78-BFC3-0D3CAB50A225}"/>
    <cellStyle name="Normal 4 4 2" xfId="86" xr:uid="{1AB95813-72E2-4B08-B66E-08A5B0B21045}"/>
    <cellStyle name="Normal 4 4 2 2" xfId="385" xr:uid="{79C6CBF5-579A-4DF5-B63B-7EADAA48BF76}"/>
    <cellStyle name="Normal 4 4 2 2 2" xfId="782" xr:uid="{B76D7CEC-568B-4375-8893-8C05D42B048D}"/>
    <cellStyle name="Normal 4 4 2 3" xfId="600" xr:uid="{3486F138-157B-4219-935A-3A41D7130AE5}"/>
    <cellStyle name="Normal 4 4 3" xfId="386" xr:uid="{BC6FB7D2-D8EB-4A69-A810-B9DBC1012D5B}"/>
    <cellStyle name="Normal 4 4 3 2" xfId="783" xr:uid="{8FC19547-7564-463A-BA1A-84905A175421}"/>
    <cellStyle name="Normal 4 4 4" xfId="599" xr:uid="{DA2A82C6-0E5C-49B6-B43F-853D19AD88DC}"/>
    <cellStyle name="Normal 4 5" xfId="87" xr:uid="{59121B84-6147-4B9E-BDDA-876C279F5624}"/>
    <cellStyle name="Normal 4 5 2" xfId="88" xr:uid="{1A700D8C-FD30-4022-9FB7-36F2835385E3}"/>
    <cellStyle name="Normal 4 5 2 2" xfId="387" xr:uid="{5BBB1A1D-2651-4EFD-9741-898395FCCD84}"/>
    <cellStyle name="Normal 4 5 2 2 2" xfId="784" xr:uid="{1C3DBBC5-8329-40FD-AA90-FFC6BD190683}"/>
    <cellStyle name="Normal 4 5 2 3" xfId="602" xr:uid="{2780CB41-7EB5-4B1E-85AC-ACF9B7972779}"/>
    <cellStyle name="Normal 4 5 3" xfId="388" xr:uid="{C2E6666C-496C-4827-B92F-9AAE67F89E4A}"/>
    <cellStyle name="Normal 4 5 3 2" xfId="785" xr:uid="{DCF82C5E-5040-428C-A126-E79AEEB575C1}"/>
    <cellStyle name="Normal 4 5 4" xfId="601" xr:uid="{920EE2D9-2372-476B-803D-811EE98E6530}"/>
    <cellStyle name="Normal 4 6" xfId="89" xr:uid="{6530ECBC-AE39-4B7E-81B4-5580F1297AF7}"/>
    <cellStyle name="Normal 4 6 2" xfId="90" xr:uid="{7315F71D-9823-4EC8-96A3-3D7D8D538331}"/>
    <cellStyle name="Normal 4 6 2 2" xfId="389" xr:uid="{423C9827-E6FA-479C-B895-E518DC848089}"/>
    <cellStyle name="Normal 4 6 2 2 2" xfId="786" xr:uid="{67C096CE-D653-430C-9E17-B897FB0C933F}"/>
    <cellStyle name="Normal 4 6 2 3" xfId="604" xr:uid="{335F5884-0687-475C-A5B0-5C1A3BF23614}"/>
    <cellStyle name="Normal 4 6 3" xfId="390" xr:uid="{1C06955B-575C-49FA-89A5-295591346D54}"/>
    <cellStyle name="Normal 4 6 3 2" xfId="787" xr:uid="{39F2ED29-9DB3-469F-A75D-4022F627B88E}"/>
    <cellStyle name="Normal 4 6 4" xfId="603" xr:uid="{F4159654-469E-46F7-8B98-46F6CB433EF0}"/>
    <cellStyle name="Normal 4 7" xfId="91" xr:uid="{4E87A4F4-48CD-4066-BFF1-B81CF60BE972}"/>
    <cellStyle name="Normal 4 7 2" xfId="391" xr:uid="{CD3FB6B5-4269-49FD-BE1B-7EC616D04828}"/>
    <cellStyle name="Normal 4 7 2 2" xfId="788" xr:uid="{ECD6B3DD-B7A2-474D-87AC-4DB7BBD0C2D5}"/>
    <cellStyle name="Normal 4 7 3" xfId="605" xr:uid="{BE991DD6-D384-4E3B-94CE-FE63ACBB6828}"/>
    <cellStyle name="Normal 4 8" xfId="92" xr:uid="{02B1C783-FB1C-4006-8BB0-A59B9114377A}"/>
    <cellStyle name="Normal 4 8 2" xfId="392" xr:uid="{4257482A-1386-4C08-976B-97F1C46199C1}"/>
    <cellStyle name="Normal 4 8 2 2" xfId="789" xr:uid="{627780EA-C151-4541-9F55-4E4CA0EAA024}"/>
    <cellStyle name="Normal 4 8 3" xfId="606" xr:uid="{1AAB335B-27E0-4B66-B27E-74819B0F7E91}"/>
    <cellStyle name="Normal 4 9" xfId="93" xr:uid="{F3989576-215D-42A6-ACB5-9DC39F23EEB8}"/>
    <cellStyle name="Normal 4 9 2" xfId="393" xr:uid="{511832F2-0B84-48D7-BEEA-1B35EF5C4974}"/>
    <cellStyle name="Normal 4 9 2 2" xfId="790" xr:uid="{3670CC32-8AE1-460F-B1B3-046FD15A2D6E}"/>
    <cellStyle name="Normal 4 9 3" xfId="607" xr:uid="{ACC60336-3DDE-4146-A978-A729452665AF}"/>
    <cellStyle name="Normal 5" xfId="14" xr:uid="{E520D175-ACB7-49E3-9EAC-9924E0DCE601}"/>
    <cellStyle name="Normal 5 10" xfId="197" xr:uid="{E3232D00-C408-4BCD-B9D5-AD1C7F6366FF}"/>
    <cellStyle name="Normal 5 10 2" xfId="506" xr:uid="{0389F78A-E176-44D6-9595-B33031B5C6CC}"/>
    <cellStyle name="Normal 5 11" xfId="280" xr:uid="{B9EB976B-87DF-48CB-A6CA-D5329600C0A9}"/>
    <cellStyle name="Normal 5 12" xfId="281" xr:uid="{948DE16C-163D-46F0-8068-0EAB9B1238E3}"/>
    <cellStyle name="Normal 5 13" xfId="282" xr:uid="{C1AE2403-B8F1-4911-B4FB-79DE693BE8F0}"/>
    <cellStyle name="Normal 5 13 2" xfId="719" xr:uid="{434B06EE-034A-4EB7-9EE1-FFD040EC0804}"/>
    <cellStyle name="Normal 5 14" xfId="541" xr:uid="{863F630D-419C-4BE8-BC15-39BA788B320A}"/>
    <cellStyle name="Normal 5 2" xfId="94" xr:uid="{11752981-A437-4E42-8B7F-15F48A14284F}"/>
    <cellStyle name="Normal 5 2 2" xfId="95" xr:uid="{16574356-12D6-4ADE-872B-B1F2FF660E2A}"/>
    <cellStyle name="Normal 5 2 2 2" xfId="96" xr:uid="{9479E7B3-5B9F-42E7-892B-DEB15D556752}"/>
    <cellStyle name="Normal 5 2 2 2 2" xfId="394" xr:uid="{67DB7C49-156D-44E1-91AD-838BD7C10768}"/>
    <cellStyle name="Normal 5 2 2 2 2 2" xfId="791" xr:uid="{EB92D7EF-C8F3-44C3-AF1B-53FAF5CCDB9D}"/>
    <cellStyle name="Normal 5 2 2 2 3" xfId="610" xr:uid="{9189ACC5-9049-4DB2-86BF-C2CB4ADAF7AD}"/>
    <cellStyle name="Normal 5 2 2 3" xfId="395" xr:uid="{476AE255-B906-48F9-95CA-D020D74194F4}"/>
    <cellStyle name="Normal 5 2 2 3 2" xfId="792" xr:uid="{E69DB3FF-E76B-4505-9D39-9A051389C912}"/>
    <cellStyle name="Normal 5 2 2 4" xfId="609" xr:uid="{4247B7FF-1561-49B4-B207-FAA169257B90}"/>
    <cellStyle name="Normal 5 2 3" xfId="97" xr:uid="{5E0AD5F8-5CA2-482D-9C02-D536FDAB3C4C}"/>
    <cellStyle name="Normal 5 2 3 2" xfId="396" xr:uid="{73CE9BB4-E397-45EC-B220-82D70C4011E7}"/>
    <cellStyle name="Normal 5 2 3 2 2" xfId="793" xr:uid="{44658C7F-3A18-4B20-8C6E-C2C85EE8BFAE}"/>
    <cellStyle name="Normal 5 2 3 3" xfId="611" xr:uid="{957D9AC7-A6CE-45F0-939B-FA66342BCB46}"/>
    <cellStyle name="Normal 5 2 4" xfId="98" xr:uid="{8AE2569E-302A-4C85-A819-39A2068C18F6}"/>
    <cellStyle name="Normal 5 2 4 2" xfId="397" xr:uid="{B144C062-58D7-46EB-A682-059C94B1CCDA}"/>
    <cellStyle name="Normal 5 2 4 2 2" xfId="794" xr:uid="{A345137D-2A59-46CA-AD13-6F8C89DA827F}"/>
    <cellStyle name="Normal 5 2 4 3" xfId="612" xr:uid="{45FD0E02-FBE9-4923-A403-A211B811DE2E}"/>
    <cellStyle name="Normal 5 2 5" xfId="398" xr:uid="{9A34EB12-3B61-4DCD-BDCC-BA81D33BCB93}"/>
    <cellStyle name="Normal 5 2 5 2" xfId="795" xr:uid="{644DF87F-AF28-4362-BD45-B073DB583FB3}"/>
    <cellStyle name="Normal 5 2 6" xfId="399" xr:uid="{789BFE7C-CF36-4C28-A405-0D7AA889D230}"/>
    <cellStyle name="Normal 5 2 6 2" xfId="796" xr:uid="{F67DC596-C8C3-4841-91C5-AFFA1F477490}"/>
    <cellStyle name="Normal 5 2 7" xfId="608" xr:uid="{BC7C5AB1-6D09-4B29-B3B3-94F1336D36EE}"/>
    <cellStyle name="Normal 5 3" xfId="99" xr:uid="{DE4F4F63-F7AA-4F5E-AB78-AF74ABD5521F}"/>
    <cellStyle name="Normal 5 3 2" xfId="100" xr:uid="{AB9814E7-4B01-4221-867B-84AE37E0FD60}"/>
    <cellStyle name="Normal 5 3 2 2" xfId="400" xr:uid="{F66ECED7-7146-4515-95E3-52C96CF45555}"/>
    <cellStyle name="Normal 5 3 2 2 2" xfId="797" xr:uid="{B717B242-8E43-4F1D-A94F-0CA53740A2EB}"/>
    <cellStyle name="Normal 5 3 2 3" xfId="614" xr:uid="{3D46F674-09EF-44C0-A29E-89A0B2425650}"/>
    <cellStyle name="Normal 5 3 3" xfId="101" xr:uid="{A40C1961-5984-494A-8B04-ADBE1B3250CF}"/>
    <cellStyle name="Normal 5 3 3 2" xfId="401" xr:uid="{64EAD12F-5EA5-4E6B-8231-1395026B11F9}"/>
    <cellStyle name="Normal 5 3 3 2 2" xfId="798" xr:uid="{42B5CFBF-3BBD-4B17-9295-470DB4EFAA44}"/>
    <cellStyle name="Normal 5 3 3 3" xfId="615" xr:uid="{7B377989-9AE3-4700-907A-7852B3D9C4A8}"/>
    <cellStyle name="Normal 5 3 4" xfId="402" xr:uid="{0790B8FA-D3D8-44E3-AFAD-E9A1AB400885}"/>
    <cellStyle name="Normal 5 3 4 2" xfId="799" xr:uid="{EFEEF346-17A8-4B79-BF05-A3F218CEAABC}"/>
    <cellStyle name="Normal 5 3 5" xfId="613" xr:uid="{0DD8C2AD-F36F-4F53-B50A-5EB4C495E06A}"/>
    <cellStyle name="Normal 5 4" xfId="102" xr:uid="{0B12AB81-3DB5-4D65-B012-085B3DA0543B}"/>
    <cellStyle name="Normal 5 4 2" xfId="103" xr:uid="{EBFB3030-7F4B-499C-BE96-BFF51BD5BC60}"/>
    <cellStyle name="Normal 5 4 2 2" xfId="403" xr:uid="{8A99FD8A-2B58-4F87-8FA4-6ADC5068E2D6}"/>
    <cellStyle name="Normal 5 4 2 2 2" xfId="800" xr:uid="{8F6D482B-10A8-4644-8188-73382BF93B3F}"/>
    <cellStyle name="Normal 5 4 2 3" xfId="617" xr:uid="{7A8A1210-A74B-4098-9A32-5FA88C5F8B08}"/>
    <cellStyle name="Normal 5 4 3" xfId="404" xr:uid="{19009C95-740E-410F-B8D1-A18DB52D57E2}"/>
    <cellStyle name="Normal 5 4 3 2" xfId="801" xr:uid="{C2552941-3514-405C-909B-7E2A0C9A2D9A}"/>
    <cellStyle name="Normal 5 4 4" xfId="616" xr:uid="{913020DA-AC8B-4010-8DB7-AFDC73572938}"/>
    <cellStyle name="Normal 5 5" xfId="104" xr:uid="{F259D6F5-9073-421C-B90D-7A6DB01672E7}"/>
    <cellStyle name="Normal 5 5 2" xfId="105" xr:uid="{5DD3846D-50A7-425F-9CE0-36E453A2A576}"/>
    <cellStyle name="Normal 5 5 2 2" xfId="405" xr:uid="{521307B0-E205-47FB-9DC6-01BD906E4CCF}"/>
    <cellStyle name="Normal 5 5 2 2 2" xfId="802" xr:uid="{55069AF1-B8E1-4AD1-8BCC-303A8C5170A2}"/>
    <cellStyle name="Normal 5 5 2 3" xfId="619" xr:uid="{9BF85B2F-FDCD-4625-993D-E66F1F8143F3}"/>
    <cellStyle name="Normal 5 5 3" xfId="406" xr:uid="{96C8B543-3ED5-4A99-9D22-1B8BF83B4F22}"/>
    <cellStyle name="Normal 5 5 3 2" xfId="803" xr:uid="{C0D2A6B7-24FA-4E52-AEBD-010AAE73541E}"/>
    <cellStyle name="Normal 5 5 4" xfId="618" xr:uid="{55DDFC71-5F18-4027-A6A8-884815609D87}"/>
    <cellStyle name="Normal 5 6" xfId="106" xr:uid="{629442EF-3467-4326-8368-7026317BE4CB}"/>
    <cellStyle name="Normal 5 6 2" xfId="107" xr:uid="{FE8A0808-47E7-434A-B6AB-6F2B0135178A}"/>
    <cellStyle name="Normal 5 6 2 2" xfId="407" xr:uid="{A2025F46-818F-4FFF-84E4-70828BA1140C}"/>
    <cellStyle name="Normal 5 6 2 2 2" xfId="804" xr:uid="{9542BBE2-A49E-4C5F-A6E8-C96D6F002A25}"/>
    <cellStyle name="Normal 5 6 2 3" xfId="621" xr:uid="{6B6F3125-1E1E-4DF1-AAD8-2A13026BF7C2}"/>
    <cellStyle name="Normal 5 6 3" xfId="408" xr:uid="{CAA05984-843A-4260-B623-9ED88560A5A4}"/>
    <cellStyle name="Normal 5 6 3 2" xfId="805" xr:uid="{92A03885-CC74-4146-8658-C1F1DC6FDF9E}"/>
    <cellStyle name="Normal 5 6 4" xfId="620" xr:uid="{2C6F1DDD-383C-40CE-9876-85811BEF84D3}"/>
    <cellStyle name="Normal 5 7" xfId="108" xr:uid="{CBB091FD-B7D8-4CF0-8BD2-6DF766994533}"/>
    <cellStyle name="Normal 5 7 2" xfId="409" xr:uid="{42AEB327-5B58-41BF-8F0C-D40B7E8EAEA4}"/>
    <cellStyle name="Normal 5 7 2 2" xfId="806" xr:uid="{7A8B790A-7F5A-4CDD-AE9C-91750386CC9A}"/>
    <cellStyle name="Normal 5 7 3" xfId="622" xr:uid="{C355D8AE-483C-4C98-98C5-749E9F59307A}"/>
    <cellStyle name="Normal 5 8" xfId="109" xr:uid="{75A14A07-98CF-4693-972D-1ABBAFBCED59}"/>
    <cellStyle name="Normal 5 8 2" xfId="410" xr:uid="{34B0A982-E2CA-404A-AB9D-3452C60F905E}"/>
    <cellStyle name="Normal 5 8 2 2" xfId="807" xr:uid="{E06E5BB3-F92D-4036-B3EA-40568DE8E8FC}"/>
    <cellStyle name="Normal 5 8 3" xfId="623" xr:uid="{AA0D35BF-3EEB-4398-BDBD-1F51A89E94E0}"/>
    <cellStyle name="Normal 5 9" xfId="110" xr:uid="{29F45110-4448-4D9D-9E14-D6A60C6BDA71}"/>
    <cellStyle name="Normal 5 9 2" xfId="411" xr:uid="{AF2F16B0-6346-49A3-B2B2-12FCB427B07E}"/>
    <cellStyle name="Normal 5 9 2 2" xfId="808" xr:uid="{06032166-62AA-48D6-8DC8-49E3A11ED89B}"/>
    <cellStyle name="Normal 5 9 3" xfId="624" xr:uid="{E52962F2-C320-4B07-A0FB-84C020153FB6}"/>
    <cellStyle name="Normal 6" xfId="25" xr:uid="{7BE588F9-5871-476D-B24E-3AA6A2AEED9F}"/>
    <cellStyle name="Normal 6 2" xfId="283" xr:uid="{4417147E-015A-4B41-860E-7E1042DD6D38}"/>
    <cellStyle name="Normal 7" xfId="111" xr:uid="{EF29CFF6-F414-4A14-82E2-330D7F8ED278}"/>
    <cellStyle name="Normal 7 10" xfId="412" xr:uid="{BAD5ECD5-7467-46C1-BEED-72378E1F8D4A}"/>
    <cellStyle name="Normal 7 10 2" xfId="809" xr:uid="{281F7C0C-91C3-40C8-AC69-D6A34DF49B7B}"/>
    <cellStyle name="Normal 7 11" xfId="625" xr:uid="{A6D354A8-1183-4016-8716-0762095D448F}"/>
    <cellStyle name="Normal 7 2" xfId="112" xr:uid="{EC9EC1A4-7162-428D-AE8E-1C393CEF0FD2}"/>
    <cellStyle name="Normal 7 2 2" xfId="113" xr:uid="{979F7B96-398D-440F-BDF4-3527CDF13D58}"/>
    <cellStyle name="Normal 7 2 2 2" xfId="413" xr:uid="{20147F49-79C4-46EB-8866-DDA2198425F9}"/>
    <cellStyle name="Normal 7 2 2 2 2" xfId="810" xr:uid="{1D4ABDE0-57D6-42C4-A5CB-3D01E613B0B3}"/>
    <cellStyle name="Normal 7 2 2 3" xfId="627" xr:uid="{561C1130-772D-431A-8C84-A076B4510B59}"/>
    <cellStyle name="Normal 7 2 3" xfId="114" xr:uid="{043541B2-18EE-4068-88C6-CA39B3A42D4C}"/>
    <cellStyle name="Normal 7 2 3 2" xfId="414" xr:uid="{146014FD-E814-40A3-B94B-A8C1610E4A09}"/>
    <cellStyle name="Normal 7 2 3 2 2" xfId="811" xr:uid="{DF36829B-B1F4-40C5-9331-197BC9CA59AD}"/>
    <cellStyle name="Normal 7 2 3 3" xfId="628" xr:uid="{86F578AC-3A77-4366-B2A1-CBC2FA1AB795}"/>
    <cellStyle name="Normal 7 2 4" xfId="415" xr:uid="{7E411890-C694-48E5-8FA0-94D69A49EC02}"/>
    <cellStyle name="Normal 7 2 4 2" xfId="812" xr:uid="{2933E264-2A70-4D64-9F48-9BE79A4BB330}"/>
    <cellStyle name="Normal 7 2 5" xfId="626" xr:uid="{9E726B66-33F1-43AA-A49D-5F7A2F1C4DCB}"/>
    <cellStyle name="Normal 7 3" xfId="115" xr:uid="{A78E8DDE-4B84-43A0-81E5-1A45B47FD995}"/>
    <cellStyle name="Normal 7 3 2" xfId="116" xr:uid="{0AC6B400-2188-4B49-9FF6-9489153EE396}"/>
    <cellStyle name="Normal 7 3 2 2" xfId="416" xr:uid="{97531895-10C5-43BB-AC74-7158A883613D}"/>
    <cellStyle name="Normal 7 3 2 2 2" xfId="813" xr:uid="{4B0B104B-98FF-49A4-A879-25BBF47D9590}"/>
    <cellStyle name="Normal 7 3 2 3" xfId="630" xr:uid="{7DE22D2D-C9A5-4C70-B815-1C5175D5A9D4}"/>
    <cellStyle name="Normal 7 3 3" xfId="417" xr:uid="{C745AC4E-40C8-47A1-BCD2-DCECE41659B4}"/>
    <cellStyle name="Normal 7 3 3 2" xfId="814" xr:uid="{A895FE58-55CE-4F94-948D-E65FD25A8D72}"/>
    <cellStyle name="Normal 7 3 4" xfId="629" xr:uid="{E8B50EC7-C028-4820-908D-0F520EE97E43}"/>
    <cellStyle name="Normal 7 4" xfId="117" xr:uid="{5827315E-5027-4A51-8A61-BC95E19E070B}"/>
    <cellStyle name="Normal 7 4 2" xfId="118" xr:uid="{1ED40908-E1E5-4C85-8B3B-94A239693A10}"/>
    <cellStyle name="Normal 7 4 2 2" xfId="418" xr:uid="{187F14AE-9440-4773-A684-F2176EDAB34B}"/>
    <cellStyle name="Normal 7 4 2 2 2" xfId="815" xr:uid="{F8ED4FDB-2D29-419D-9E1F-81C6DED915B4}"/>
    <cellStyle name="Normal 7 4 2 3" xfId="632" xr:uid="{71BB86F2-927C-4BA9-8FAD-A7A84B6F6799}"/>
    <cellStyle name="Normal 7 4 3" xfId="419" xr:uid="{ED8BE6A3-F71E-42BB-9F94-4CBB2D24A89B}"/>
    <cellStyle name="Normal 7 4 3 2" xfId="816" xr:uid="{DBDB8F8D-5B28-4DFC-8E47-96AF979C55E5}"/>
    <cellStyle name="Normal 7 4 4" xfId="631" xr:uid="{00FA73B6-6642-4058-A7FC-FEA419F90E1D}"/>
    <cellStyle name="Normal 7 5" xfId="119" xr:uid="{684E1B0E-5BDA-476F-ADEA-18ACD092F605}"/>
    <cellStyle name="Normal 7 5 2" xfId="120" xr:uid="{9D48F4F5-EBF0-4E49-A541-D43919E8E40A}"/>
    <cellStyle name="Normal 7 5 2 2" xfId="420" xr:uid="{DBE76C9F-4902-42C8-AB53-4948A979A9AE}"/>
    <cellStyle name="Normal 7 5 2 2 2" xfId="817" xr:uid="{E6559F1F-FC30-485F-8F72-87EAFA88AE4F}"/>
    <cellStyle name="Normal 7 5 2 3" xfId="634" xr:uid="{C2A5F12A-8E40-4574-B013-F98224460295}"/>
    <cellStyle name="Normal 7 5 3" xfId="421" xr:uid="{2A2F4AA3-D15B-4D4C-9C8C-364682365674}"/>
    <cellStyle name="Normal 7 5 3 2" xfId="818" xr:uid="{D3BCAE84-F03C-49F1-B756-A1E57DB1739B}"/>
    <cellStyle name="Normal 7 5 4" xfId="633" xr:uid="{A9CDECA0-22AF-4D82-B120-E7524C492F92}"/>
    <cellStyle name="Normal 7 6" xfId="121" xr:uid="{0B6DEFE1-A21B-4587-BD97-B02DC9484831}"/>
    <cellStyle name="Normal 7 6 2" xfId="422" xr:uid="{9D6D8CCF-92D6-492D-B622-9A9F81F88B5D}"/>
    <cellStyle name="Normal 7 6 2 2" xfId="819" xr:uid="{B4491C01-F003-4402-8B80-663D7B56FA81}"/>
    <cellStyle name="Normal 7 6 3" xfId="635" xr:uid="{ECB89807-8A8D-4AF3-ACB6-C92D5D437CC5}"/>
    <cellStyle name="Normal 7 7" xfId="122" xr:uid="{6577F756-6EC7-4E1B-8D45-975682409552}"/>
    <cellStyle name="Normal 7 7 2" xfId="423" xr:uid="{88F4D22D-1EFE-4B1B-BC83-029C9F570B08}"/>
    <cellStyle name="Normal 7 7 2 2" xfId="820" xr:uid="{D217D8DE-CAE3-4BCB-9F6F-78A63F78AD32}"/>
    <cellStyle name="Normal 7 7 3" xfId="636" xr:uid="{928C1B96-9801-460B-8609-5C7D9A088116}"/>
    <cellStyle name="Normal 7 8" xfId="123" xr:uid="{F2D5DCBC-7056-47E9-A9C8-C60137368BAD}"/>
    <cellStyle name="Normal 7 8 2" xfId="424" xr:uid="{55DBF11A-FFBA-4AD0-B986-9E7A70D92EED}"/>
    <cellStyle name="Normal 7 8 2 2" xfId="821" xr:uid="{2A82735B-5D91-4DF4-9F3B-6B672C5D083D}"/>
    <cellStyle name="Normal 7 8 3" xfId="637" xr:uid="{CD4EF358-1FF7-40CA-BA21-01F66929A9AE}"/>
    <cellStyle name="Normal 7 9" xfId="425" xr:uid="{7DC8EBEA-04EF-4468-9D8F-03BE02970D7C}"/>
    <cellStyle name="Normal 7 9 2" xfId="822" xr:uid="{D6D2F478-1EAE-462A-89B7-A82EE5B54EA6}"/>
    <cellStyle name="Normal 8" xfId="22" xr:uid="{65106C65-169A-40CA-A9C4-2C136425B812}"/>
    <cellStyle name="Normal 8 2" xfId="124" xr:uid="{DD7C44B3-A68A-4CA8-892B-E9620B3A3E84}"/>
    <cellStyle name="Normal 8 2 2" xfId="125" xr:uid="{C13AA528-EE5E-4693-8335-93F4DF3819AB}"/>
    <cellStyle name="Normal 8 2 2 2" xfId="426" xr:uid="{D7DB5F6B-F787-4B8F-AC02-0F6F9DDB56C3}"/>
    <cellStyle name="Normal 8 2 2 2 2" xfId="823" xr:uid="{A0CE4675-09E1-4E33-9095-76BE73D00C65}"/>
    <cellStyle name="Normal 8 2 2 3" xfId="639" xr:uid="{33ED484B-DD62-44EB-9CF2-11C484F1B2BA}"/>
    <cellStyle name="Normal 8 2 3" xfId="427" xr:uid="{93E94466-DD35-476C-B805-703E320B572C}"/>
    <cellStyle name="Normal 8 2 3 2" xfId="824" xr:uid="{E3B1BA11-42BD-4CCD-AA86-890BD0059342}"/>
    <cellStyle name="Normal 8 2 4" xfId="638" xr:uid="{49C291ED-AB16-4601-B5E4-3BE2F77E9BA2}"/>
    <cellStyle name="Normal 8 3" xfId="126" xr:uid="{6A3AA874-51B3-4544-B265-BF4E10CFFB8D}"/>
    <cellStyle name="Normal 8 3 2" xfId="127" xr:uid="{F9675570-C0E5-4B2A-A9AF-A50FB6F4A4F9}"/>
    <cellStyle name="Normal 8 3 2 2" xfId="428" xr:uid="{33A3E3F2-BB84-4B00-90AA-F4160D508976}"/>
    <cellStyle name="Normal 8 3 2 2 2" xfId="825" xr:uid="{BCC3E0A4-D5E0-4A22-8546-8F6545CFEE12}"/>
    <cellStyle name="Normal 8 3 2 3" xfId="641" xr:uid="{C3715EB7-5807-4007-A697-3FE41749936F}"/>
    <cellStyle name="Normal 8 3 3" xfId="429" xr:uid="{4EBF0013-5E31-4BCB-88E5-15894A827E01}"/>
    <cellStyle name="Normal 8 3 3 2" xfId="826" xr:uid="{64BDE1C7-F381-4249-B3EB-A449C66C060C}"/>
    <cellStyle name="Normal 8 3 4" xfId="640" xr:uid="{97ED8E69-EC40-4C1B-ACD3-6A5F465600A0}"/>
    <cellStyle name="Normal 8 4" xfId="128" xr:uid="{312C53A9-55A6-413A-AB76-B5EDCDA14F4E}"/>
    <cellStyle name="Normal 8 4 2" xfId="129" xr:uid="{7597AEC6-C5DF-4DD8-B32C-182BB279C444}"/>
    <cellStyle name="Normal 8 4 2 2" xfId="430" xr:uid="{67BD8418-06B2-4B10-9C05-56179BF4880F}"/>
    <cellStyle name="Normal 8 4 2 2 2" xfId="827" xr:uid="{B89D8EA4-6A84-4A45-A4B2-0879368F333C}"/>
    <cellStyle name="Normal 8 4 2 3" xfId="643" xr:uid="{CB681C30-ED2F-4D0E-9FC0-486CF64A53FC}"/>
    <cellStyle name="Normal 8 4 3" xfId="431" xr:uid="{1CE62C76-E5A4-48B6-AA83-1057A28AE3E3}"/>
    <cellStyle name="Normal 8 4 3 2" xfId="828" xr:uid="{07D0B44C-68F0-458D-AEFA-DF099D5D528B}"/>
    <cellStyle name="Normal 8 4 4" xfId="642" xr:uid="{E43CCBFE-2050-4EBE-9004-647BB1444F82}"/>
    <cellStyle name="Normal 8 5" xfId="130" xr:uid="{A6717AC3-75FC-45B7-8538-351D880DBBAA}"/>
    <cellStyle name="Normal 8 5 2" xfId="432" xr:uid="{897E8255-A359-43F2-81CA-83F6F19AA138}"/>
    <cellStyle name="Normal 8 5 2 2" xfId="829" xr:uid="{13E90D9F-18AA-46E3-A6FF-335EBABBC324}"/>
    <cellStyle name="Normal 8 5 3" xfId="644" xr:uid="{17056F95-9137-4011-AB45-87743DC52F98}"/>
    <cellStyle name="Normal 8 6" xfId="433" xr:uid="{13032DD0-5CD3-476C-9230-96F457EF7BE5}"/>
    <cellStyle name="Normal 9" xfId="131" xr:uid="{35591DD4-4B84-4059-BE4F-7EAE21FDBA97}"/>
    <cellStyle name="Note 2" xfId="284" xr:uid="{629C7ADE-90C4-4BF4-940E-55AA6320EA82}"/>
    <cellStyle name="Note 2 2" xfId="720" xr:uid="{73BE6928-E731-49D5-AB72-63F8D9C142F2}"/>
    <cellStyle name="Note 3" xfId="285" xr:uid="{C7997F43-FC42-468D-ADB6-9FE91733C7C5}"/>
    <cellStyle name="Note 3 2" xfId="721" xr:uid="{60BF8019-87A4-43CA-8C98-A92A362822B9}"/>
    <cellStyle name="Note 4" xfId="286" xr:uid="{7AC1D541-FB1C-4D6D-8956-8C9E65CE3005}"/>
    <cellStyle name="Note 4 2" xfId="722" xr:uid="{A53B9687-26E7-41E9-8B75-AA3C2D9CE59A}"/>
    <cellStyle name="Note 5" xfId="287" xr:uid="{C58D7050-88D1-4290-B201-A3A86FF50113}"/>
    <cellStyle name="Output 2" xfId="288" xr:uid="{F53FC9A9-031D-4B59-9FA0-50D1774CB13A}"/>
    <cellStyle name="Percent" xfId="1" builtinId="5"/>
    <cellStyle name="Percent 2" xfId="16" xr:uid="{BB602C56-D3ED-4B66-9F1D-675B1B0ADD8F}"/>
    <cellStyle name="Percent 2 10" xfId="434" xr:uid="{2167D37C-F762-4EC5-88C4-140150DA9056}"/>
    <cellStyle name="Percent 2 11" xfId="435" xr:uid="{780F69A9-2F07-4BE0-B579-3388027E0AA8}"/>
    <cellStyle name="Percent 2 11 2" xfId="830" xr:uid="{C220CB47-81A9-415C-854A-B02499A07AAE}"/>
    <cellStyle name="Percent 2 12" xfId="511" xr:uid="{A6A833D5-A90C-4791-80A4-2F060118DD89}"/>
    <cellStyle name="Percent 2 13" xfId="516" xr:uid="{54AE4786-958A-4C67-9AAF-35E8977CE03E}"/>
    <cellStyle name="Percent 2 2" xfId="132" xr:uid="{FFB4F60B-2601-4226-BD0E-9163849548F4}"/>
    <cellStyle name="Percent 2 2 10" xfId="289" xr:uid="{E1A2C72A-2104-483D-A931-B17261611C0C}"/>
    <cellStyle name="Percent 2 2 11" xfId="290" xr:uid="{3DDCF4EC-CD10-4B69-9043-957B7302C2B0}"/>
    <cellStyle name="Percent 2 2 12" xfId="291" xr:uid="{11BB5A01-6233-4AC7-BB71-477DA7E0C896}"/>
    <cellStyle name="Percent 2 2 13" xfId="645" xr:uid="{DBD72D28-2E5D-41D4-9DA8-79C925147081}"/>
    <cellStyle name="Percent 2 2 2" xfId="133" xr:uid="{3019A37F-2536-47F6-BF9A-368F1592F00D}"/>
    <cellStyle name="Percent 2 2 2 2" xfId="134" xr:uid="{385FA20B-BADA-4EF6-A29F-200B047B5997}"/>
    <cellStyle name="Percent 2 2 2 2 2" xfId="436" xr:uid="{A887E0DC-CEF1-4262-B260-E14A87B3D8A2}"/>
    <cellStyle name="Percent 2 2 2 2 2 2" xfId="831" xr:uid="{9F1AAAC9-50E3-4091-BF2C-D629160DE842}"/>
    <cellStyle name="Percent 2 2 2 2 3" xfId="647" xr:uid="{75376970-638B-4A4D-93DE-FB0B9114379D}"/>
    <cellStyle name="Percent 2 2 2 3" xfId="437" xr:uid="{2BA7FD00-849B-4A2B-92BA-E1EE47203891}"/>
    <cellStyle name="Percent 2 2 2 3 2" xfId="832" xr:uid="{7635665A-3A0D-4205-BC4C-60F9FEF791C6}"/>
    <cellStyle name="Percent 2 2 2 4" xfId="646" xr:uid="{23724938-EFC8-4F00-9572-81A81941DC75}"/>
    <cellStyle name="Percent 2 2 3" xfId="135" xr:uid="{D7E44A25-27CD-46E6-B23F-78C48140DFB0}"/>
    <cellStyle name="Percent 2 2 3 2" xfId="438" xr:uid="{331A1414-82AC-4393-96F3-1D03EFE7A248}"/>
    <cellStyle name="Percent 2 2 3 2 2" xfId="833" xr:uid="{94819DE4-FB19-4058-AA8B-60DB99F3AF95}"/>
    <cellStyle name="Percent 2 2 3 3" xfId="648" xr:uid="{F1A4EC4F-8321-4CDA-86C5-236F02489A1F}"/>
    <cellStyle name="Percent 2 2 4" xfId="136" xr:uid="{9AD41DDC-6E4F-4E05-AC39-68E4AA1446B8}"/>
    <cellStyle name="Percent 2 2 4 2" xfId="439" xr:uid="{AAB27338-D9DF-4EC6-A119-3BAF0E4D2169}"/>
    <cellStyle name="Percent 2 2 4 2 2" xfId="834" xr:uid="{3952C277-9F85-4ABC-8D60-03FE7DAFA32C}"/>
    <cellStyle name="Percent 2 2 4 3" xfId="649" xr:uid="{92B95BF6-F9E7-4BB0-9491-9C65122E8963}"/>
    <cellStyle name="Percent 2 2 5" xfId="292" xr:uid="{AE9B5325-28E0-42B9-9873-1258CBA2B62D}"/>
    <cellStyle name="Percent 2 2 6" xfId="293" xr:uid="{745F1E5F-4214-4594-8205-DC94236F6D60}"/>
    <cellStyle name="Percent 2 2 7" xfId="294" xr:uid="{0C6DB216-A50A-4DE8-B6B6-70D44716A155}"/>
    <cellStyle name="Percent 2 2 8" xfId="295" xr:uid="{F2384295-8FFD-4EAA-B9E3-CEC671334F5E}"/>
    <cellStyle name="Percent 2 2 9" xfId="296" xr:uid="{1D389CB3-143D-4DAE-9B04-E146994E9082}"/>
    <cellStyle name="Percent 2 3" xfId="137" xr:uid="{6007913B-563A-404B-944E-E2FE89FA8F47}"/>
    <cellStyle name="Percent 2 3 10" xfId="297" xr:uid="{8F02DE57-BA49-4996-A840-9BEA370EB901}"/>
    <cellStyle name="Percent 2 3 11" xfId="298" xr:uid="{62465D1A-46AC-4499-87F9-2B345CF2ED36}"/>
    <cellStyle name="Percent 2 3 12" xfId="299" xr:uid="{466F124A-EEE5-4371-890F-E89962B1C37A}"/>
    <cellStyle name="Percent 2 3 13" xfId="650" xr:uid="{BC4E2D59-7AAF-4971-B6CC-FB6095814F86}"/>
    <cellStyle name="Percent 2 3 2" xfId="138" xr:uid="{EA5B3A04-8435-415D-9739-2E1B07302BC4}"/>
    <cellStyle name="Percent 2 3 2 2" xfId="440" xr:uid="{81AB890F-B5DD-4B97-8EE4-E95673D59FF3}"/>
    <cellStyle name="Percent 2 3 2 2 2" xfId="835" xr:uid="{828988E6-A49D-4D30-B97A-FDEBB539044C}"/>
    <cellStyle name="Percent 2 3 2 3" xfId="651" xr:uid="{90C142B3-B6CC-47C9-B6ED-82BE01B50A36}"/>
    <cellStyle name="Percent 2 3 3" xfId="139" xr:uid="{F1FFF6F5-1AB7-4128-B39B-412AC6D2690C}"/>
    <cellStyle name="Percent 2 3 3 2" xfId="441" xr:uid="{8708587B-B560-4DBE-9045-96EF5FE88F5F}"/>
    <cellStyle name="Percent 2 3 3 2 2" xfId="836" xr:uid="{9774D274-88A8-4BF9-99DB-1CEA99D94538}"/>
    <cellStyle name="Percent 2 3 3 3" xfId="652" xr:uid="{3FCA29A9-9F0C-4F37-8095-BE1A5CFB0C1F}"/>
    <cellStyle name="Percent 2 3 4" xfId="300" xr:uid="{E78A9CAF-277D-47BA-B765-FD9C522D0908}"/>
    <cellStyle name="Percent 2 3 5" xfId="301" xr:uid="{B27E87C5-369C-4E1B-9C9F-4F93AF00C20F}"/>
    <cellStyle name="Percent 2 3 6" xfId="302" xr:uid="{8F9C088E-B76F-4755-B57A-061F0531F2EB}"/>
    <cellStyle name="Percent 2 3 7" xfId="303" xr:uid="{D2679CFC-174D-4529-9E9D-8AE880452AF7}"/>
    <cellStyle name="Percent 2 3 8" xfId="304" xr:uid="{9B9DA706-657F-404C-A8D7-2B34864279AB}"/>
    <cellStyle name="Percent 2 3 9" xfId="305" xr:uid="{8E3AE2A2-DBB4-421C-A6E6-A8D11E4A0B47}"/>
    <cellStyle name="Percent 2 4" xfId="140" xr:uid="{A8D9FE3F-1ED5-4E3D-B002-E47804122618}"/>
    <cellStyle name="Percent 2 4 10" xfId="306" xr:uid="{55C518D7-D379-48A5-91EB-BA129017616A}"/>
    <cellStyle name="Percent 2 4 11" xfId="307" xr:uid="{31FFECC3-A011-4B02-BF73-217D9C16CD54}"/>
    <cellStyle name="Percent 2 4 12" xfId="308" xr:uid="{3C420B87-4EE8-4362-AFD8-B3D87B91F924}"/>
    <cellStyle name="Percent 2 4 13" xfId="653" xr:uid="{974A1CA9-0A72-4558-AD0B-3CCEE7291D49}"/>
    <cellStyle name="Percent 2 4 2" xfId="141" xr:uid="{443267A6-8DDD-4C2C-AEDC-55D24EB054E0}"/>
    <cellStyle name="Percent 2 4 2 2" xfId="442" xr:uid="{71E128C8-11A9-4FC1-9727-AC5E0B2D5A78}"/>
    <cellStyle name="Percent 2 4 2 2 2" xfId="837" xr:uid="{428F0E07-BA25-4E2A-8F59-583C140AC030}"/>
    <cellStyle name="Percent 2 4 2 3" xfId="654" xr:uid="{10607CC4-35EA-4631-9B10-384B9B6AED4B}"/>
    <cellStyle name="Percent 2 4 3" xfId="309" xr:uid="{D9306853-0150-483D-B848-EDA366EB3389}"/>
    <cellStyle name="Percent 2 4 4" xfId="310" xr:uid="{0F598EB8-2FCE-4D14-89BF-0A54424D0C1A}"/>
    <cellStyle name="Percent 2 4 5" xfId="311" xr:uid="{4D3F60B8-0FBC-4F79-8F57-C9DA4156F16F}"/>
    <cellStyle name="Percent 2 4 6" xfId="312" xr:uid="{77E4B8C8-682F-4247-B3C3-761EC159B2BE}"/>
    <cellStyle name="Percent 2 4 7" xfId="313" xr:uid="{F366F8AF-2766-439B-972D-453BF9548F98}"/>
    <cellStyle name="Percent 2 4 8" xfId="314" xr:uid="{7FDF5A64-BAEA-46DA-AC98-371FE76B2EF0}"/>
    <cellStyle name="Percent 2 4 9" xfId="315" xr:uid="{3AB91F41-2424-4801-92BF-8C4482D0EDD1}"/>
    <cellStyle name="Percent 2 5" xfId="142" xr:uid="{C3ADF2B1-1588-4F42-9280-C6084F51B331}"/>
    <cellStyle name="Percent 2 5 2" xfId="143" xr:uid="{D3EB0C32-469D-4BB5-AF1E-1CEC466364F1}"/>
    <cellStyle name="Percent 2 5 2 2" xfId="443" xr:uid="{D02A5A0E-C8BE-442B-BC5A-5CEB72395D5C}"/>
    <cellStyle name="Percent 2 5 2 2 2" xfId="838" xr:uid="{7D243328-C29F-454A-A8CD-F8D7727DA871}"/>
    <cellStyle name="Percent 2 5 2 3" xfId="656" xr:uid="{FD16DC9C-8639-41AE-965C-4C3E470253EB}"/>
    <cellStyle name="Percent 2 5 3" xfId="444" xr:uid="{36F09323-1CE3-4BC6-9F89-CD66A7465040}"/>
    <cellStyle name="Percent 2 5 3 2" xfId="839" xr:uid="{F7CC38C7-2494-4721-B41C-A7104EB80E7D}"/>
    <cellStyle name="Percent 2 5 4" xfId="655" xr:uid="{CDADB040-5E98-4FFA-B7F5-F137FED0864E}"/>
    <cellStyle name="Percent 2 6" xfId="144" xr:uid="{119684F6-5F36-4231-87C0-2B9A04F8B5B3}"/>
    <cellStyle name="Percent 2 6 2" xfId="145" xr:uid="{D19A4B58-D4F7-4335-95F7-5B32A2C7B735}"/>
    <cellStyle name="Percent 2 6 2 2" xfId="445" xr:uid="{23430C90-B229-474D-B1FD-5AA59E0BC799}"/>
    <cellStyle name="Percent 2 6 2 2 2" xfId="840" xr:uid="{7C5441D2-B6AB-4FF6-B13F-E322651E3C8F}"/>
    <cellStyle name="Percent 2 6 2 3" xfId="658" xr:uid="{DA415FB4-B404-4478-8DD7-FAC32EB5C582}"/>
    <cellStyle name="Percent 2 6 3" xfId="446" xr:uid="{0D99B1F7-533C-4377-86C7-580E1ECD6899}"/>
    <cellStyle name="Percent 2 6 3 2" xfId="841" xr:uid="{E657B5C0-DA27-4D7E-8A6B-DBD4CCC0E1F1}"/>
    <cellStyle name="Percent 2 6 4" xfId="657" xr:uid="{5752F1B3-1744-43AC-A9A6-BF444EBE598A}"/>
    <cellStyle name="Percent 2 7" xfId="146" xr:uid="{16E52F35-78BB-4FB7-B2E3-C0A49C3B4702}"/>
    <cellStyle name="Percent 2 7 2" xfId="447" xr:uid="{3A2916AA-D088-4D78-A705-1BF0B966C4E0}"/>
    <cellStyle name="Percent 2 7 2 2" xfId="842" xr:uid="{DC7868DC-F0CC-487F-815B-AFE5B1CBDD8D}"/>
    <cellStyle name="Percent 2 7 3" xfId="659" xr:uid="{2102258F-C968-413B-81B5-0843D1C0A55D}"/>
    <cellStyle name="Percent 2 8" xfId="147" xr:uid="{71DAC584-AE06-4A5B-8893-05398E507795}"/>
    <cellStyle name="Percent 2 8 2" xfId="448" xr:uid="{F91C2E44-3EDA-44F1-A99E-EB90C98EFD6E}"/>
    <cellStyle name="Percent 2 8 2 2" xfId="843" xr:uid="{16563AD6-5FD8-4484-A727-8C792410085D}"/>
    <cellStyle name="Percent 2 8 3" xfId="660" xr:uid="{876FA1D4-A587-47F1-B039-5C83011982C9}"/>
    <cellStyle name="Percent 2 9" xfId="148" xr:uid="{6FF56A93-38E4-4382-890F-3BE791DC70F0}"/>
    <cellStyle name="Percent 2 9 2" xfId="449" xr:uid="{CCF0F81A-5F02-486F-927E-5D7B7EA20FA7}"/>
    <cellStyle name="Percent 2 9 2 2" xfId="844" xr:uid="{3BB8DE00-B3AE-4095-AC95-A5EE8E5E789C}"/>
    <cellStyle name="Percent 2 9 3" xfId="661" xr:uid="{001FA76F-A35E-4427-9166-B746319E8F0A}"/>
    <cellStyle name="Percent 3" xfId="24" xr:uid="{7755A908-F68D-4B0B-B3B8-1C01B11534E2}"/>
    <cellStyle name="Percent 3 10" xfId="450" xr:uid="{DAEFD0E9-BF7B-4366-90E4-5C6BFBCFAD8B}"/>
    <cellStyle name="Percent 3 10 2" xfId="845" xr:uid="{375FC39C-3791-4DF0-BA5D-2D2018521E60}"/>
    <cellStyle name="Percent 3 11" xfId="451" xr:uid="{D463FE0A-A20F-4C2B-8415-096A559C2143}"/>
    <cellStyle name="Percent 3 11 2" xfId="846" xr:uid="{1A408AAC-A830-4128-8DCE-50B5F22A0C09}"/>
    <cellStyle name="Percent 3 12" xfId="546" xr:uid="{2506F6DF-6BCC-4A4A-8A73-6E6F1463B730}"/>
    <cellStyle name="Percent 3 2" xfId="149" xr:uid="{5D7B17A3-DED7-4CAD-8F89-AC31BB1A940A}"/>
    <cellStyle name="Percent 3 2 2" xfId="150" xr:uid="{9060870F-321F-4C1F-AD06-E2245123964B}"/>
    <cellStyle name="Percent 3 2 2 2" xfId="151" xr:uid="{6D867CE2-0A6D-4111-A796-3A9E98992528}"/>
    <cellStyle name="Percent 3 2 2 2 2" xfId="452" xr:uid="{76A5FDCC-9BE7-441D-9CA6-03340C477337}"/>
    <cellStyle name="Percent 3 2 2 2 2 2" xfId="847" xr:uid="{D279739C-2A2D-4E02-A94A-FAC790D255E9}"/>
    <cellStyle name="Percent 3 2 2 2 3" xfId="664" xr:uid="{C5FE0554-D8C7-4893-88F6-70E3328FE6D9}"/>
    <cellStyle name="Percent 3 2 2 3" xfId="453" xr:uid="{1772335A-34F0-4AD6-A2C6-7F16C2A77D6E}"/>
    <cellStyle name="Percent 3 2 2 3 2" xfId="848" xr:uid="{BE1E2FE1-C304-4DDA-8B8A-F98A8EBC81BF}"/>
    <cellStyle name="Percent 3 2 2 4" xfId="663" xr:uid="{1A065D21-D1CB-4C1C-B03E-21CBBB8FE0B1}"/>
    <cellStyle name="Percent 3 2 3" xfId="152" xr:uid="{E004F6FB-21EC-4D9B-B2D3-99D7B261271B}"/>
    <cellStyle name="Percent 3 2 3 2" xfId="454" xr:uid="{8718FA9D-A6C0-49B8-9F26-4517AF7D52F1}"/>
    <cellStyle name="Percent 3 2 3 2 2" xfId="849" xr:uid="{3B6EDA6B-3ED6-4931-83C1-BD6D01B96BF3}"/>
    <cellStyle name="Percent 3 2 3 3" xfId="665" xr:uid="{C73A8355-F10F-48AD-A81A-8E6B77B2CF26}"/>
    <cellStyle name="Percent 3 2 4" xfId="153" xr:uid="{41802F74-D674-4712-A6E2-83869E81411E}"/>
    <cellStyle name="Percent 3 2 4 2" xfId="455" xr:uid="{75005908-5699-4B3E-A02E-A0BA0359F429}"/>
    <cellStyle name="Percent 3 2 4 2 2" xfId="850" xr:uid="{48DB99CB-FDB1-405E-86F9-7CF4A398AC99}"/>
    <cellStyle name="Percent 3 2 4 3" xfId="666" xr:uid="{7634980C-5FA9-4440-AE0B-8B28E5B8C408}"/>
    <cellStyle name="Percent 3 2 5" xfId="456" xr:uid="{716A3479-1D09-4ED7-B642-7F10520564ED}"/>
    <cellStyle name="Percent 3 2 5 2" xfId="851" xr:uid="{B8ADD7B3-E950-46EB-8EA2-3D2D44D7E0C7}"/>
    <cellStyle name="Percent 3 2 6" xfId="457" xr:uid="{2F6622FA-5232-4DA4-B7C0-ABFD3B5B8CF2}"/>
    <cellStyle name="Percent 3 2 6 2" xfId="852" xr:uid="{BD8E930C-CEC2-46D3-8AF2-E70D822158EA}"/>
    <cellStyle name="Percent 3 2 7" xfId="662" xr:uid="{D8709703-E955-45E9-BB46-80DC1B0B81A2}"/>
    <cellStyle name="Percent 3 3" xfId="154" xr:uid="{957889E4-E8F5-4148-ACB7-CCE050309080}"/>
    <cellStyle name="Percent 3 3 2" xfId="155" xr:uid="{0978CFA3-8D3F-44FA-AE9E-AEF9853CDED6}"/>
    <cellStyle name="Percent 3 3 2 2" xfId="458" xr:uid="{798AEF04-E100-4014-B066-7396C656C697}"/>
    <cellStyle name="Percent 3 3 2 2 2" xfId="853" xr:uid="{C70AC1AE-D065-4713-95B5-A9A5E50BD8C3}"/>
    <cellStyle name="Percent 3 3 2 3" xfId="668" xr:uid="{4A03117F-8863-42BE-BE80-0D2C90DDE63B}"/>
    <cellStyle name="Percent 3 3 3" xfId="156" xr:uid="{F4DAECA4-FDC9-48D8-B3DF-D1C0D0B6FE2E}"/>
    <cellStyle name="Percent 3 3 3 2" xfId="459" xr:uid="{49957CFF-E5BB-40B6-AE5E-195FA709D876}"/>
    <cellStyle name="Percent 3 3 3 2 2" xfId="854" xr:uid="{6402902A-796C-426E-BE45-16EFFEB783D4}"/>
    <cellStyle name="Percent 3 3 3 3" xfId="669" xr:uid="{08FDDD18-07D7-425C-A5EF-64B26B715EF9}"/>
    <cellStyle name="Percent 3 3 4" xfId="460" xr:uid="{7315FCDD-35B7-4184-9CB5-0B9D5A899441}"/>
    <cellStyle name="Percent 3 3 4 2" xfId="855" xr:uid="{89E146C3-407B-46D0-BE7F-210F7344AB84}"/>
    <cellStyle name="Percent 3 3 5" xfId="667" xr:uid="{345B5565-2791-4AA2-A0B8-E8411B8C4827}"/>
    <cellStyle name="Percent 3 4" xfId="157" xr:uid="{64DF811F-DDEE-41F4-BA99-B1980B606317}"/>
    <cellStyle name="Percent 3 4 2" xfId="158" xr:uid="{D839B17F-963E-4C81-8C10-E8B5AE826A3A}"/>
    <cellStyle name="Percent 3 4 2 2" xfId="461" xr:uid="{3DF57CB7-AA7A-4009-A0A6-63A20D60E1F8}"/>
    <cellStyle name="Percent 3 4 2 2 2" xfId="856" xr:uid="{3E10831F-4F6E-4473-BC77-74CA197ECD0B}"/>
    <cellStyle name="Percent 3 4 2 3" xfId="671" xr:uid="{E68906CE-07D0-47AC-B789-3174DAE7AA24}"/>
    <cellStyle name="Percent 3 4 3" xfId="462" xr:uid="{E119C364-2434-44CC-B461-0316684B3303}"/>
    <cellStyle name="Percent 3 4 3 2" xfId="857" xr:uid="{3D27CBD5-38E8-4D4B-BD1F-7D422F68C581}"/>
    <cellStyle name="Percent 3 4 4" xfId="670" xr:uid="{301E9128-9B47-45C9-AEF4-1186A17E36F5}"/>
    <cellStyle name="Percent 3 5" xfId="159" xr:uid="{08104520-E306-43CF-9859-2BC7B5143B15}"/>
    <cellStyle name="Percent 3 5 2" xfId="160" xr:uid="{E90B8440-6350-455C-B712-704EF41BFD94}"/>
    <cellStyle name="Percent 3 5 2 2" xfId="463" xr:uid="{476E1DD2-286B-4CB7-ACEE-FFFA1F345D95}"/>
    <cellStyle name="Percent 3 5 2 2 2" xfId="858" xr:uid="{55B49BA2-2AF6-4FD4-9346-75C725C95E1E}"/>
    <cellStyle name="Percent 3 5 2 3" xfId="673" xr:uid="{B83F0BC3-E838-42BF-8E5C-62B15F099105}"/>
    <cellStyle name="Percent 3 5 3" xfId="464" xr:uid="{EFA90952-60E8-4B9E-A952-ED59BBE3F0D8}"/>
    <cellStyle name="Percent 3 5 3 2" xfId="859" xr:uid="{4A1B3A72-2B15-4458-89D5-EEBBDE2BDBCE}"/>
    <cellStyle name="Percent 3 5 4" xfId="672" xr:uid="{10AA4D69-1313-403C-BEE6-DA8BD0EE1FAE}"/>
    <cellStyle name="Percent 3 6" xfId="161" xr:uid="{75E66C50-47B1-4271-8AE3-E5D021FF9BCB}"/>
    <cellStyle name="Percent 3 6 2" xfId="162" xr:uid="{5DB51865-0100-49A2-8DDF-2D2DA72BA5BD}"/>
    <cellStyle name="Percent 3 6 2 2" xfId="465" xr:uid="{4BDBBABF-192A-494B-8480-9F4E89E1B8B9}"/>
    <cellStyle name="Percent 3 6 2 2 2" xfId="860" xr:uid="{29AC93A6-9B4F-488D-AB0E-212968294C64}"/>
    <cellStyle name="Percent 3 6 2 3" xfId="675" xr:uid="{2E01F195-31CE-4FBB-AF87-81308DE7611C}"/>
    <cellStyle name="Percent 3 6 3" xfId="466" xr:uid="{61F16778-F7E9-46D3-8418-1B38D2F674BA}"/>
    <cellStyle name="Percent 3 6 3 2" xfId="861" xr:uid="{8C3830EC-CC6E-4D6D-B83D-B734C24C4E5A}"/>
    <cellStyle name="Percent 3 6 4" xfId="674" xr:uid="{00E026D5-CB92-4E9B-A4D8-4A7F981569CD}"/>
    <cellStyle name="Percent 3 7" xfId="163" xr:uid="{B01D13A8-64ED-4822-BBD8-FA90D5B6B272}"/>
    <cellStyle name="Percent 3 7 2" xfId="467" xr:uid="{54827306-1B39-4211-85B2-09F0F50E3F55}"/>
    <cellStyle name="Percent 3 7 2 2" xfId="862" xr:uid="{4BFE98C9-15A0-4BD1-86BA-2FE3E97B7265}"/>
    <cellStyle name="Percent 3 7 3" xfId="676" xr:uid="{45B572FB-75C2-4F84-98E7-3B316835690F}"/>
    <cellStyle name="Percent 3 8" xfId="164" xr:uid="{D9AA9B63-0D30-4EF4-AFFF-6FD34B409032}"/>
    <cellStyle name="Percent 3 8 2" xfId="468" xr:uid="{89BC849D-C3A4-4388-8D17-E8D876F8B82A}"/>
    <cellStyle name="Percent 3 8 2 2" xfId="863" xr:uid="{6F4D1651-AB10-467F-B63A-38BD5160BC92}"/>
    <cellStyle name="Percent 3 8 3" xfId="677" xr:uid="{001C28C7-03DE-4255-A4B8-53955B95E1E2}"/>
    <cellStyle name="Percent 3 9" xfId="165" xr:uid="{EA775D2E-6647-4D75-B085-97D4C3361CF1}"/>
    <cellStyle name="Percent 3 9 2" xfId="469" xr:uid="{39B72EC4-4FDB-4766-8D77-D9C545210CFB}"/>
    <cellStyle name="Percent 3 9 2 2" xfId="864" xr:uid="{31B6D826-6AA1-4FCF-833D-5BDBF7E24D92}"/>
    <cellStyle name="Percent 3 9 3" xfId="678" xr:uid="{50BCCD20-F63F-4FAC-9083-72216AD73BF8}"/>
    <cellStyle name="Percent 4" xfId="166" xr:uid="{2AE5CDA6-8E69-4834-A4B2-D1C0A909A973}"/>
    <cellStyle name="Percent 4 10" xfId="470" xr:uid="{A9F88C10-9CAA-4B49-9A2E-664977B22D61}"/>
    <cellStyle name="Percent 4 10 2" xfId="865" xr:uid="{B0A4B05E-CB6A-452C-9C39-C1AC962CBBCC}"/>
    <cellStyle name="Percent 4 11" xfId="471" xr:uid="{4CC73FC6-636E-4F31-9E1A-CAE99A6FADD5}"/>
    <cellStyle name="Percent 4 11 2" xfId="866" xr:uid="{2451394A-0DFC-4849-8535-F8E1C826CE28}"/>
    <cellStyle name="Percent 4 12" xfId="679" xr:uid="{F892EB51-41D1-4CEE-BDE5-44202390A381}"/>
    <cellStyle name="Percent 4 2" xfId="167" xr:uid="{6D06D27D-14CA-4EE8-8852-FB309A3B2D28}"/>
    <cellStyle name="Percent 4 2 2" xfId="168" xr:uid="{26155D14-9717-4BC9-8112-7CFD3CDC499E}"/>
    <cellStyle name="Percent 4 2 2 2" xfId="169" xr:uid="{8819BF6E-27D6-4454-9641-5E45344B024B}"/>
    <cellStyle name="Percent 4 2 2 2 2" xfId="472" xr:uid="{57E4A41B-52FE-4948-A8D6-F16BECB771DD}"/>
    <cellStyle name="Percent 4 2 2 2 2 2" xfId="867" xr:uid="{4821C54D-B1CC-46A3-AD2A-5E24AB91D51B}"/>
    <cellStyle name="Percent 4 2 2 2 3" xfId="682" xr:uid="{F77DF70C-86B5-4416-9A8D-C51F08215C51}"/>
    <cellStyle name="Percent 4 2 2 3" xfId="473" xr:uid="{C8555C60-D2A5-490A-BB11-7E7C127A6D58}"/>
    <cellStyle name="Percent 4 2 2 3 2" xfId="868" xr:uid="{37E44216-18F8-4588-98BB-98A17F891BB5}"/>
    <cellStyle name="Percent 4 2 2 4" xfId="681" xr:uid="{A8B48F5E-D5BC-4349-819C-22839BF37C8B}"/>
    <cellStyle name="Percent 4 2 3" xfId="170" xr:uid="{9CD4C7BA-681A-4F61-9C73-3E0420929A8C}"/>
    <cellStyle name="Percent 4 2 3 2" xfId="474" xr:uid="{88887AD3-0E8F-47C7-A455-C8DA00F14260}"/>
    <cellStyle name="Percent 4 2 3 2 2" xfId="869" xr:uid="{AB4D702E-6BF1-4075-8082-7FE74DD0A65F}"/>
    <cellStyle name="Percent 4 2 3 3" xfId="683" xr:uid="{95051AFF-20F2-42FE-A40D-0F9883581559}"/>
    <cellStyle name="Percent 4 2 4" xfId="171" xr:uid="{783D809D-E84D-42C2-BF31-5F0D6D275883}"/>
    <cellStyle name="Percent 4 2 4 2" xfId="475" xr:uid="{348157D0-A720-4988-AD4D-B96B6FE02D40}"/>
    <cellStyle name="Percent 4 2 4 2 2" xfId="870" xr:uid="{298F3C1C-486A-41B3-84FF-783AE4298413}"/>
    <cellStyle name="Percent 4 2 4 3" xfId="684" xr:uid="{3D90DC37-B6B2-4A81-9DD3-A30419E5CB08}"/>
    <cellStyle name="Percent 4 2 5" xfId="476" xr:uid="{4D5AA8FC-ACA8-40ED-A10F-FDDA312F59B5}"/>
    <cellStyle name="Percent 4 2 5 2" xfId="871" xr:uid="{DE93F718-3640-4AD3-BF4B-6443765DAE72}"/>
    <cellStyle name="Percent 4 2 6" xfId="477" xr:uid="{195B5AFB-903B-4237-967D-15DCC95EC1E6}"/>
    <cellStyle name="Percent 4 2 6 2" xfId="872" xr:uid="{FCBCA633-D8F5-49E8-A029-94AD020A95B3}"/>
    <cellStyle name="Percent 4 2 7" xfId="680" xr:uid="{F08C4155-0C90-4B10-A68F-6B39A2C9AE8B}"/>
    <cellStyle name="Percent 4 3" xfId="172" xr:uid="{C340A213-B967-4FE1-B023-6BF2BA29AD68}"/>
    <cellStyle name="Percent 4 3 2" xfId="173" xr:uid="{47818DD1-891D-4233-9989-6AC034357C0B}"/>
    <cellStyle name="Percent 4 3 2 2" xfId="478" xr:uid="{2581778A-F239-4F87-9458-D89D1DEDCDD2}"/>
    <cellStyle name="Percent 4 3 2 2 2" xfId="873" xr:uid="{E6682168-373B-4627-84EF-C05A79C2789B}"/>
    <cellStyle name="Percent 4 3 2 3" xfId="686" xr:uid="{8B276143-5458-4268-8AE7-C6A1B390743B}"/>
    <cellStyle name="Percent 4 3 3" xfId="174" xr:uid="{A19BF369-C51B-4FEF-B505-2597EC912571}"/>
    <cellStyle name="Percent 4 3 3 2" xfId="479" xr:uid="{F1037F7E-98B7-4CEE-B855-7A95EEFB8A8F}"/>
    <cellStyle name="Percent 4 3 3 2 2" xfId="874" xr:uid="{C2B22EE7-FCBE-466A-B43B-E62CCED125CA}"/>
    <cellStyle name="Percent 4 3 3 3" xfId="687" xr:uid="{1392DD59-3D1B-4BEF-AD15-BEF05E508BC6}"/>
    <cellStyle name="Percent 4 3 4" xfId="480" xr:uid="{5DD6E4A9-93BD-4DE9-9A90-75BD3CE62150}"/>
    <cellStyle name="Percent 4 3 4 2" xfId="875" xr:uid="{B0E02234-B104-4FC1-9FC3-2E9A89045A91}"/>
    <cellStyle name="Percent 4 3 5" xfId="685" xr:uid="{7BECE45A-FBA5-4FFA-BA54-07C960E80DA9}"/>
    <cellStyle name="Percent 4 4" xfId="175" xr:uid="{538E946F-366F-466D-A478-24B3D806C07F}"/>
    <cellStyle name="Percent 4 4 2" xfId="176" xr:uid="{6913CEDE-8479-414C-9DF9-0B0FFC1BA71B}"/>
    <cellStyle name="Percent 4 4 2 2" xfId="481" xr:uid="{19AD787E-0455-4FCF-8217-1EF2D2A06415}"/>
    <cellStyle name="Percent 4 4 2 2 2" xfId="876" xr:uid="{0B16E944-CF69-4F87-BC2B-F6910E59EFCD}"/>
    <cellStyle name="Percent 4 4 2 3" xfId="689" xr:uid="{209474E6-2A72-4DDD-BF65-8CC27F1FAE30}"/>
    <cellStyle name="Percent 4 4 3" xfId="482" xr:uid="{2D684817-7A97-4355-9E63-C9EB34D5A271}"/>
    <cellStyle name="Percent 4 4 3 2" xfId="877" xr:uid="{35A9853F-7B2F-41B2-9BE3-223932309ADE}"/>
    <cellStyle name="Percent 4 4 4" xfId="688" xr:uid="{EF0D4B3D-B309-4354-9C88-37128389B965}"/>
    <cellStyle name="Percent 4 5" xfId="177" xr:uid="{EA9718D7-978F-42B1-B3D7-54FECEDC742C}"/>
    <cellStyle name="Percent 4 5 2" xfId="178" xr:uid="{B8F1BED9-D140-4B06-8F88-09683291D1E1}"/>
    <cellStyle name="Percent 4 5 2 2" xfId="483" xr:uid="{F063D38B-D6C0-43DD-B40E-0CBE82C56A88}"/>
    <cellStyle name="Percent 4 5 2 2 2" xfId="878" xr:uid="{1DBFD0D1-EF9F-45D4-9DF8-E572FD3AF7F3}"/>
    <cellStyle name="Percent 4 5 2 3" xfId="691" xr:uid="{3CF8C2FA-8B89-490A-AD3A-4E06F1CBCF24}"/>
    <cellStyle name="Percent 4 5 3" xfId="484" xr:uid="{9F1DA1B5-C03D-4283-83D7-F52C9AD0F4CF}"/>
    <cellStyle name="Percent 4 5 3 2" xfId="879" xr:uid="{D676CBF9-9692-4952-84E5-7CF9D52DA830}"/>
    <cellStyle name="Percent 4 5 4" xfId="690" xr:uid="{11D36E8C-6A05-4C2A-AEE6-E7F3863813E5}"/>
    <cellStyle name="Percent 4 6" xfId="179" xr:uid="{0B4AA7B2-476C-444A-A2B3-687D9F52DA27}"/>
    <cellStyle name="Percent 4 6 2" xfId="180" xr:uid="{9E38664E-A3A7-4012-9D0F-885D129B4CEE}"/>
    <cellStyle name="Percent 4 6 2 2" xfId="485" xr:uid="{CBF75A61-3D32-418A-86B0-8EEEE4B8EE98}"/>
    <cellStyle name="Percent 4 6 2 2 2" xfId="880" xr:uid="{452D83E5-061D-40D9-8952-7B0442DAD8A8}"/>
    <cellStyle name="Percent 4 6 2 3" xfId="693" xr:uid="{5570FCA2-C80C-4FF8-B6ED-BB1D8E6B8303}"/>
    <cellStyle name="Percent 4 6 3" xfId="486" xr:uid="{6CA16EE0-1006-4814-8FA0-FEEDB4B3F09A}"/>
    <cellStyle name="Percent 4 6 3 2" xfId="881" xr:uid="{CA2DC0AE-0475-4C3A-81B6-C2096800860D}"/>
    <cellStyle name="Percent 4 6 4" xfId="692" xr:uid="{D84742EB-0106-449D-8CDB-F7EB8FF452CC}"/>
    <cellStyle name="Percent 4 7" xfId="181" xr:uid="{3D668590-45A0-4399-991B-3EE0F433B5F6}"/>
    <cellStyle name="Percent 4 7 2" xfId="487" xr:uid="{85962E0B-A5FC-4B35-9180-CFF19B018490}"/>
    <cellStyle name="Percent 4 7 2 2" xfId="882" xr:uid="{8B695461-1C76-4EDA-8244-30F419C777E3}"/>
    <cellStyle name="Percent 4 7 3" xfId="694" xr:uid="{5C53D9F9-9360-4A2B-9626-E2C3F2951F05}"/>
    <cellStyle name="Percent 4 8" xfId="182" xr:uid="{3F144126-515D-4621-89F2-C6034280C827}"/>
    <cellStyle name="Percent 4 8 2" xfId="488" xr:uid="{9A9B1D6E-877C-40CA-9947-4AF36B450F34}"/>
    <cellStyle name="Percent 4 8 2 2" xfId="883" xr:uid="{B8FED8F2-7049-4F63-A431-E9BF46E057F6}"/>
    <cellStyle name="Percent 4 8 3" xfId="695" xr:uid="{3F269520-D124-4991-B4D1-64BE5F7935F7}"/>
    <cellStyle name="Percent 4 9" xfId="183" xr:uid="{968B57A4-9246-475B-9549-53B9E852DA9B}"/>
    <cellStyle name="Percent 4 9 2" xfId="489" xr:uid="{C69A9029-EDB1-41B3-B5D5-DD3838DE03E1}"/>
    <cellStyle name="Percent 4 9 2 2" xfId="884" xr:uid="{9B792711-FA8F-44DF-855B-E8E3DD9152C0}"/>
    <cellStyle name="Percent 4 9 3" xfId="696" xr:uid="{B94823B6-E8D1-4D44-AD44-028F8529F7D4}"/>
    <cellStyle name="Percent 5" xfId="184" xr:uid="{AC33F739-6739-4AA9-9030-F3989A00ADA4}"/>
    <cellStyle name="Percent 5 10" xfId="490" xr:uid="{4B9CF2C0-948C-4D6E-96A6-E58B9C1EA642}"/>
    <cellStyle name="Percent 5 10 2" xfId="885" xr:uid="{6431402C-CFCD-457C-A19D-3456AFE3C42B}"/>
    <cellStyle name="Percent 5 11" xfId="697" xr:uid="{087A2394-8757-43E7-8231-3D8A4BF981F5}"/>
    <cellStyle name="Percent 5 2" xfId="185" xr:uid="{D615D248-3763-4442-A9EF-EF980C86FB47}"/>
    <cellStyle name="Percent 5 2 2" xfId="186" xr:uid="{38CD5034-B139-48FB-92AB-CBA581B7ED52}"/>
    <cellStyle name="Percent 5 2 2 2" xfId="491" xr:uid="{1040F2DC-FEBF-4F09-A000-2499F8407CCC}"/>
    <cellStyle name="Percent 5 2 2 2 2" xfId="886" xr:uid="{05EE3F67-C4EF-4CB5-9197-0692A643CCED}"/>
    <cellStyle name="Percent 5 2 2 3" xfId="699" xr:uid="{856E5BD2-38E0-482F-9665-3A89E218739B}"/>
    <cellStyle name="Percent 5 2 3" xfId="187" xr:uid="{140DB0AC-8FA5-416F-96B7-5A7B32189BD3}"/>
    <cellStyle name="Percent 5 2 3 2" xfId="492" xr:uid="{AA149CB5-1A4B-4113-AC46-917A4451FFD1}"/>
    <cellStyle name="Percent 5 2 3 2 2" xfId="887" xr:uid="{6B930BDD-DC8F-484B-B2C3-4CA07833C612}"/>
    <cellStyle name="Percent 5 2 3 3" xfId="700" xr:uid="{ED247D24-AF2C-465B-86B8-0B29EC6CF83F}"/>
    <cellStyle name="Percent 5 2 4" xfId="493" xr:uid="{05C82940-4F05-4633-B553-8D1C370A61E5}"/>
    <cellStyle name="Percent 5 2 4 2" xfId="888" xr:uid="{0B9DEE56-CE2A-477A-AD92-A0948F89602A}"/>
    <cellStyle name="Percent 5 2 5" xfId="698" xr:uid="{31EAF93B-F02C-4627-976F-B39A1CB91AFB}"/>
    <cellStyle name="Percent 5 3" xfId="188" xr:uid="{F67D5B85-BC78-4AC3-B748-D03F3DFA2A8D}"/>
    <cellStyle name="Percent 5 3 2" xfId="189" xr:uid="{2F217FE6-5A08-465E-A901-8724D066A6AC}"/>
    <cellStyle name="Percent 5 3 2 2" xfId="494" xr:uid="{265BD0B2-C3AB-4C39-B7FE-CAFFB33AA2E4}"/>
    <cellStyle name="Percent 5 3 2 2 2" xfId="889" xr:uid="{6722F2CE-0424-4DCC-A880-84807375D3FF}"/>
    <cellStyle name="Percent 5 3 2 3" xfId="702" xr:uid="{15D36A58-50C6-47FA-93A6-7071599F7087}"/>
    <cellStyle name="Percent 5 3 3" xfId="495" xr:uid="{8B7A5AA9-92DA-4C6F-BB5C-A7A3C7BB8548}"/>
    <cellStyle name="Percent 5 3 3 2" xfId="890" xr:uid="{B52FDDDC-F6B2-4A7C-9F87-4597207B60B3}"/>
    <cellStyle name="Percent 5 3 4" xfId="701" xr:uid="{5E3ACC19-193D-44BD-BA7F-56DAF370C62F}"/>
    <cellStyle name="Percent 5 4" xfId="190" xr:uid="{7FEC4E8B-F3D6-45E8-8CA1-345EEF325DB7}"/>
    <cellStyle name="Percent 5 4 2" xfId="191" xr:uid="{1866ED85-67B5-47F0-9ED6-CE1D04460986}"/>
    <cellStyle name="Percent 5 4 2 2" xfId="496" xr:uid="{4A78EEF7-809A-40ED-B39E-C078B64AF01C}"/>
    <cellStyle name="Percent 5 4 2 2 2" xfId="891" xr:uid="{06AE4AB6-A6F0-4262-AEE6-7156DE528B5A}"/>
    <cellStyle name="Percent 5 4 2 3" xfId="704" xr:uid="{E908FF27-908F-4E81-9A8B-C49A8C773C71}"/>
    <cellStyle name="Percent 5 4 3" xfId="497" xr:uid="{6F891A61-2DC1-413A-AB85-8DC5E81A6C4B}"/>
    <cellStyle name="Percent 5 4 3 2" xfId="892" xr:uid="{47103791-63DA-4453-83A5-D28B7B04B98D}"/>
    <cellStyle name="Percent 5 4 4" xfId="703" xr:uid="{B52D96F9-A1B1-43A9-B423-9188FD52A274}"/>
    <cellStyle name="Percent 5 5" xfId="192" xr:uid="{FA3FA6A4-EF16-412F-8FA8-2CF5CBAD064F}"/>
    <cellStyle name="Percent 5 5 2" xfId="193" xr:uid="{21F2B901-FFD5-4DAB-9B45-7E504F1A5D72}"/>
    <cellStyle name="Percent 5 5 2 2" xfId="498" xr:uid="{21C6261B-718F-4C43-A590-6ECC7307DD4B}"/>
    <cellStyle name="Percent 5 5 2 2 2" xfId="893" xr:uid="{5804D9AC-53D7-404B-80F5-628130829DE3}"/>
    <cellStyle name="Percent 5 5 2 3" xfId="706" xr:uid="{40748EAE-3EA6-401D-A7C1-7570FD9CFD46}"/>
    <cellStyle name="Percent 5 5 3" xfId="499" xr:uid="{0908D477-6A56-42A3-927B-39551E979696}"/>
    <cellStyle name="Percent 5 5 3 2" xfId="894" xr:uid="{BED5B879-63F4-4322-91AF-6B2E79552774}"/>
    <cellStyle name="Percent 5 5 4" xfId="705" xr:uid="{A2B07912-6B4D-4E5E-9008-564AA347D315}"/>
    <cellStyle name="Percent 5 6" xfId="194" xr:uid="{D1DA554E-EA78-4A07-9C89-D2CA60245221}"/>
    <cellStyle name="Percent 5 6 2" xfId="500" xr:uid="{35AA08AA-0B8A-4EC4-B33F-A55F2A534B1B}"/>
    <cellStyle name="Percent 5 6 2 2" xfId="895" xr:uid="{842E293C-6B1F-45D9-A8E5-BF039CD99512}"/>
    <cellStyle name="Percent 5 6 3" xfId="707" xr:uid="{3D90178A-02A8-40B4-AC98-F268918D2C92}"/>
    <cellStyle name="Percent 5 7" xfId="195" xr:uid="{5C0CE868-DA72-4F7B-ACCC-7232771596F2}"/>
    <cellStyle name="Percent 5 7 2" xfId="501" xr:uid="{724241AD-225E-4813-A690-4FB183D6F6FB}"/>
    <cellStyle name="Percent 5 7 2 2" xfId="896" xr:uid="{4B4FF5E9-0EA2-4C8A-8B32-0AB9A03406E1}"/>
    <cellStyle name="Percent 5 7 3" xfId="708" xr:uid="{53BECC03-6ECB-426F-85B5-141104800940}"/>
    <cellStyle name="Percent 5 8" xfId="196" xr:uid="{37AF61E8-6079-4B6E-8944-E45A58160797}"/>
    <cellStyle name="Percent 5 8 2" xfId="502" xr:uid="{4494F439-43FA-4879-80EA-6B0D2198D2C0}"/>
    <cellStyle name="Percent 5 8 2 2" xfId="897" xr:uid="{EBE4F8B6-54A2-41E0-BA95-788CF89A4187}"/>
    <cellStyle name="Percent 5 8 3" xfId="709" xr:uid="{BA05D97A-D6C2-45B8-A974-0989DA062E9A}"/>
    <cellStyle name="Percent 5 9" xfId="503" xr:uid="{BF53D453-258F-4819-9872-D32992B0F781}"/>
    <cellStyle name="Percent 5 9 2" xfId="898" xr:uid="{08D20936-49C3-46E5-9D5F-867771AEFA61}"/>
    <cellStyle name="Percent 6" xfId="316" xr:uid="{4CD162ED-8B99-4291-BBCD-1AF990EEAD80}"/>
    <cellStyle name="Percent 7" xfId="512" xr:uid="{759A834A-83F9-432D-8C1D-82629ECDB1FF}"/>
    <cellStyle name="Percent 9" xfId="317" xr:uid="{DD95FB85-CDB8-430A-91C3-6CE06CE4B9F2}"/>
    <cellStyle name="Total 2" xfId="318" xr:uid="{27406089-2671-4EFA-A0A3-7D1AFC48ED0A}"/>
    <cellStyle name="Warning Text 2" xfId="319" xr:uid="{C78BD984-7B24-4DB5-93FC-8F3102B97673}"/>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37</xdr:col>
      <xdr:colOff>449614</xdr:colOff>
      <xdr:row>62</xdr:row>
      <xdr:rowOff>169419</xdr:rowOff>
    </xdr:from>
    <xdr:to>
      <xdr:col>38</xdr:col>
      <xdr:colOff>641241</xdr:colOff>
      <xdr:row>62</xdr:row>
      <xdr:rowOff>169419</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169419</xdr:rowOff>
    </xdr:from>
    <xdr:to>
      <xdr:col>38</xdr:col>
      <xdr:colOff>526941</xdr:colOff>
      <xdr:row>64</xdr:row>
      <xdr:rowOff>64650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72</xdr:row>
      <xdr:rowOff>176201</xdr:rowOff>
    </xdr:from>
    <xdr:to>
      <xdr:col>38</xdr:col>
      <xdr:colOff>526941</xdr:colOff>
      <xdr:row>72</xdr:row>
      <xdr:rowOff>176201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72</xdr:row>
      <xdr:rowOff>176201</xdr:rowOff>
    </xdr:from>
    <xdr:to>
      <xdr:col>38</xdr:col>
      <xdr:colOff>603141</xdr:colOff>
      <xdr:row>72</xdr:row>
      <xdr:rowOff>176201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169419</xdr:rowOff>
    </xdr:from>
    <xdr:to>
      <xdr:col>38</xdr:col>
      <xdr:colOff>603141</xdr:colOff>
      <xdr:row>62</xdr:row>
      <xdr:rowOff>169419</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12333</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59616</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16</xdr:row>
      <xdr:rowOff>104417</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83894</xdr:rowOff>
    </xdr:from>
    <xdr:to>
      <xdr:col>38</xdr:col>
      <xdr:colOff>641241</xdr:colOff>
      <xdr:row>47</xdr:row>
      <xdr:rowOff>83894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83894</xdr:rowOff>
    </xdr:from>
    <xdr:to>
      <xdr:col>38</xdr:col>
      <xdr:colOff>526941</xdr:colOff>
      <xdr:row>52</xdr:row>
      <xdr:rowOff>124652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155402</xdr:rowOff>
    </xdr:from>
    <xdr:to>
      <xdr:col>38</xdr:col>
      <xdr:colOff>526941</xdr:colOff>
      <xdr:row>54</xdr:row>
      <xdr:rowOff>155402</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155402</xdr:rowOff>
    </xdr:from>
    <xdr:to>
      <xdr:col>38</xdr:col>
      <xdr:colOff>603141</xdr:colOff>
      <xdr:row>54</xdr:row>
      <xdr:rowOff>155402</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83894</xdr:rowOff>
    </xdr:from>
    <xdr:to>
      <xdr:col>38</xdr:col>
      <xdr:colOff>603141</xdr:colOff>
      <xdr:row>47</xdr:row>
      <xdr:rowOff>83894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12333</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59616</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16</xdr:row>
      <xdr:rowOff>104417</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136011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37122</xdr:rowOff>
    </xdr:from>
    <xdr:to>
      <xdr:col>38</xdr:col>
      <xdr:colOff>492418</xdr:colOff>
      <xdr:row>50</xdr:row>
      <xdr:rowOff>143951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37122</xdr:rowOff>
    </xdr:from>
    <xdr:to>
      <xdr:col>38</xdr:col>
      <xdr:colOff>568618</xdr:colOff>
      <xdr:row>50</xdr:row>
      <xdr:rowOff>143951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136011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37122</xdr:rowOff>
    </xdr:from>
    <xdr:to>
      <xdr:col>38</xdr:col>
      <xdr:colOff>492418</xdr:colOff>
      <xdr:row>50</xdr:row>
      <xdr:rowOff>143951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37122</xdr:rowOff>
    </xdr:from>
    <xdr:to>
      <xdr:col>38</xdr:col>
      <xdr:colOff>568618</xdr:colOff>
      <xdr:row>50</xdr:row>
      <xdr:rowOff>143951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118956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50</xdr:row>
      <xdr:rowOff>120577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50</xdr:row>
      <xdr:rowOff>120577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118956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50</xdr:row>
      <xdr:rowOff>120577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50</xdr:row>
      <xdr:rowOff>120577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38</xdr:row>
      <xdr:rowOff>192231</xdr:rowOff>
    </xdr:from>
    <xdr:to>
      <xdr:col>38</xdr:col>
      <xdr:colOff>608623</xdr:colOff>
      <xdr:row>39</xdr:row>
      <xdr:rowOff>32435</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118956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50</xdr:row>
      <xdr:rowOff>120577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50</xdr:row>
      <xdr:rowOff>120577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38</xdr:row>
      <xdr:rowOff>192231</xdr:rowOff>
    </xdr:from>
    <xdr:to>
      <xdr:col>38</xdr:col>
      <xdr:colOff>568618</xdr:colOff>
      <xdr:row>39</xdr:row>
      <xdr:rowOff>32435</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608623</xdr:colOff>
      <xdr:row>39</xdr:row>
      <xdr:rowOff>156123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39</xdr:row>
      <xdr:rowOff>155277</xdr:rowOff>
    </xdr:from>
    <xdr:to>
      <xdr:col>38</xdr:col>
      <xdr:colOff>456223</xdr:colOff>
      <xdr:row>54</xdr:row>
      <xdr:rowOff>107970</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532423</xdr:colOff>
      <xdr:row>39</xdr:row>
      <xdr:rowOff>156123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79265</xdr:rowOff>
    </xdr:from>
    <xdr:to>
      <xdr:col>3</xdr:col>
      <xdr:colOff>304800</xdr:colOff>
      <xdr:row>26</xdr:row>
      <xdr:rowOff>65946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57085</xdr:rowOff>
    </xdr:from>
    <xdr:to>
      <xdr:col>20</xdr:col>
      <xdr:colOff>149519</xdr:colOff>
      <xdr:row>27</xdr:row>
      <xdr:rowOff>220674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608623</xdr:colOff>
      <xdr:row>39</xdr:row>
      <xdr:rowOff>156123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39</xdr:row>
      <xdr:rowOff>155277</xdr:rowOff>
    </xdr:from>
    <xdr:to>
      <xdr:col>38</xdr:col>
      <xdr:colOff>456223</xdr:colOff>
      <xdr:row>54</xdr:row>
      <xdr:rowOff>107970</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532423</xdr:colOff>
      <xdr:row>39</xdr:row>
      <xdr:rowOff>156123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79265</xdr:rowOff>
    </xdr:from>
    <xdr:to>
      <xdr:col>3</xdr:col>
      <xdr:colOff>304800</xdr:colOff>
      <xdr:row>26</xdr:row>
      <xdr:rowOff>65946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57085</xdr:rowOff>
    </xdr:from>
    <xdr:to>
      <xdr:col>20</xdr:col>
      <xdr:colOff>149519</xdr:colOff>
      <xdr:row>27</xdr:row>
      <xdr:rowOff>220674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608623</xdr:colOff>
      <xdr:row>57</xdr:row>
      <xdr:rowOff>126444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191124</xdr:rowOff>
    </xdr:from>
    <xdr:to>
      <xdr:col>38</xdr:col>
      <xdr:colOff>456223</xdr:colOff>
      <xdr:row>65</xdr:row>
      <xdr:rowOff>108851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532423</xdr:colOff>
      <xdr:row>57</xdr:row>
      <xdr:rowOff>126444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149519</xdr:colOff>
      <xdr:row>34</xdr:row>
      <xdr:rowOff>608401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608623</xdr:colOff>
      <xdr:row>57</xdr:row>
      <xdr:rowOff>126444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191124</xdr:rowOff>
    </xdr:from>
    <xdr:to>
      <xdr:col>38</xdr:col>
      <xdr:colOff>456223</xdr:colOff>
      <xdr:row>65</xdr:row>
      <xdr:rowOff>108851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532423</xdr:colOff>
      <xdr:row>57</xdr:row>
      <xdr:rowOff>126444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117134</xdr:colOff>
      <xdr:row>34</xdr:row>
      <xdr:rowOff>608401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608623</xdr:colOff>
      <xdr:row>57</xdr:row>
      <xdr:rowOff>126444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191955</xdr:rowOff>
    </xdr:from>
    <xdr:to>
      <xdr:col>38</xdr:col>
      <xdr:colOff>456223</xdr:colOff>
      <xdr:row>65</xdr:row>
      <xdr:rowOff>108851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532423</xdr:colOff>
      <xdr:row>57</xdr:row>
      <xdr:rowOff>126444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113324</xdr:colOff>
      <xdr:row>34</xdr:row>
      <xdr:rowOff>608401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608623</xdr:colOff>
      <xdr:row>57</xdr:row>
      <xdr:rowOff>126444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191955</xdr:rowOff>
    </xdr:from>
    <xdr:to>
      <xdr:col>38</xdr:col>
      <xdr:colOff>456223</xdr:colOff>
      <xdr:row>65</xdr:row>
      <xdr:rowOff>108851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532423</xdr:colOff>
      <xdr:row>57</xdr:row>
      <xdr:rowOff>126444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113324</xdr:colOff>
      <xdr:row>34</xdr:row>
      <xdr:rowOff>608401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276052</xdr:rowOff>
    </xdr:from>
    <xdr:to>
      <xdr:col>40</xdr:col>
      <xdr:colOff>349885</xdr:colOff>
      <xdr:row>63</xdr:row>
      <xdr:rowOff>237502</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173626</xdr:rowOff>
    </xdr:from>
    <xdr:to>
      <xdr:col>40</xdr:col>
      <xdr:colOff>228600</xdr:colOff>
      <xdr:row>84</xdr:row>
      <xdr:rowOff>120538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126703</xdr:rowOff>
    </xdr:from>
    <xdr:to>
      <xdr:col>38</xdr:col>
      <xdr:colOff>457200</xdr:colOff>
      <xdr:row>60</xdr:row>
      <xdr:rowOff>87311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126703</xdr:rowOff>
    </xdr:from>
    <xdr:to>
      <xdr:col>38</xdr:col>
      <xdr:colOff>533400</xdr:colOff>
      <xdr:row>60</xdr:row>
      <xdr:rowOff>87311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64786</xdr:rowOff>
    </xdr:from>
    <xdr:to>
      <xdr:col>40</xdr:col>
      <xdr:colOff>228600</xdr:colOff>
      <xdr:row>69</xdr:row>
      <xdr:rowOff>139286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180284</xdr:rowOff>
    </xdr:from>
    <xdr:to>
      <xdr:col>3</xdr:col>
      <xdr:colOff>304800</xdr:colOff>
      <xdr:row>32</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119875</xdr:rowOff>
    </xdr:from>
    <xdr:to>
      <xdr:col>20</xdr:col>
      <xdr:colOff>152400</xdr:colOff>
      <xdr:row>46</xdr:row>
      <xdr:rowOff>5608</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909190</xdr:rowOff>
    </xdr:from>
    <xdr:to>
      <xdr:col>20</xdr:col>
      <xdr:colOff>311785</xdr:colOff>
      <xdr:row>37</xdr:row>
      <xdr:rowOff>121159</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137086</xdr:rowOff>
    </xdr:from>
    <xdr:to>
      <xdr:col>40</xdr:col>
      <xdr:colOff>342900</xdr:colOff>
      <xdr:row>81</xdr:row>
      <xdr:rowOff>101599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17181</xdr:rowOff>
    </xdr:from>
    <xdr:to>
      <xdr:col>40</xdr:col>
      <xdr:colOff>228600</xdr:colOff>
      <xdr:row>113</xdr:row>
      <xdr:rowOff>71718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119641</xdr:rowOff>
    </xdr:from>
    <xdr:to>
      <xdr:col>38</xdr:col>
      <xdr:colOff>450215</xdr:colOff>
      <xdr:row>77</xdr:row>
      <xdr:rowOff>33244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119641</xdr:rowOff>
    </xdr:from>
    <xdr:to>
      <xdr:col>38</xdr:col>
      <xdr:colOff>533400</xdr:colOff>
      <xdr:row>77</xdr:row>
      <xdr:rowOff>33244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17181</xdr:rowOff>
    </xdr:from>
    <xdr:to>
      <xdr:col>40</xdr:col>
      <xdr:colOff>228600</xdr:colOff>
      <xdr:row>90</xdr:row>
      <xdr:rowOff>98425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910216</xdr:rowOff>
    </xdr:from>
    <xdr:to>
      <xdr:col>3</xdr:col>
      <xdr:colOff>304800</xdr:colOff>
      <xdr:row>37</xdr:row>
      <xdr:rowOff>84231</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117215</xdr:rowOff>
    </xdr:from>
    <xdr:to>
      <xdr:col>20</xdr:col>
      <xdr:colOff>145415</xdr:colOff>
      <xdr:row>60</xdr:row>
      <xdr:rowOff>333673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38586</xdr:rowOff>
    </xdr:from>
    <xdr:to>
      <xdr:col>3</xdr:col>
      <xdr:colOff>304800</xdr:colOff>
      <xdr:row>18</xdr:row>
      <xdr:rowOff>117213</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218702</xdr:rowOff>
    </xdr:from>
    <xdr:to>
      <xdr:col>3</xdr:col>
      <xdr:colOff>304800</xdr:colOff>
      <xdr:row>20</xdr:row>
      <xdr:rowOff>122069</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23420</xdr:rowOff>
    </xdr:from>
    <xdr:to>
      <xdr:col>3</xdr:col>
      <xdr:colOff>304800</xdr:colOff>
      <xdr:row>46</xdr:row>
      <xdr:rowOff>350933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103951</xdr:rowOff>
    </xdr:from>
    <xdr:to>
      <xdr:col>20</xdr:col>
      <xdr:colOff>335915</xdr:colOff>
      <xdr:row>48</xdr:row>
      <xdr:rowOff>159421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121024</xdr:rowOff>
    </xdr:from>
    <xdr:to>
      <xdr:col>40</xdr:col>
      <xdr:colOff>342900</xdr:colOff>
      <xdr:row>82</xdr:row>
      <xdr:rowOff>121396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178173</xdr:rowOff>
    </xdr:from>
    <xdr:to>
      <xdr:col>40</xdr:col>
      <xdr:colOff>238125</xdr:colOff>
      <xdr:row>115</xdr:row>
      <xdr:rowOff>52667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90393</xdr:rowOff>
    </xdr:from>
    <xdr:to>
      <xdr:col>38</xdr:col>
      <xdr:colOff>438150</xdr:colOff>
      <xdr:row>77</xdr:row>
      <xdr:rowOff>175186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90393</xdr:rowOff>
    </xdr:from>
    <xdr:to>
      <xdr:col>38</xdr:col>
      <xdr:colOff>542925</xdr:colOff>
      <xdr:row>77</xdr:row>
      <xdr:rowOff>175186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178173</xdr:rowOff>
    </xdr:from>
    <xdr:to>
      <xdr:col>40</xdr:col>
      <xdr:colOff>238125</xdr:colOff>
      <xdr:row>91</xdr:row>
      <xdr:rowOff>119903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910851</xdr:rowOff>
    </xdr:from>
    <xdr:to>
      <xdr:col>3</xdr:col>
      <xdr:colOff>304800</xdr:colOff>
      <xdr:row>37</xdr:row>
      <xdr:rowOff>84231</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103095</xdr:rowOff>
    </xdr:from>
    <xdr:to>
      <xdr:col>20</xdr:col>
      <xdr:colOff>133350</xdr:colOff>
      <xdr:row>60</xdr:row>
      <xdr:rowOff>316192</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39221</xdr:rowOff>
    </xdr:from>
    <xdr:to>
      <xdr:col>3</xdr:col>
      <xdr:colOff>304800</xdr:colOff>
      <xdr:row>18</xdr:row>
      <xdr:rowOff>101973</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218702</xdr:rowOff>
    </xdr:from>
    <xdr:to>
      <xdr:col>3</xdr:col>
      <xdr:colOff>304800</xdr:colOff>
      <xdr:row>20</xdr:row>
      <xdr:rowOff>106829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108885</xdr:rowOff>
    </xdr:from>
    <xdr:to>
      <xdr:col>3</xdr:col>
      <xdr:colOff>314325</xdr:colOff>
      <xdr:row>46</xdr:row>
      <xdr:rowOff>180414</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273239</xdr:rowOff>
    </xdr:from>
    <xdr:to>
      <xdr:col>20</xdr:col>
      <xdr:colOff>333375</xdr:colOff>
      <xdr:row>50</xdr:row>
      <xdr:rowOff>21479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66</xdr:row>
      <xdr:rowOff>138953</xdr:rowOff>
    </xdr:from>
    <xdr:to>
      <xdr:col>40</xdr:col>
      <xdr:colOff>342900</xdr:colOff>
      <xdr:row>71</xdr:row>
      <xdr:rowOff>36606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143996</xdr:rowOff>
    </xdr:from>
    <xdr:to>
      <xdr:col>40</xdr:col>
      <xdr:colOff>228600</xdr:colOff>
      <xdr:row>100</xdr:row>
      <xdr:rowOff>16621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65</xdr:row>
      <xdr:rowOff>142877</xdr:rowOff>
    </xdr:from>
    <xdr:to>
      <xdr:col>38</xdr:col>
      <xdr:colOff>438150</xdr:colOff>
      <xdr:row>66</xdr:row>
      <xdr:rowOff>144369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65</xdr:row>
      <xdr:rowOff>142877</xdr:rowOff>
    </xdr:from>
    <xdr:to>
      <xdr:col>38</xdr:col>
      <xdr:colOff>533400</xdr:colOff>
      <xdr:row>66</xdr:row>
      <xdr:rowOff>144369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143996</xdr:rowOff>
    </xdr:from>
    <xdr:to>
      <xdr:col>40</xdr:col>
      <xdr:colOff>228600</xdr:colOff>
      <xdr:row>77</xdr:row>
      <xdr:rowOff>21478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910851</xdr:rowOff>
    </xdr:from>
    <xdr:to>
      <xdr:col>3</xdr:col>
      <xdr:colOff>304800</xdr:colOff>
      <xdr:row>37</xdr:row>
      <xdr:rowOff>84231</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103095</xdr:rowOff>
    </xdr:from>
    <xdr:to>
      <xdr:col>20</xdr:col>
      <xdr:colOff>133350</xdr:colOff>
      <xdr:row>60</xdr:row>
      <xdr:rowOff>332627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39221</xdr:rowOff>
    </xdr:from>
    <xdr:to>
      <xdr:col>3</xdr:col>
      <xdr:colOff>304800</xdr:colOff>
      <xdr:row>18</xdr:row>
      <xdr:rowOff>101973</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218702</xdr:rowOff>
    </xdr:from>
    <xdr:to>
      <xdr:col>3</xdr:col>
      <xdr:colOff>304800</xdr:colOff>
      <xdr:row>20</xdr:row>
      <xdr:rowOff>106829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90506</xdr:rowOff>
    </xdr:from>
    <xdr:to>
      <xdr:col>40</xdr:col>
      <xdr:colOff>342900</xdr:colOff>
      <xdr:row>60</xdr:row>
      <xdr:rowOff>42582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192330</xdr:rowOff>
    </xdr:from>
    <xdr:to>
      <xdr:col>40</xdr:col>
      <xdr:colOff>228600</xdr:colOff>
      <xdr:row>78</xdr:row>
      <xdr:rowOff>56179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56215</xdr:rowOff>
    </xdr:from>
    <xdr:to>
      <xdr:col>38</xdr:col>
      <xdr:colOff>419100</xdr:colOff>
      <xdr:row>55</xdr:row>
      <xdr:rowOff>300316</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56215</xdr:rowOff>
    </xdr:from>
    <xdr:to>
      <xdr:col>38</xdr:col>
      <xdr:colOff>533400</xdr:colOff>
      <xdr:row>55</xdr:row>
      <xdr:rowOff>300316</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192330</xdr:rowOff>
    </xdr:from>
    <xdr:to>
      <xdr:col>40</xdr:col>
      <xdr:colOff>228600</xdr:colOff>
      <xdr:row>59</xdr:row>
      <xdr:rowOff>281380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180562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87966</xdr:rowOff>
    </xdr:from>
    <xdr:to>
      <xdr:col>40</xdr:col>
      <xdr:colOff>342900</xdr:colOff>
      <xdr:row>60</xdr:row>
      <xdr:rowOff>42582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78</xdr:row>
      <xdr:rowOff>51734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56215</xdr:rowOff>
    </xdr:from>
    <xdr:to>
      <xdr:col>38</xdr:col>
      <xdr:colOff>419100</xdr:colOff>
      <xdr:row>55</xdr:row>
      <xdr:rowOff>300316</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56215</xdr:rowOff>
    </xdr:from>
    <xdr:to>
      <xdr:col>38</xdr:col>
      <xdr:colOff>533400</xdr:colOff>
      <xdr:row>55</xdr:row>
      <xdr:rowOff>300316</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59</xdr:row>
      <xdr:rowOff>278840</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172942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87966</xdr:rowOff>
    </xdr:from>
    <xdr:to>
      <xdr:col>40</xdr:col>
      <xdr:colOff>342900</xdr:colOff>
      <xdr:row>60</xdr:row>
      <xdr:rowOff>42582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78</xdr:row>
      <xdr:rowOff>51734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56215</xdr:rowOff>
    </xdr:from>
    <xdr:to>
      <xdr:col>38</xdr:col>
      <xdr:colOff>419100</xdr:colOff>
      <xdr:row>55</xdr:row>
      <xdr:rowOff>300316</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56215</xdr:rowOff>
    </xdr:from>
    <xdr:to>
      <xdr:col>38</xdr:col>
      <xdr:colOff>533400</xdr:colOff>
      <xdr:row>55</xdr:row>
      <xdr:rowOff>300316</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59</xdr:row>
      <xdr:rowOff>278840</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172942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185235</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828264</xdr:rowOff>
    </xdr:from>
    <xdr:to>
      <xdr:col>20</xdr:col>
      <xdr:colOff>160020</xdr:colOff>
      <xdr:row>37</xdr:row>
      <xdr:rowOff>139513</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185235</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828264</xdr:rowOff>
    </xdr:from>
    <xdr:to>
      <xdr:col>20</xdr:col>
      <xdr:colOff>160020</xdr:colOff>
      <xdr:row>37</xdr:row>
      <xdr:rowOff>139513</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185235</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828264</xdr:rowOff>
    </xdr:from>
    <xdr:to>
      <xdr:col>20</xdr:col>
      <xdr:colOff>160020</xdr:colOff>
      <xdr:row>37</xdr:row>
      <xdr:rowOff>139513</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61968</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109592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109592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247800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163156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43329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89272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89272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243355</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154266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43329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89272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89272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243355</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154266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43329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89272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89272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243355</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154266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144992</xdr:rowOff>
    </xdr:from>
    <xdr:to>
      <xdr:col>4</xdr:col>
      <xdr:colOff>0</xdr:colOff>
      <xdr:row>29</xdr:row>
      <xdr:rowOff>88547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144992</xdr:rowOff>
    </xdr:from>
    <xdr:to>
      <xdr:col>4</xdr:col>
      <xdr:colOff>0</xdr:colOff>
      <xdr:row>29</xdr:row>
      <xdr:rowOff>88547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140759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63852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63852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124883</xdr:rowOff>
    </xdr:from>
    <xdr:to>
      <xdr:col>4</xdr:col>
      <xdr:colOff>447040</xdr:colOff>
      <xdr:row>25</xdr:row>
      <xdr:rowOff>161995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103574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107808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8</xdr:col>
      <xdr:colOff>218712</xdr:colOff>
      <xdr:row>92</xdr:row>
      <xdr:rowOff>28644</xdr:rowOff>
    </xdr:from>
    <xdr:to>
      <xdr:col>10</xdr:col>
      <xdr:colOff>218712</xdr:colOff>
      <xdr:row>92</xdr:row>
      <xdr:rowOff>28644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3</xdr:col>
      <xdr:colOff>142240</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92</xdr:row>
      <xdr:rowOff>28644</xdr:rowOff>
    </xdr:from>
    <xdr:to>
      <xdr:col>10</xdr:col>
      <xdr:colOff>218712</xdr:colOff>
      <xdr:row>92</xdr:row>
      <xdr:rowOff>28644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65</xdr:row>
      <xdr:rowOff>68489</xdr:rowOff>
    </xdr:from>
    <xdr:to>
      <xdr:col>10</xdr:col>
      <xdr:colOff>198120</xdr:colOff>
      <xdr:row>65</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65</xdr:row>
      <xdr:rowOff>68489</xdr:rowOff>
    </xdr:from>
    <xdr:to>
      <xdr:col>13</xdr:col>
      <xdr:colOff>198120</xdr:colOff>
      <xdr:row>65</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2781300</xdr:colOff>
      <xdr:row>75</xdr:row>
      <xdr:rowOff>578</xdr:rowOff>
    </xdr:from>
    <xdr:to>
      <xdr:col>5</xdr:col>
      <xdr:colOff>190500</xdr:colOff>
      <xdr:row>81</xdr:row>
      <xdr:rowOff>93407</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88879</xdr:rowOff>
    </xdr:from>
    <xdr:to>
      <xdr:col>5</xdr:col>
      <xdr:colOff>190500</xdr:colOff>
      <xdr:row>82</xdr:row>
      <xdr:rowOff>126593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126766</xdr:rowOff>
    </xdr:from>
    <xdr:to>
      <xdr:col>5</xdr:col>
      <xdr:colOff>190500</xdr:colOff>
      <xdr:row>83</xdr:row>
      <xdr:rowOff>88113</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11312</xdr:rowOff>
    </xdr:from>
    <xdr:to>
      <xdr:col>5</xdr:col>
      <xdr:colOff>190500</xdr:colOff>
      <xdr:row>85</xdr:row>
      <xdr:rowOff>11021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11384</xdr:rowOff>
    </xdr:from>
    <xdr:to>
      <xdr:col>5</xdr:col>
      <xdr:colOff>190500</xdr:colOff>
      <xdr:row>131</xdr:row>
      <xdr:rowOff>65130</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126282</xdr:rowOff>
    </xdr:from>
    <xdr:to>
      <xdr:col>5</xdr:col>
      <xdr:colOff>190500</xdr:colOff>
      <xdr:row>115</xdr:row>
      <xdr:rowOff>102313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75</xdr:row>
      <xdr:rowOff>12280</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69</xdr:row>
      <xdr:rowOff>86741</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63</xdr:row>
      <xdr:rowOff>10002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174369</xdr:rowOff>
    </xdr:from>
    <xdr:to>
      <xdr:col>5</xdr:col>
      <xdr:colOff>190500</xdr:colOff>
      <xdr:row>62</xdr:row>
      <xdr:rowOff>48193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88492</xdr:rowOff>
    </xdr:from>
    <xdr:to>
      <xdr:col>5</xdr:col>
      <xdr:colOff>190500</xdr:colOff>
      <xdr:row>61</xdr:row>
      <xdr:rowOff>49913</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145513</xdr:rowOff>
    </xdr:from>
    <xdr:to>
      <xdr:col>6</xdr:col>
      <xdr:colOff>38100</xdr:colOff>
      <xdr:row>113</xdr:row>
      <xdr:rowOff>53980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66183</xdr:rowOff>
    </xdr:from>
    <xdr:to>
      <xdr:col>5</xdr:col>
      <xdr:colOff>190500</xdr:colOff>
      <xdr:row>61</xdr:row>
      <xdr:rowOff>47767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87428</xdr:rowOff>
    </xdr:from>
    <xdr:to>
      <xdr:col>5</xdr:col>
      <xdr:colOff>190500</xdr:colOff>
      <xdr:row>61</xdr:row>
      <xdr:rowOff>160643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107401</xdr:rowOff>
    </xdr:from>
    <xdr:to>
      <xdr:col>5</xdr:col>
      <xdr:colOff>190500</xdr:colOff>
      <xdr:row>62</xdr:row>
      <xdr:rowOff>151482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143254</xdr:rowOff>
    </xdr:from>
    <xdr:to>
      <xdr:col>5</xdr:col>
      <xdr:colOff>190500</xdr:colOff>
      <xdr:row>63</xdr:row>
      <xdr:rowOff>162639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66815</xdr:rowOff>
    </xdr:from>
    <xdr:to>
      <xdr:col>5</xdr:col>
      <xdr:colOff>190500</xdr:colOff>
      <xdr:row>110</xdr:row>
      <xdr:rowOff>126030</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88389</xdr:rowOff>
    </xdr:from>
    <xdr:to>
      <xdr:col>5</xdr:col>
      <xdr:colOff>190500</xdr:colOff>
      <xdr:row>97</xdr:row>
      <xdr:rowOff>29317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105906</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50</xdr:row>
      <xdr:rowOff>383791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47</xdr:row>
      <xdr:rowOff>178852</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47</xdr:row>
      <xdr:rowOff>31469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46</xdr:row>
      <xdr:rowOff>26829</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2059</xdr:rowOff>
    </xdr:from>
    <xdr:to>
      <xdr:col>6</xdr:col>
      <xdr:colOff>38100</xdr:colOff>
      <xdr:row>95</xdr:row>
      <xdr:rowOff>87438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123831</xdr:rowOff>
    </xdr:from>
    <xdr:to>
      <xdr:col>5</xdr:col>
      <xdr:colOff>190500</xdr:colOff>
      <xdr:row>84</xdr:row>
      <xdr:rowOff>105177</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125101</xdr:rowOff>
    </xdr:from>
    <xdr:to>
      <xdr:col>5</xdr:col>
      <xdr:colOff>190500</xdr:colOff>
      <xdr:row>85</xdr:row>
      <xdr:rowOff>66965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126375</xdr:rowOff>
    </xdr:from>
    <xdr:to>
      <xdr:col>5</xdr:col>
      <xdr:colOff>190500</xdr:colOff>
      <xdr:row>86</xdr:row>
      <xdr:rowOff>30582</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49848</xdr:rowOff>
    </xdr:from>
    <xdr:to>
      <xdr:col>5</xdr:col>
      <xdr:colOff>190500</xdr:colOff>
      <xdr:row>87</xdr:row>
      <xdr:rowOff>11493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107</xdr:row>
      <xdr:rowOff>67513</xdr:rowOff>
    </xdr:from>
    <xdr:to>
      <xdr:col>5</xdr:col>
      <xdr:colOff>190500</xdr:colOff>
      <xdr:row>122</xdr:row>
      <xdr:rowOff>141049</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106507</xdr:rowOff>
    </xdr:from>
    <xdr:to>
      <xdr:col>5</xdr:col>
      <xdr:colOff>190500</xdr:colOff>
      <xdr:row>81</xdr:row>
      <xdr:rowOff>10478</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29563</xdr:rowOff>
    </xdr:from>
    <xdr:to>
      <xdr:col>5</xdr:col>
      <xdr:colOff>190500</xdr:colOff>
      <xdr:row>74</xdr:row>
      <xdr:rowOff>177947</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88099</xdr:rowOff>
    </xdr:from>
    <xdr:to>
      <xdr:col>5</xdr:col>
      <xdr:colOff>190500</xdr:colOff>
      <xdr:row>68</xdr:row>
      <xdr:rowOff>10894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50018</xdr:rowOff>
    </xdr:from>
    <xdr:to>
      <xdr:col>5</xdr:col>
      <xdr:colOff>190500</xdr:colOff>
      <xdr:row>67</xdr:row>
      <xdr:rowOff>106430</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49239</xdr:rowOff>
    </xdr:from>
    <xdr:to>
      <xdr:col>5</xdr:col>
      <xdr:colOff>190500</xdr:colOff>
      <xdr:row>66</xdr:row>
      <xdr:rowOff>49239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67513</xdr:rowOff>
    </xdr:from>
    <xdr:to>
      <xdr:col>6</xdr:col>
      <xdr:colOff>38100</xdr:colOff>
      <xdr:row>120</xdr:row>
      <xdr:rowOff>145916</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131809</xdr:rowOff>
    </xdr:from>
    <xdr:to>
      <xdr:col>5</xdr:col>
      <xdr:colOff>190500</xdr:colOff>
      <xdr:row>97</xdr:row>
      <xdr:rowOff>498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10079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131809</xdr:rowOff>
    </xdr:from>
    <xdr:to>
      <xdr:col>5</xdr:col>
      <xdr:colOff>190500</xdr:colOff>
      <xdr:row>97</xdr:row>
      <xdr:rowOff>498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10079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93708</xdr:rowOff>
    </xdr:from>
    <xdr:to>
      <xdr:col>5</xdr:col>
      <xdr:colOff>190500</xdr:colOff>
      <xdr:row>97</xdr:row>
      <xdr:rowOff>498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10079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93708</xdr:rowOff>
    </xdr:from>
    <xdr:to>
      <xdr:col>5</xdr:col>
      <xdr:colOff>190500</xdr:colOff>
      <xdr:row>97</xdr:row>
      <xdr:rowOff>498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93708</xdr:rowOff>
    </xdr:from>
    <xdr:to>
      <xdr:col>6</xdr:col>
      <xdr:colOff>38100</xdr:colOff>
      <xdr:row>95</xdr:row>
      <xdr:rowOff>10079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47</xdr:row>
      <xdr:rowOff>216721</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428153</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69472</xdr:rowOff>
    </xdr:from>
    <xdr:to>
      <xdr:col>5</xdr:col>
      <xdr:colOff>637540</xdr:colOff>
      <xdr:row>64</xdr:row>
      <xdr:rowOff>74781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29774</xdr:rowOff>
    </xdr:from>
    <xdr:to>
      <xdr:col>5</xdr:col>
      <xdr:colOff>637540</xdr:colOff>
      <xdr:row>65</xdr:row>
      <xdr:rowOff>49594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160340</xdr:rowOff>
    </xdr:from>
    <xdr:to>
      <xdr:col>5</xdr:col>
      <xdr:colOff>637540</xdr:colOff>
      <xdr:row>66</xdr:row>
      <xdr:rowOff>86914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10576</xdr:rowOff>
    </xdr:from>
    <xdr:to>
      <xdr:col>5</xdr:col>
      <xdr:colOff>637540</xdr:colOff>
      <xdr:row>67</xdr:row>
      <xdr:rowOff>86110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10899</xdr:rowOff>
    </xdr:from>
    <xdr:to>
      <xdr:col>5</xdr:col>
      <xdr:colOff>637540</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637540</xdr:colOff>
      <xdr:row>90</xdr:row>
      <xdr:rowOff>86563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637540</xdr:colOff>
      <xdr:row>92</xdr:row>
      <xdr:rowOff>86068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47</xdr:row>
      <xdr:rowOff>216721</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428153</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69472</xdr:rowOff>
    </xdr:from>
    <xdr:to>
      <xdr:col>5</xdr:col>
      <xdr:colOff>637540</xdr:colOff>
      <xdr:row>64</xdr:row>
      <xdr:rowOff>74781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29774</xdr:rowOff>
    </xdr:from>
    <xdr:to>
      <xdr:col>5</xdr:col>
      <xdr:colOff>637540</xdr:colOff>
      <xdr:row>65</xdr:row>
      <xdr:rowOff>49594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160340</xdr:rowOff>
    </xdr:from>
    <xdr:to>
      <xdr:col>5</xdr:col>
      <xdr:colOff>637540</xdr:colOff>
      <xdr:row>66</xdr:row>
      <xdr:rowOff>86914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10576</xdr:rowOff>
    </xdr:from>
    <xdr:to>
      <xdr:col>5</xdr:col>
      <xdr:colOff>637540</xdr:colOff>
      <xdr:row>67</xdr:row>
      <xdr:rowOff>86110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10899</xdr:rowOff>
    </xdr:from>
    <xdr:to>
      <xdr:col>5</xdr:col>
      <xdr:colOff>637540</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637540</xdr:colOff>
      <xdr:row>90</xdr:row>
      <xdr:rowOff>86563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637540</xdr:colOff>
      <xdr:row>92</xdr:row>
      <xdr:rowOff>86068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47</xdr:row>
      <xdr:rowOff>178549</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408044</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637540</xdr:colOff>
      <xdr:row>64</xdr:row>
      <xdr:rowOff>74781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637540</xdr:colOff>
      <xdr:row>65</xdr:row>
      <xdr:rowOff>49594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637540</xdr:colOff>
      <xdr:row>66</xdr:row>
      <xdr:rowOff>86914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637540</xdr:colOff>
      <xdr:row>67</xdr:row>
      <xdr:rowOff>86110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637540</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637540</xdr:colOff>
      <xdr:row>90</xdr:row>
      <xdr:rowOff>86563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637540</xdr:colOff>
      <xdr:row>92</xdr:row>
      <xdr:rowOff>86068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609600</xdr:colOff>
      <xdr:row>64</xdr:row>
      <xdr:rowOff>74781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609600</xdr:colOff>
      <xdr:row>65</xdr:row>
      <xdr:rowOff>49594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609600</xdr:colOff>
      <xdr:row>66</xdr:row>
      <xdr:rowOff>86914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86110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609600</xdr:colOff>
      <xdr:row>90</xdr:row>
      <xdr:rowOff>86563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86068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609600</xdr:colOff>
      <xdr:row>64</xdr:row>
      <xdr:rowOff>74781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609600</xdr:colOff>
      <xdr:row>65</xdr:row>
      <xdr:rowOff>49594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609600</xdr:colOff>
      <xdr:row>66</xdr:row>
      <xdr:rowOff>86914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86110</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609600</xdr:colOff>
      <xdr:row>90</xdr:row>
      <xdr:rowOff>86563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86068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609600</xdr:colOff>
      <xdr:row>64</xdr:row>
      <xdr:rowOff>74781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609600</xdr:colOff>
      <xdr:row>65</xdr:row>
      <xdr:rowOff>49594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609600</xdr:colOff>
      <xdr:row>66</xdr:row>
      <xdr:rowOff>86914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86110</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609600</xdr:colOff>
      <xdr:row>90</xdr:row>
      <xdr:rowOff>86563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86068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104854</xdr:rowOff>
    </xdr:from>
    <xdr:to>
      <xdr:col>6</xdr:col>
      <xdr:colOff>38100</xdr:colOff>
      <xdr:row>97</xdr:row>
      <xdr:rowOff>182650</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181970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258170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145817</xdr:rowOff>
    </xdr:from>
    <xdr:to>
      <xdr:col>5</xdr:col>
      <xdr:colOff>609600</xdr:colOff>
      <xdr:row>48</xdr:row>
      <xdr:rowOff>350601</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298001</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466888</xdr:rowOff>
    </xdr:from>
    <xdr:to>
      <xdr:col>5</xdr:col>
      <xdr:colOff>609600</xdr:colOff>
      <xdr:row>50</xdr:row>
      <xdr:rowOff>44618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107352</xdr:rowOff>
    </xdr:from>
    <xdr:to>
      <xdr:col>5</xdr:col>
      <xdr:colOff>609600</xdr:colOff>
      <xdr:row>68</xdr:row>
      <xdr:rowOff>30367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131624</xdr:rowOff>
    </xdr:from>
    <xdr:to>
      <xdr:col>5</xdr:col>
      <xdr:colOff>609600</xdr:colOff>
      <xdr:row>68</xdr:row>
      <xdr:rowOff>258739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159636</xdr:rowOff>
    </xdr:from>
    <xdr:to>
      <xdr:col>5</xdr:col>
      <xdr:colOff>609600</xdr:colOff>
      <xdr:row>69</xdr:row>
      <xdr:rowOff>10622</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1684</xdr:rowOff>
    </xdr:from>
    <xdr:to>
      <xdr:col>5</xdr:col>
      <xdr:colOff>609600</xdr:colOff>
      <xdr:row>70</xdr:row>
      <xdr:rowOff>31502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49945</xdr:rowOff>
    </xdr:from>
    <xdr:to>
      <xdr:col>5</xdr:col>
      <xdr:colOff>609600</xdr:colOff>
      <xdr:row>92</xdr:row>
      <xdr:rowOff>107424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107424</xdr:rowOff>
    </xdr:from>
    <xdr:to>
      <xdr:col>5</xdr:col>
      <xdr:colOff>609600</xdr:colOff>
      <xdr:row>99</xdr:row>
      <xdr:rowOff>73782</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107424</xdr:rowOff>
    </xdr:from>
    <xdr:to>
      <xdr:col>5</xdr:col>
      <xdr:colOff>609600</xdr:colOff>
      <xdr:row>98</xdr:row>
      <xdr:rowOff>79034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67583</xdr:rowOff>
    </xdr:from>
    <xdr:to>
      <xdr:col>6</xdr:col>
      <xdr:colOff>66040</xdr:colOff>
      <xdr:row>121</xdr:row>
      <xdr:rowOff>141050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48181</xdr:rowOff>
    </xdr:from>
    <xdr:to>
      <xdr:col>5</xdr:col>
      <xdr:colOff>609600</xdr:colOff>
      <xdr:row>80</xdr:row>
      <xdr:rowOff>87920</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12512</xdr:rowOff>
    </xdr:from>
    <xdr:to>
      <xdr:col>5</xdr:col>
      <xdr:colOff>637540</xdr:colOff>
      <xdr:row>78</xdr:row>
      <xdr:rowOff>48291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143867</xdr:rowOff>
    </xdr:from>
    <xdr:to>
      <xdr:col>5</xdr:col>
      <xdr:colOff>609600</xdr:colOff>
      <xdr:row>71</xdr:row>
      <xdr:rowOff>67034</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50527</xdr:rowOff>
    </xdr:from>
    <xdr:to>
      <xdr:col>5</xdr:col>
      <xdr:colOff>609600</xdr:colOff>
      <xdr:row>72</xdr:row>
      <xdr:rowOff>10404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30440</xdr:rowOff>
    </xdr:from>
    <xdr:to>
      <xdr:col>5</xdr:col>
      <xdr:colOff>609600</xdr:colOff>
      <xdr:row>72</xdr:row>
      <xdr:rowOff>171459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30120</xdr:rowOff>
    </xdr:from>
    <xdr:to>
      <xdr:col>5</xdr:col>
      <xdr:colOff>609600</xdr:colOff>
      <xdr:row>92</xdr:row>
      <xdr:rowOff>105023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30118</xdr:rowOff>
    </xdr:from>
    <xdr:to>
      <xdr:col>5</xdr:col>
      <xdr:colOff>609600</xdr:colOff>
      <xdr:row>93</xdr:row>
      <xdr:rowOff>88187</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11068</xdr:rowOff>
    </xdr:from>
    <xdr:to>
      <xdr:col>5</xdr:col>
      <xdr:colOff>609600</xdr:colOff>
      <xdr:row>94</xdr:row>
      <xdr:rowOff>107236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11070</xdr:rowOff>
    </xdr:from>
    <xdr:to>
      <xdr:col>5</xdr:col>
      <xdr:colOff>609600</xdr:colOff>
      <xdr:row>95</xdr:row>
      <xdr:rowOff>124168</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123589</xdr:rowOff>
    </xdr:from>
    <xdr:to>
      <xdr:col>5</xdr:col>
      <xdr:colOff>609600</xdr:colOff>
      <xdr:row>114</xdr:row>
      <xdr:rowOff>140342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123590</xdr:rowOff>
    </xdr:from>
    <xdr:to>
      <xdr:col>5</xdr:col>
      <xdr:colOff>609600</xdr:colOff>
      <xdr:row>139</xdr:row>
      <xdr:rowOff>78366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123590</xdr:rowOff>
    </xdr:from>
    <xdr:to>
      <xdr:col>5</xdr:col>
      <xdr:colOff>609600</xdr:colOff>
      <xdr:row>137</xdr:row>
      <xdr:rowOff>160068</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140453</xdr:rowOff>
    </xdr:from>
    <xdr:to>
      <xdr:col>6</xdr:col>
      <xdr:colOff>57150</xdr:colOff>
      <xdr:row>127</xdr:row>
      <xdr:rowOff>7879</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86717</xdr:rowOff>
    </xdr:from>
    <xdr:to>
      <xdr:col>5</xdr:col>
      <xdr:colOff>628650</xdr:colOff>
      <xdr:row>84</xdr:row>
      <xdr:rowOff>88666</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162917</xdr:rowOff>
    </xdr:from>
    <xdr:to>
      <xdr:col>5</xdr:col>
      <xdr:colOff>628650</xdr:colOff>
      <xdr:row>84</xdr:row>
      <xdr:rowOff>50566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11705</xdr:rowOff>
    </xdr:from>
    <xdr:to>
      <xdr:col>5</xdr:col>
      <xdr:colOff>628650</xdr:colOff>
      <xdr:row>74</xdr:row>
      <xdr:rowOff>86083</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11705</xdr:rowOff>
    </xdr:from>
    <xdr:to>
      <xdr:col>5</xdr:col>
      <xdr:colOff>628650</xdr:colOff>
      <xdr:row>73</xdr:row>
      <xdr:rowOff>105488</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76</xdr:row>
      <xdr:rowOff>36439</xdr:rowOff>
    </xdr:from>
    <xdr:to>
      <xdr:col>5</xdr:col>
      <xdr:colOff>609600</xdr:colOff>
      <xdr:row>78</xdr:row>
      <xdr:rowOff>30088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11241</xdr:rowOff>
    </xdr:from>
    <xdr:to>
      <xdr:col>5</xdr:col>
      <xdr:colOff>609600</xdr:colOff>
      <xdr:row>97</xdr:row>
      <xdr:rowOff>54474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11987</xdr:rowOff>
    </xdr:from>
    <xdr:to>
      <xdr:col>5</xdr:col>
      <xdr:colOff>609600</xdr:colOff>
      <xdr:row>98</xdr:row>
      <xdr:rowOff>16839</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31701</xdr:rowOff>
    </xdr:from>
    <xdr:to>
      <xdr:col>5</xdr:col>
      <xdr:colOff>609600</xdr:colOff>
      <xdr:row>98</xdr:row>
      <xdr:rowOff>168359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12580</xdr:rowOff>
    </xdr:from>
    <xdr:to>
      <xdr:col>5</xdr:col>
      <xdr:colOff>609600</xdr:colOff>
      <xdr:row>99</xdr:row>
      <xdr:rowOff>87329</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567</xdr:rowOff>
    </xdr:from>
    <xdr:to>
      <xdr:col>5</xdr:col>
      <xdr:colOff>609600</xdr:colOff>
      <xdr:row>120</xdr:row>
      <xdr:rowOff>8938</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140836</xdr:rowOff>
    </xdr:from>
    <xdr:to>
      <xdr:col>5</xdr:col>
      <xdr:colOff>609600</xdr:colOff>
      <xdr:row>184</xdr:row>
      <xdr:rowOff>66088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140836</xdr:rowOff>
    </xdr:from>
    <xdr:to>
      <xdr:col>5</xdr:col>
      <xdr:colOff>609600</xdr:colOff>
      <xdr:row>182</xdr:row>
      <xdr:rowOff>140838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150531</xdr:rowOff>
    </xdr:from>
    <xdr:to>
      <xdr:col>6</xdr:col>
      <xdr:colOff>57150</xdr:colOff>
      <xdr:row>103</xdr:row>
      <xdr:rowOff>107141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219896</xdr:rowOff>
    </xdr:from>
    <xdr:to>
      <xdr:col>5</xdr:col>
      <xdr:colOff>628650</xdr:colOff>
      <xdr:row>58</xdr:row>
      <xdr:rowOff>183681</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296096</xdr:rowOff>
    </xdr:from>
    <xdr:to>
      <xdr:col>5</xdr:col>
      <xdr:colOff>628650</xdr:colOff>
      <xdr:row>58</xdr:row>
      <xdr:rowOff>180154</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139707</xdr:rowOff>
    </xdr:from>
    <xdr:to>
      <xdr:col>5</xdr:col>
      <xdr:colOff>628650</xdr:colOff>
      <xdr:row>52</xdr:row>
      <xdr:rowOff>161115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353752</xdr:rowOff>
    </xdr:from>
    <xdr:to>
      <xdr:col>5</xdr:col>
      <xdr:colOff>628650</xdr:colOff>
      <xdr:row>52</xdr:row>
      <xdr:rowOff>26097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190627</xdr:rowOff>
    </xdr:from>
    <xdr:to>
      <xdr:col>5</xdr:col>
      <xdr:colOff>609600</xdr:colOff>
      <xdr:row>56</xdr:row>
      <xdr:rowOff>191094</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144646</xdr:rowOff>
    </xdr:from>
    <xdr:to>
      <xdr:col>5</xdr:col>
      <xdr:colOff>609600</xdr:colOff>
      <xdr:row>74</xdr:row>
      <xdr:rowOff>68797</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125598</xdr:rowOff>
    </xdr:from>
    <xdr:to>
      <xdr:col>5</xdr:col>
      <xdr:colOff>609600</xdr:colOff>
      <xdr:row>75</xdr:row>
      <xdr:rowOff>68801</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125596</xdr:rowOff>
    </xdr:from>
    <xdr:to>
      <xdr:col>5</xdr:col>
      <xdr:colOff>609600</xdr:colOff>
      <xdr:row>76</xdr:row>
      <xdr:rowOff>68799</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125598</xdr:rowOff>
    </xdr:from>
    <xdr:to>
      <xdr:col>5</xdr:col>
      <xdr:colOff>609600</xdr:colOff>
      <xdr:row>77</xdr:row>
      <xdr:rowOff>68800</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229646</xdr:rowOff>
    </xdr:from>
    <xdr:to>
      <xdr:col>5</xdr:col>
      <xdr:colOff>609600</xdr:colOff>
      <xdr:row>99</xdr:row>
      <xdr:rowOff>47899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162471</xdr:rowOff>
    </xdr:from>
    <xdr:to>
      <xdr:col>5</xdr:col>
      <xdr:colOff>609600</xdr:colOff>
      <xdr:row>122</xdr:row>
      <xdr:rowOff>27282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162471</xdr:rowOff>
    </xdr:from>
    <xdr:to>
      <xdr:col>5</xdr:col>
      <xdr:colOff>609600</xdr:colOff>
      <xdr:row>120</xdr:row>
      <xdr:rowOff>144404</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50087</xdr:rowOff>
    </xdr:from>
    <xdr:to>
      <xdr:col>6</xdr:col>
      <xdr:colOff>38100</xdr:colOff>
      <xdr:row>96</xdr:row>
      <xdr:rowOff>124098</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447696</xdr:rowOff>
    </xdr:from>
    <xdr:to>
      <xdr:col>5</xdr:col>
      <xdr:colOff>609600</xdr:colOff>
      <xdr:row>50</xdr:row>
      <xdr:rowOff>162003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85710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314453</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125808</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86282</xdr:rowOff>
    </xdr:from>
    <xdr:to>
      <xdr:col>5</xdr:col>
      <xdr:colOff>609600</xdr:colOff>
      <xdr:row>94</xdr:row>
      <xdr:rowOff>162386</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125439</xdr:rowOff>
    </xdr:from>
    <xdr:to>
      <xdr:col>5</xdr:col>
      <xdr:colOff>609600</xdr:colOff>
      <xdr:row>121</xdr:row>
      <xdr:rowOff>111245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125439</xdr:rowOff>
    </xdr:from>
    <xdr:to>
      <xdr:col>5</xdr:col>
      <xdr:colOff>609600</xdr:colOff>
      <xdr:row>121</xdr:row>
      <xdr:rowOff>111245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50087</xdr:rowOff>
    </xdr:from>
    <xdr:to>
      <xdr:col>6</xdr:col>
      <xdr:colOff>38100</xdr:colOff>
      <xdr:row>96</xdr:row>
      <xdr:rowOff>124098</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88187</xdr:rowOff>
    </xdr:from>
    <xdr:to>
      <xdr:col>5</xdr:col>
      <xdr:colOff>609600</xdr:colOff>
      <xdr:row>94</xdr:row>
      <xdr:rowOff>151591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50087</xdr:rowOff>
    </xdr:from>
    <xdr:to>
      <xdr:col>6</xdr:col>
      <xdr:colOff>38100</xdr:colOff>
      <xdr:row>96</xdr:row>
      <xdr:rowOff>124098</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88187</xdr:rowOff>
    </xdr:from>
    <xdr:to>
      <xdr:col>5</xdr:col>
      <xdr:colOff>609600</xdr:colOff>
      <xdr:row>94</xdr:row>
      <xdr:rowOff>151591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66159</xdr:rowOff>
    </xdr:from>
    <xdr:to>
      <xdr:col>6</xdr:col>
      <xdr:colOff>38100</xdr:colOff>
      <xdr:row>192</xdr:row>
      <xdr:rowOff>164887</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7500</xdr:rowOff>
    </xdr:from>
    <xdr:to>
      <xdr:col>5</xdr:col>
      <xdr:colOff>609600</xdr:colOff>
      <xdr:row>190</xdr:row>
      <xdr:rowOff>45600</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170091</xdr:rowOff>
    </xdr:from>
    <xdr:to>
      <xdr:col>5</xdr:col>
      <xdr:colOff>618490</xdr:colOff>
      <xdr:row>101</xdr:row>
      <xdr:rowOff>345</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93480</xdr:rowOff>
    </xdr:from>
    <xdr:to>
      <xdr:col>5</xdr:col>
      <xdr:colOff>618490</xdr:colOff>
      <xdr:row>102</xdr:row>
      <xdr:rowOff>151803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105118</xdr:rowOff>
    </xdr:from>
    <xdr:to>
      <xdr:col>5</xdr:col>
      <xdr:colOff>618490</xdr:colOff>
      <xdr:row>105</xdr:row>
      <xdr:rowOff>160059</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105120</xdr:rowOff>
    </xdr:from>
    <xdr:to>
      <xdr:col>5</xdr:col>
      <xdr:colOff>618490</xdr:colOff>
      <xdr:row>106</xdr:row>
      <xdr:rowOff>160057</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31037</xdr:rowOff>
    </xdr:from>
    <xdr:to>
      <xdr:col>5</xdr:col>
      <xdr:colOff>618490</xdr:colOff>
      <xdr:row>95</xdr:row>
      <xdr:rowOff>124169</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31037</xdr:rowOff>
    </xdr:from>
    <xdr:to>
      <xdr:col>5</xdr:col>
      <xdr:colOff>618490</xdr:colOff>
      <xdr:row>96</xdr:row>
      <xdr:rowOff>126215</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31036</xdr:rowOff>
    </xdr:from>
    <xdr:to>
      <xdr:col>5</xdr:col>
      <xdr:colOff>618490</xdr:colOff>
      <xdr:row>97</xdr:row>
      <xdr:rowOff>67174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31037</xdr:rowOff>
    </xdr:from>
    <xdr:to>
      <xdr:col>5</xdr:col>
      <xdr:colOff>618490</xdr:colOff>
      <xdr:row>98</xdr:row>
      <xdr:rowOff>10489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66159</xdr:rowOff>
    </xdr:from>
    <xdr:to>
      <xdr:col>6</xdr:col>
      <xdr:colOff>38100</xdr:colOff>
      <xdr:row>192</xdr:row>
      <xdr:rowOff>164887</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7500</xdr:rowOff>
    </xdr:from>
    <xdr:to>
      <xdr:col>5</xdr:col>
      <xdr:colOff>609600</xdr:colOff>
      <xdr:row>190</xdr:row>
      <xdr:rowOff>45600</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170091</xdr:rowOff>
    </xdr:from>
    <xdr:to>
      <xdr:col>5</xdr:col>
      <xdr:colOff>618490</xdr:colOff>
      <xdr:row>101</xdr:row>
      <xdr:rowOff>345</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93480</xdr:rowOff>
    </xdr:from>
    <xdr:to>
      <xdr:col>5</xdr:col>
      <xdr:colOff>618490</xdr:colOff>
      <xdr:row>102</xdr:row>
      <xdr:rowOff>151803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105118</xdr:rowOff>
    </xdr:from>
    <xdr:to>
      <xdr:col>5</xdr:col>
      <xdr:colOff>618490</xdr:colOff>
      <xdr:row>105</xdr:row>
      <xdr:rowOff>160059</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105120</xdr:rowOff>
    </xdr:from>
    <xdr:to>
      <xdr:col>5</xdr:col>
      <xdr:colOff>618490</xdr:colOff>
      <xdr:row>106</xdr:row>
      <xdr:rowOff>160057</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31037</xdr:rowOff>
    </xdr:from>
    <xdr:to>
      <xdr:col>5</xdr:col>
      <xdr:colOff>618490</xdr:colOff>
      <xdr:row>95</xdr:row>
      <xdr:rowOff>124169</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31037</xdr:rowOff>
    </xdr:from>
    <xdr:to>
      <xdr:col>5</xdr:col>
      <xdr:colOff>618490</xdr:colOff>
      <xdr:row>96</xdr:row>
      <xdr:rowOff>126215</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31036</xdr:rowOff>
    </xdr:from>
    <xdr:to>
      <xdr:col>5</xdr:col>
      <xdr:colOff>618490</xdr:colOff>
      <xdr:row>97</xdr:row>
      <xdr:rowOff>67174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31037</xdr:rowOff>
    </xdr:from>
    <xdr:to>
      <xdr:col>5</xdr:col>
      <xdr:colOff>618490</xdr:colOff>
      <xdr:row>98</xdr:row>
      <xdr:rowOff>10489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66159</xdr:rowOff>
    </xdr:from>
    <xdr:to>
      <xdr:col>6</xdr:col>
      <xdr:colOff>38100</xdr:colOff>
      <xdr:row>192</xdr:row>
      <xdr:rowOff>164887</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7500</xdr:rowOff>
    </xdr:from>
    <xdr:to>
      <xdr:col>5</xdr:col>
      <xdr:colOff>609600</xdr:colOff>
      <xdr:row>190</xdr:row>
      <xdr:rowOff>45600</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170091</xdr:rowOff>
    </xdr:from>
    <xdr:to>
      <xdr:col>5</xdr:col>
      <xdr:colOff>618490</xdr:colOff>
      <xdr:row>101</xdr:row>
      <xdr:rowOff>345</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93480</xdr:rowOff>
    </xdr:from>
    <xdr:to>
      <xdr:col>5</xdr:col>
      <xdr:colOff>618490</xdr:colOff>
      <xdr:row>102</xdr:row>
      <xdr:rowOff>151803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105118</xdr:rowOff>
    </xdr:from>
    <xdr:to>
      <xdr:col>5</xdr:col>
      <xdr:colOff>618490</xdr:colOff>
      <xdr:row>105</xdr:row>
      <xdr:rowOff>160059</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105120</xdr:rowOff>
    </xdr:from>
    <xdr:to>
      <xdr:col>5</xdr:col>
      <xdr:colOff>618490</xdr:colOff>
      <xdr:row>106</xdr:row>
      <xdr:rowOff>160057</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31037</xdr:rowOff>
    </xdr:from>
    <xdr:to>
      <xdr:col>5</xdr:col>
      <xdr:colOff>618490</xdr:colOff>
      <xdr:row>95</xdr:row>
      <xdr:rowOff>124169</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31037</xdr:rowOff>
    </xdr:from>
    <xdr:to>
      <xdr:col>5</xdr:col>
      <xdr:colOff>618490</xdr:colOff>
      <xdr:row>96</xdr:row>
      <xdr:rowOff>126215</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31036</xdr:rowOff>
    </xdr:from>
    <xdr:to>
      <xdr:col>5</xdr:col>
      <xdr:colOff>618490</xdr:colOff>
      <xdr:row>97</xdr:row>
      <xdr:rowOff>67174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31037</xdr:rowOff>
    </xdr:from>
    <xdr:to>
      <xdr:col>5</xdr:col>
      <xdr:colOff>618490</xdr:colOff>
      <xdr:row>98</xdr:row>
      <xdr:rowOff>10489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64889</xdr:rowOff>
    </xdr:from>
    <xdr:to>
      <xdr:col>6</xdr:col>
      <xdr:colOff>38100</xdr:colOff>
      <xdr:row>192</xdr:row>
      <xdr:rowOff>164887</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617220</xdr:colOff>
      <xdr:row>101</xdr:row>
      <xdr:rowOff>345</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617220</xdr:colOff>
      <xdr:row>102</xdr:row>
      <xdr:rowOff>150533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617220</xdr:colOff>
      <xdr:row>105</xdr:row>
      <xdr:rowOff>160059</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617220</xdr:colOff>
      <xdr:row>106</xdr:row>
      <xdr:rowOff>160057</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617220</xdr:colOff>
      <xdr:row>95</xdr:row>
      <xdr:rowOff>124169</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617220</xdr:colOff>
      <xdr:row>96</xdr:row>
      <xdr:rowOff>126215</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617220</xdr:colOff>
      <xdr:row>97</xdr:row>
      <xdr:rowOff>67174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617220</xdr:colOff>
      <xdr:row>98</xdr:row>
      <xdr:rowOff>10489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64889</xdr:rowOff>
    </xdr:from>
    <xdr:to>
      <xdr:col>6</xdr:col>
      <xdr:colOff>38100</xdr:colOff>
      <xdr:row>192</xdr:row>
      <xdr:rowOff>164887</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617220</xdr:colOff>
      <xdr:row>101</xdr:row>
      <xdr:rowOff>345</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617220</xdr:colOff>
      <xdr:row>102</xdr:row>
      <xdr:rowOff>150533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617220</xdr:colOff>
      <xdr:row>105</xdr:row>
      <xdr:rowOff>160059</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617220</xdr:colOff>
      <xdr:row>106</xdr:row>
      <xdr:rowOff>160057</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617220</xdr:colOff>
      <xdr:row>95</xdr:row>
      <xdr:rowOff>124169</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617220</xdr:colOff>
      <xdr:row>96</xdr:row>
      <xdr:rowOff>126215</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617220</xdr:colOff>
      <xdr:row>97</xdr:row>
      <xdr:rowOff>67174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617220</xdr:colOff>
      <xdr:row>98</xdr:row>
      <xdr:rowOff>10489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64889</xdr:rowOff>
    </xdr:from>
    <xdr:to>
      <xdr:col>6</xdr:col>
      <xdr:colOff>38100</xdr:colOff>
      <xdr:row>192</xdr:row>
      <xdr:rowOff>164887</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617220</xdr:colOff>
      <xdr:row>101</xdr:row>
      <xdr:rowOff>345</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617220</xdr:colOff>
      <xdr:row>102</xdr:row>
      <xdr:rowOff>150533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617220</xdr:colOff>
      <xdr:row>105</xdr:row>
      <xdr:rowOff>160059</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617220</xdr:colOff>
      <xdr:row>106</xdr:row>
      <xdr:rowOff>160057</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617220</xdr:colOff>
      <xdr:row>95</xdr:row>
      <xdr:rowOff>124169</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617220</xdr:colOff>
      <xdr:row>96</xdr:row>
      <xdr:rowOff>126215</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617220</xdr:colOff>
      <xdr:row>97</xdr:row>
      <xdr:rowOff>67174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617220</xdr:colOff>
      <xdr:row>98</xdr:row>
      <xdr:rowOff>10489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35044</xdr:rowOff>
    </xdr:from>
    <xdr:to>
      <xdr:col>6</xdr:col>
      <xdr:colOff>38100</xdr:colOff>
      <xdr:row>192</xdr:row>
      <xdr:rowOff>164887</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609600</xdr:colOff>
      <xdr:row>101</xdr:row>
      <xdr:rowOff>345</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609600</xdr:colOff>
      <xdr:row>102</xdr:row>
      <xdr:rowOff>150533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609600</xdr:colOff>
      <xdr:row>105</xdr:row>
      <xdr:rowOff>160059</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609600</xdr:colOff>
      <xdr:row>106</xdr:row>
      <xdr:rowOff>160057</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609600</xdr:colOff>
      <xdr:row>95</xdr:row>
      <xdr:rowOff>124169</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609600</xdr:colOff>
      <xdr:row>96</xdr:row>
      <xdr:rowOff>126215</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609600</xdr:colOff>
      <xdr:row>97</xdr:row>
      <xdr:rowOff>67174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609600</xdr:colOff>
      <xdr:row>98</xdr:row>
      <xdr:rowOff>10489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124310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106295</xdr:rowOff>
    </xdr:from>
    <xdr:to>
      <xdr:col>5</xdr:col>
      <xdr:colOff>609600</xdr:colOff>
      <xdr:row>93</xdr:row>
      <xdr:rowOff>1826</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159291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159291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26765</xdr:rowOff>
    </xdr:from>
    <xdr:to>
      <xdr:col>5</xdr:col>
      <xdr:colOff>609600</xdr:colOff>
      <xdr:row>192</xdr:row>
      <xdr:rowOff>40098</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15967</xdr:rowOff>
    </xdr:from>
    <xdr:to>
      <xdr:col>5</xdr:col>
      <xdr:colOff>609600</xdr:colOff>
      <xdr:row>192</xdr:row>
      <xdr:rowOff>122077</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15967</xdr:rowOff>
    </xdr:from>
    <xdr:to>
      <xdr:col>5</xdr:col>
      <xdr:colOff>609600</xdr:colOff>
      <xdr:row>195</xdr:row>
      <xdr:rowOff>165071</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26763</xdr:rowOff>
    </xdr:from>
    <xdr:to>
      <xdr:col>5</xdr:col>
      <xdr:colOff>609600</xdr:colOff>
      <xdr:row>196</xdr:row>
      <xdr:rowOff>172691</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27213</xdr:rowOff>
    </xdr:from>
    <xdr:to>
      <xdr:col>5</xdr:col>
      <xdr:colOff>609600</xdr:colOff>
      <xdr:row>142</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45627</xdr:rowOff>
    </xdr:from>
    <xdr:to>
      <xdr:col>5</xdr:col>
      <xdr:colOff>609600</xdr:colOff>
      <xdr:row>182</xdr:row>
      <xdr:rowOff>83092</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27847</xdr:rowOff>
    </xdr:from>
    <xdr:to>
      <xdr:col>5</xdr:col>
      <xdr:colOff>609600</xdr:colOff>
      <xdr:row>182</xdr:row>
      <xdr:rowOff>163738</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27847</xdr:rowOff>
    </xdr:from>
    <xdr:to>
      <xdr:col>5</xdr:col>
      <xdr:colOff>609600</xdr:colOff>
      <xdr:row>184</xdr:row>
      <xdr:rowOff>7527</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171700</xdr:rowOff>
    </xdr:from>
    <xdr:to>
      <xdr:col>6</xdr:col>
      <xdr:colOff>38100</xdr:colOff>
      <xdr:row>96</xdr:row>
      <xdr:rowOff>107165</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105025</xdr:rowOff>
    </xdr:from>
    <xdr:to>
      <xdr:col>5</xdr:col>
      <xdr:colOff>609600</xdr:colOff>
      <xdr:row>92</xdr:row>
      <xdr:rowOff>159000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159926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159926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15970</xdr:rowOff>
    </xdr:from>
    <xdr:to>
      <xdr:col>5</xdr:col>
      <xdr:colOff>609600</xdr:colOff>
      <xdr:row>192</xdr:row>
      <xdr:rowOff>40098</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192</xdr:row>
      <xdr:rowOff>96321</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195</xdr:row>
      <xdr:rowOff>159356</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8348</xdr:rowOff>
    </xdr:from>
    <xdr:to>
      <xdr:col>5</xdr:col>
      <xdr:colOff>609600</xdr:colOff>
      <xdr:row>196</xdr:row>
      <xdr:rowOff>172056</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26578</xdr:rowOff>
    </xdr:from>
    <xdr:to>
      <xdr:col>5</xdr:col>
      <xdr:colOff>609600</xdr:colOff>
      <xdr:row>142</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45627</xdr:rowOff>
    </xdr:from>
    <xdr:to>
      <xdr:col>5</xdr:col>
      <xdr:colOff>609600</xdr:colOff>
      <xdr:row>182</xdr:row>
      <xdr:rowOff>83727</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45627</xdr:rowOff>
    </xdr:from>
    <xdr:to>
      <xdr:col>5</xdr:col>
      <xdr:colOff>609600</xdr:colOff>
      <xdr:row>182</xdr:row>
      <xdr:rowOff>140877</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45627</xdr:rowOff>
    </xdr:from>
    <xdr:to>
      <xdr:col>5</xdr:col>
      <xdr:colOff>609600</xdr:colOff>
      <xdr:row>184</xdr:row>
      <xdr:rowOff>7527</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162174</xdr:rowOff>
    </xdr:from>
    <xdr:to>
      <xdr:col>6</xdr:col>
      <xdr:colOff>38100</xdr:colOff>
      <xdr:row>97</xdr:row>
      <xdr:rowOff>48124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46426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88436</xdr:rowOff>
    </xdr:from>
    <xdr:to>
      <xdr:col>5</xdr:col>
      <xdr:colOff>609600</xdr:colOff>
      <xdr:row>50</xdr:row>
      <xdr:rowOff>313183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46426</xdr:rowOff>
    </xdr:from>
    <xdr:to>
      <xdr:col>5</xdr:col>
      <xdr:colOff>609600</xdr:colOff>
      <xdr:row>54</xdr:row>
      <xdr:rowOff>74915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69</xdr:row>
      <xdr:rowOff>105487</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143590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73</xdr:row>
      <xdr:rowOff>178513</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158999</xdr:rowOff>
    </xdr:from>
    <xdr:to>
      <xdr:col>5</xdr:col>
      <xdr:colOff>609600</xdr:colOff>
      <xdr:row>73</xdr:row>
      <xdr:rowOff>178513</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124075</xdr:rowOff>
    </xdr:from>
    <xdr:to>
      <xdr:col>5</xdr:col>
      <xdr:colOff>609600</xdr:colOff>
      <xdr:row>93</xdr:row>
      <xdr:rowOff>143125</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193</xdr:row>
      <xdr:rowOff>164886</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193</xdr:row>
      <xdr:rowOff>130424</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40098</xdr:rowOff>
    </xdr:from>
    <xdr:to>
      <xdr:col>5</xdr:col>
      <xdr:colOff>609600</xdr:colOff>
      <xdr:row>196</xdr:row>
      <xdr:rowOff>159356</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0</xdr:rowOff>
    </xdr:from>
    <xdr:to>
      <xdr:col>5</xdr:col>
      <xdr:colOff>609600</xdr:colOff>
      <xdr:row>197</xdr:row>
      <xdr:rowOff>159357</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7527</xdr:rowOff>
    </xdr:from>
    <xdr:to>
      <xdr:col>5</xdr:col>
      <xdr:colOff>609600</xdr:colOff>
      <xdr:row>183</xdr:row>
      <xdr:rowOff>7527</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45627</xdr:rowOff>
    </xdr:from>
    <xdr:to>
      <xdr:col>5</xdr:col>
      <xdr:colOff>609600</xdr:colOff>
      <xdr:row>183</xdr:row>
      <xdr:rowOff>83727</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45627</xdr:rowOff>
    </xdr:from>
    <xdr:to>
      <xdr:col>5</xdr:col>
      <xdr:colOff>609600</xdr:colOff>
      <xdr:row>183</xdr:row>
      <xdr:rowOff>125002</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45627</xdr:rowOff>
    </xdr:from>
    <xdr:to>
      <xdr:col>5</xdr:col>
      <xdr:colOff>609600</xdr:colOff>
      <xdr:row>185</xdr:row>
      <xdr:rowOff>7527</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162174</xdr:rowOff>
    </xdr:from>
    <xdr:to>
      <xdr:col>6</xdr:col>
      <xdr:colOff>38100</xdr:colOff>
      <xdr:row>97</xdr:row>
      <xdr:rowOff>48124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46426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88436</xdr:rowOff>
    </xdr:from>
    <xdr:to>
      <xdr:col>5</xdr:col>
      <xdr:colOff>609600</xdr:colOff>
      <xdr:row>50</xdr:row>
      <xdr:rowOff>313183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46426</xdr:rowOff>
    </xdr:from>
    <xdr:to>
      <xdr:col>5</xdr:col>
      <xdr:colOff>609600</xdr:colOff>
      <xdr:row>54</xdr:row>
      <xdr:rowOff>74915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69</xdr:row>
      <xdr:rowOff>105487</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143590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73</xdr:row>
      <xdr:rowOff>178513</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158999</xdr:rowOff>
    </xdr:from>
    <xdr:to>
      <xdr:col>5</xdr:col>
      <xdr:colOff>609600</xdr:colOff>
      <xdr:row>73</xdr:row>
      <xdr:rowOff>178513</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124075</xdr:rowOff>
    </xdr:from>
    <xdr:to>
      <xdr:col>5</xdr:col>
      <xdr:colOff>609600</xdr:colOff>
      <xdr:row>93</xdr:row>
      <xdr:rowOff>143125</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193</xdr:row>
      <xdr:rowOff>164886</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193</xdr:row>
      <xdr:rowOff>130424</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40098</xdr:rowOff>
    </xdr:from>
    <xdr:to>
      <xdr:col>5</xdr:col>
      <xdr:colOff>609600</xdr:colOff>
      <xdr:row>196</xdr:row>
      <xdr:rowOff>159356</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0</xdr:rowOff>
    </xdr:from>
    <xdr:to>
      <xdr:col>5</xdr:col>
      <xdr:colOff>609600</xdr:colOff>
      <xdr:row>197</xdr:row>
      <xdr:rowOff>159357</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7527</xdr:rowOff>
    </xdr:from>
    <xdr:to>
      <xdr:col>5</xdr:col>
      <xdr:colOff>609600</xdr:colOff>
      <xdr:row>183</xdr:row>
      <xdr:rowOff>7527</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45627</xdr:rowOff>
    </xdr:from>
    <xdr:to>
      <xdr:col>5</xdr:col>
      <xdr:colOff>609600</xdr:colOff>
      <xdr:row>183</xdr:row>
      <xdr:rowOff>83727</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45627</xdr:rowOff>
    </xdr:from>
    <xdr:to>
      <xdr:col>5</xdr:col>
      <xdr:colOff>609600</xdr:colOff>
      <xdr:row>183</xdr:row>
      <xdr:rowOff>125002</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45627</xdr:rowOff>
    </xdr:from>
    <xdr:to>
      <xdr:col>5</xdr:col>
      <xdr:colOff>609600</xdr:colOff>
      <xdr:row>185</xdr:row>
      <xdr:rowOff>7527</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S22" dT="2023-02-16T15:37:10.59" personId="{104078EE-2393-4C21-9029-18A325FBDB70}" id="{B0A1A7C0-E540-45B5-9EF7-622FEFFBAE85}">
    <text>Cannot pull forward -- make sure to update the formula from the monthly ur from BLS below</text>
  </threadedComment>
  <threadedComment ref="B23" dT="2022-07-27T15:11:58.57" personId="{104078EE-2393-4C21-9029-18A325FBDB70}" id="{5982A492-85E3-4B41-BB52-697C2DCEBD5D}">
    <text>May 2022, CBO Ten Year Economic Projections, Quarterly Table, Row 68</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11" dT="2023-02-15T19:42:15.43" personId="{609654FB-393E-4954-B3A3-EDB231775774}" id="{1133CB4B-569A-43E1-B7BE-00E25FCCA35F}" parentId="{02F35ABE-CA0E-4752-B4BE-50C4C795E703}">
    <text>This is now February 2023 CBO economic projections row 128 quarterly table</text>
  </threadedComment>
  <threadedComment ref="B26" dT="2022-06-30T18:28:35.88" personId="{104078EE-2393-4C21-9029-18A325FBDB70}" id="{3D5BBFAC-4E76-4F2A-B34F-264D54111B07}">
    <text>May 2022 CBO economic projections row 129 quarterly table</text>
  </threadedComment>
  <threadedComment ref="B26" dT="2023-02-15T19:43:47.77" personId="{609654FB-393E-4954-B3A3-EDB231775774}" id="{D2ED8084-9DED-49AE-9C39-DE899BA6DBE4}" parentId="{3D5BBFAC-4E76-4F2A-B34F-264D54111B07}">
    <text>This is now February 2023 CBO economic projections row 129 quarterly table</text>
  </threadedComment>
  <threadedComment ref="B27" dT="2022-06-30T18:28:35.88" personId="{104078EE-2393-4C21-9029-18A325FBDB70}" id="{C26966D0-5F4E-4F05-86F1-FB1D8326C531}">
    <text>May 2022 CBO economic projections row 129 quarterly table</text>
  </threadedComment>
  <threadedComment ref="R28" dT="2022-07-28T09:43:05.00" personId="{104078EE-2393-4C21-9029-18A325FBDB70}" id="{C49E6240-A907-4D0A-9954-9A2A9B1F4C48}">
    <text>Louise, we applied a judgemental gr based on data in the last quarter. Would you want to update the gr based on new data?</text>
  </threadedComment>
  <threadedComment ref="R28" dT="2022-07-28T14:19:09.31" personId="{104078EE-2393-4C21-9029-18A325FBDB70}" id="{7430FEA9-8516-4B56-B1C3-5BBB7552D724}" parentId="{C49E6240-A907-4D0A-9954-9A2A9B1F4C48}">
    <text>Doing so would push this up to a 13.6</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8" dT="2022-05-26T13:51:07.76" personId="{104078EE-2393-4C21-9029-18A325FBDB70}" id="{279D70D4-1DA4-45CF-A277-0E81AE26B2C4}">
    <text>May 2022 CBO 10-year budget projections Table 3-2 Mandatory Outlays Projected in CBO's baseline, adjusted to exclude effects of timing shifts, Row 18</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2-05-26T13:55:21.44" personId="{104078EE-2393-4C21-9029-18A325FBDB70}" id="{111D040E-FB3C-488C-BB9C-0651F936F05F}">
    <text>May 2022 CBO 10-year budget projections Table 3-2 Mandatory Outlays Projected in CBO's baseline, adjusted to exclude effects of timing shifts, Row 17</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4973228A-B859-43E4-ACFA-20297D4D344D}">
    <text>May 2022 CBO Revenue Projections, Table 1, Row 10</text>
  </threadedComment>
  <threadedComment ref="D51" dT="2023-02-15T20:39:04.10" personId="{609654FB-393E-4954-B3A3-EDB231775774}" id="{54F6D9F3-8868-417E-999A-B95E2C1FC589}">
    <text>February 2023 CBO Budget Projections Table 1-1 Row 11</text>
  </threadedComment>
  <threadedComment ref="D52" dT="2022-07-27T15:51:47.98" personId="{104078EE-2393-4C21-9029-18A325FBDB70}" id="{89EFBEC4-CE6C-49A7-86CA-4444ABE5288B}">
    <text>May 2022 CBO Revenue Projections, Table 1, Row 11</text>
  </threadedComment>
  <threadedComment ref="D53" dT="2023-02-15T20:40:59.29" personId="{609654FB-393E-4954-B3A3-EDB231775774}" id="{1FB99C5A-E921-4C2B-94A6-469F8368DE8C}">
    <text>February 2023 Budget Projections Table 1-1 Row 12</text>
  </threadedComment>
  <threadedComment ref="D55" dT="2022-07-27T15:52:32.00" personId="{104078EE-2393-4C21-9029-18A325FBDB70}" id="{5F297F04-CD4A-4645-BD3B-C66F7CE7B8D1}">
    <text>May 2022 CBO Revenue Projections, Table 1, Row 14</text>
  </threadedComment>
  <threadedComment ref="D56" dT="2023-02-15T20:49:24.23" personId="{609654FB-393E-4954-B3A3-EDB231775774}" id="{CE0F5DCB-3CCE-4E3D-A6E4-2AC8A4A5F19D}">
    <text>February 2023 CBO Budget Projections Table 1-6 Row 14</text>
  </threadedComment>
  <threadedComment ref="D57" dT="2022-07-27T15:52:46.05" personId="{104078EE-2393-4C21-9029-18A325FBDB70}" id="{1D989B9B-3A24-4858-8FB3-1E710B8DD936}">
    <text>May 2022 CBO Revenue Projections, Table 1, Row 16</text>
  </threadedComment>
  <threadedComment ref="D58" dT="2023-02-15T20:50:01.14" personId="{609654FB-393E-4954-B3A3-EDB231775774}" id="{B0E96582-484F-445D-8FF5-3592B5A172FA}">
    <text>February 2023 CBO Budget Projections Table 1-6 Row 16</text>
  </threadedComment>
  <threadedComment ref="D59" dT="2022-07-27T15:53:07.84" personId="{104078EE-2393-4C21-9029-18A325FBDB70}" id="{45FECB81-C2F9-44AD-A5DC-94E3F71E282A}">
    <text>May 2022 CBO Revenue Projections, Table 1, Row 12</text>
  </threadedComment>
  <threadedComment ref="D60" dT="2023-02-15T20:51:09.94" personId="{609654FB-393E-4954-B3A3-EDB231775774}" id="{E6B5A35A-07FA-4F2B-9A9E-866D21A47917}">
    <text>February 2023 CBO Budget Projections Table 1-1 Row 13</text>
  </threadedComment>
  <threadedComment ref="D78" dT="2022-07-27T15:54:14.53" personId="{104078EE-2393-4C21-9029-18A325FBDB70}" id="{7F15CBAB-E0E8-4959-9EA7-FDBB81D63943}">
    <text>May 2022 CBO Economic Projections, Fiscal Year Table, Row 92</text>
  </threadedComment>
  <threadedComment ref="D79" dT="2023-02-15T20:53:24.39" personId="{609654FB-393E-4954-B3A3-EDB231775774}" id="{BAC4C9C5-057D-4522-9D5B-345501733B13}">
    <text>February 2023 CBO Economic Projections Fiscal Year Table row 92</text>
  </threadedComment>
  <threadedComment ref="D80" dT="2022-07-27T15:54:45.28" personId="{104078EE-2393-4C21-9029-18A325FBDB70}" id="{AA1D8DB2-FD07-4163-B969-4FE5914F3989}">
    <text>May 2022 CBO Economic Projections, Fiscal Year Table, Row 96</text>
  </threadedComment>
  <threadedComment ref="D81" dT="2023-02-15T20:55:16.88" personId="{609654FB-393E-4954-B3A3-EDB231775774}" id="{903D683D-E956-41A0-87A0-4A0ACF2A3EC0}">
    <text>February 2023 CBO Economic Projections Fiscal Year Table row 96</text>
  </threadedComment>
  <threadedComment ref="D82" dT="2022-07-27T15:55:08.90" personId="{104078EE-2393-4C21-9029-18A325FBDB70}" id="{EBDFDB20-EB8F-4506-A21D-CB7A1A03FE71}">
    <text>May 2022 CBO Economic Projections, Fiscal Year Table, Row 116</text>
  </threadedComment>
  <threadedComment ref="D83" dT="2023-02-15T20:56:03.85" personId="{609654FB-393E-4954-B3A3-EDB231775774}" id="{3EBCE0D2-6A48-4CE9-BC8C-5855F5261D1F}">
    <text>February 2023 CBO Economic Projections, Fiscal Year Table row 116</text>
  </threadedComment>
  <threadedComment ref="D84" dT="2022-07-27T15:55:40.56" personId="{104078EE-2393-4C21-9029-18A325FBDB70}" id="{78217FE1-50A5-43D0-8A1A-F4A895C0231A}">
    <text>May 2022 CBO Economic Projections, Fiscal Year Table, Row 110</text>
  </threadedComment>
  <threadedComment ref="D85" dT="2023-02-15T20:57:01.88" personId="{609654FB-393E-4954-B3A3-EDB231775774}" id="{48184811-5BD0-438A-8E38-4FDE0C8DFA8F}">
    <text>February 2023 CBO Economic Projections Fiscal Year Table row 110</text>
  </threadedComment>
  <threadedComment ref="D106" dT="2022-07-27T16:01:10.90" personId="{104078EE-2393-4C21-9029-18A325FBDB70}" id="{9B1A82A6-00CC-4DDA-8055-D38EE8B0D5D9}">
    <text>May 2022 CBO Ten Year Economic Projections, Quarterly Table, Row 96</text>
  </threadedComment>
  <threadedComment ref="D107" dT="2023-02-15T21:14:11.24" personId="{609654FB-393E-4954-B3A3-EDB231775774}" id="{D2748782-D0E6-49AC-8A19-1F2FBF9255CC}">
    <text>February 2023 CBO Economic Projections Quarterly Table, row 96</text>
  </threadedComment>
  <threadedComment ref="D108" dT="2022-07-27T16:01:37.37" personId="{104078EE-2393-4C21-9029-18A325FBDB70}" id="{620A6289-6519-4211-9540-E20E4F01E5BF}">
    <text>May 2022 CBO Ten Year Economic Projections, Quarterly Table, Row 98</text>
  </threadedComment>
  <threadedComment ref="D109" dT="2023-02-15T21:14:52.42" personId="{609654FB-393E-4954-B3A3-EDB231775774}" id="{A46F7C4F-6912-4219-A6BF-9B291D29572E}">
    <text>February 2023 CBO Economic Projections quarterly tables, row 98</text>
  </threadedComment>
  <threadedComment ref="D110" dT="2022-07-27T16:02:04.85" personId="{104078EE-2393-4C21-9029-18A325FBDB70}" id="{84EBDD0E-102E-4265-BF72-829A7EB80D66}">
    <text>May 2022 CBO Ten Year Economic Projections, Quarterly Table, Row 116</text>
  </threadedComment>
  <threadedComment ref="D111" dT="2023-02-15T21:15:38.27" personId="{609654FB-393E-4954-B3A3-EDB231775774}" id="{76E953CB-BD49-43CF-8F2D-8BFB47D725D7}">
    <text>February 2023 CBO Economic Projections quarterly table, row 116</text>
  </threadedComment>
  <threadedComment ref="D112" dT="2022-03-31T15:05:09.08" personId="{104078EE-2393-4C21-9029-18A325FBDB70}" id="{CD9BE846-4C8B-47A0-B02E-37E682F6867D}">
    <text>May 2022 CBO Ten Year Economic Projections, Quarterly Table, Row 112</text>
  </threadedComment>
  <threadedComment ref="D113" dT="2023-02-15T21:16:25.78" personId="{609654FB-393E-4954-B3A3-EDB231775774}" id="{8FB584A5-2B54-4AD8-94A1-F46A717E4FE5}">
    <text>February 2023 CBO Economic Projections quarterly table row 112</text>
  </threadedComment>
  <threadedComment ref="D160" dT="2022-07-27T16:01:10.90" personId="{104078EE-2393-4C21-9029-18A325FBDB70}" id="{3DA40B3D-4A5D-452E-A72D-B2030842DDB4}">
    <text>May 2022 CBO Ten Year Economic Projections, Quarterly Table, Row 96</text>
  </threadedComment>
  <threadedComment ref="D162" dT="2022-07-27T16:01:37.37" personId="{104078EE-2393-4C21-9029-18A325FBDB70}" id="{D99B9B54-6076-41EB-BC07-437AE218B08B}">
    <text>May 2022 CBO Ten Year Economic Projections, Quarterly Table, Row 98</text>
  </threadedComment>
  <threadedComment ref="D164" dT="2022-07-27T16:02:04.85" personId="{104078EE-2393-4C21-9029-18A325FBDB70}" id="{623F5CCB-51DE-44FD-917A-D45F49A14B56}">
    <text>May 2022 CBO Ten Year Economic Projections, Quarterly Table, Row 116</text>
  </threadedComment>
  <threadedComment ref="D166" dT="2022-03-31T15:05:09.08" personId="{104078EE-2393-4C21-9029-18A325FBDB70}" id="{76D39B51-9B45-4C9D-BC1F-F3C52C7844F2}">
    <text>May 2022 CBO Ten Year Economic Projections, Quarterly Table, Row 112</text>
  </threadedComment>
  <threadedComment ref="D172" dT="2022-07-27T16:01:10.90" personId="{104078EE-2393-4C21-9029-18A325FBDB70}" id="{261212D0-3270-4BCA-9A94-F5349DB2897B}">
    <text>May 2022 CBO Ten Year Economic Projections, Quarterly Table, Row 96</text>
  </threadedComment>
  <threadedComment ref="D174" dT="2022-07-27T16:01:37.37" personId="{104078EE-2393-4C21-9029-18A325FBDB70}" id="{093CFE5E-1370-4B7D-A6E3-831D81F9257A}">
    <text>May 2022 CBO Ten Year Economic Projections, Quarterly Table, Row 98</text>
  </threadedComment>
  <threadedComment ref="D176" dT="2022-07-27T16:02:04.85" personId="{104078EE-2393-4C21-9029-18A325FBDB70}" id="{8471787A-6E7E-4D0B-B7B0-44BB3DD67EEC}">
    <text>May 2022 CBO Ten Year Economic Projections, Quarterly Table, Row 116</text>
  </threadedComment>
  <threadedComment ref="D178"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4.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383" t="s">
        <v>0</v>
      </c>
      <c r="C10" s="1384"/>
      <c r="D10" s="1384"/>
      <c r="E10" s="1384"/>
      <c r="F10" s="1384"/>
      <c r="G10" s="1384"/>
      <c r="H10" s="1384"/>
      <c r="I10" s="1384"/>
      <c r="J10" s="1384"/>
      <c r="K10" s="1384"/>
      <c r="L10" s="1384"/>
      <c r="M10" s="1384"/>
      <c r="N10" s="1384"/>
      <c r="O10" s="1384"/>
      <c r="P10" s="1384"/>
      <c r="Q10" s="1385"/>
    </row>
    <row r="11" spans="2:17" x14ac:dyDescent="0.35">
      <c r="B11" s="1386"/>
      <c r="C11" s="1387"/>
      <c r="D11" s="1387"/>
      <c r="E11" s="1387"/>
      <c r="F11" s="1387"/>
      <c r="G11" s="1387"/>
      <c r="H11" s="1387"/>
      <c r="I11" s="1387"/>
      <c r="J11" s="1387"/>
      <c r="K11" s="1387"/>
      <c r="L11" s="1387"/>
      <c r="M11" s="1387"/>
      <c r="N11" s="1387"/>
      <c r="O11" s="1387"/>
      <c r="P11" s="1387"/>
      <c r="Q11" s="1388"/>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389" t="s">
        <v>3</v>
      </c>
      <c r="D13" s="1389"/>
      <c r="E13" s="1389"/>
      <c r="F13" s="1389"/>
      <c r="G13" s="1389"/>
      <c r="H13" s="1389"/>
      <c r="I13" s="1389"/>
      <c r="J13" s="1389"/>
      <c r="K13" s="1389"/>
      <c r="L13" s="1389"/>
      <c r="M13" s="1389"/>
      <c r="N13" s="1389"/>
      <c r="O13" s="1389"/>
      <c r="P13" s="1389"/>
      <c r="Q13" s="1390"/>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889</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890</v>
      </c>
      <c r="C18" s="12" t="s">
        <v>11</v>
      </c>
      <c r="D18" s="12"/>
      <c r="E18" s="12"/>
      <c r="F18" s="12"/>
      <c r="G18" s="12"/>
      <c r="H18" s="12"/>
      <c r="I18" s="12"/>
      <c r="J18" s="12"/>
      <c r="K18" s="12"/>
      <c r="L18" s="12"/>
      <c r="M18" s="12"/>
      <c r="N18" s="12"/>
      <c r="O18" s="12"/>
      <c r="P18" s="12"/>
      <c r="Q18" s="6"/>
    </row>
    <row r="19" spans="2:17" x14ac:dyDescent="0.35">
      <c r="B19" s="3" t="s">
        <v>12</v>
      </c>
      <c r="C19" s="12" t="s">
        <v>891</v>
      </c>
      <c r="D19" s="12"/>
      <c r="E19" s="12"/>
      <c r="F19" s="12"/>
      <c r="G19" s="12"/>
      <c r="H19" s="12"/>
      <c r="I19" s="12"/>
      <c r="J19" s="12"/>
      <c r="K19" s="12"/>
      <c r="L19" s="12"/>
      <c r="M19" s="12"/>
      <c r="N19" s="12"/>
      <c r="O19" s="12"/>
      <c r="P19" s="12"/>
      <c r="Q19" s="6"/>
    </row>
    <row r="20" spans="2:17" ht="30.75" customHeight="1" x14ac:dyDescent="0.35">
      <c r="B20" s="3" t="s">
        <v>13</v>
      </c>
      <c r="C20" s="1381" t="s">
        <v>14</v>
      </c>
      <c r="D20" s="1381"/>
      <c r="E20" s="1381"/>
      <c r="F20" s="1381"/>
      <c r="G20" s="1381"/>
      <c r="H20" s="1381"/>
      <c r="I20" s="1381"/>
      <c r="J20" s="1381"/>
      <c r="K20" s="1381"/>
      <c r="L20" s="1381"/>
      <c r="M20" s="1381"/>
      <c r="N20" s="1381"/>
      <c r="O20" s="1381"/>
      <c r="P20" s="1381"/>
      <c r="Q20" s="1382"/>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893</v>
      </c>
      <c r="C22" s="1381" t="s">
        <v>892</v>
      </c>
      <c r="D22" s="1381"/>
      <c r="E22" s="1381"/>
      <c r="F22" s="1381"/>
      <c r="G22" s="1381"/>
      <c r="H22" s="1381"/>
      <c r="I22" s="1381"/>
      <c r="J22" s="1381"/>
      <c r="K22" s="1381"/>
      <c r="L22" s="1381"/>
      <c r="M22" s="1381"/>
      <c r="N22" s="1381"/>
      <c r="O22" s="1381"/>
      <c r="P22" s="1381"/>
      <c r="Q22" s="1382"/>
    </row>
    <row r="23" spans="2:17" ht="31.4" customHeight="1" x14ac:dyDescent="0.35">
      <c r="B23" s="3" t="s">
        <v>17</v>
      </c>
      <c r="C23" s="1381" t="s">
        <v>894</v>
      </c>
      <c r="D23" s="1381"/>
      <c r="E23" s="1381"/>
      <c r="F23" s="1381"/>
      <c r="G23" s="1381"/>
      <c r="H23" s="1381"/>
      <c r="I23" s="1381"/>
      <c r="J23" s="1381"/>
      <c r="K23" s="1381"/>
      <c r="L23" s="1381"/>
      <c r="M23" s="1381"/>
      <c r="N23" s="1381"/>
      <c r="O23" s="1381"/>
      <c r="P23" s="1381"/>
      <c r="Q23" s="1382"/>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895</v>
      </c>
      <c r="D27" s="12"/>
      <c r="E27" s="12"/>
      <c r="F27" s="12"/>
      <c r="G27" s="12"/>
      <c r="H27" s="12"/>
      <c r="I27" s="12"/>
      <c r="J27" s="12"/>
      <c r="K27" s="12"/>
      <c r="L27" s="12"/>
      <c r="M27" s="12"/>
      <c r="N27" s="12"/>
      <c r="O27" s="12"/>
      <c r="P27" s="12"/>
      <c r="Q27" s="6"/>
    </row>
    <row r="28" spans="2:17" x14ac:dyDescent="0.35">
      <c r="B28" s="3" t="s">
        <v>25</v>
      </c>
      <c r="C28" s="12" t="s">
        <v>896</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380" t="s">
        <v>897</v>
      </c>
      <c r="C33" s="1381"/>
      <c r="D33" s="1381"/>
      <c r="E33" s="1381"/>
      <c r="F33" s="1381"/>
      <c r="G33" s="1381"/>
      <c r="H33" s="1381"/>
      <c r="I33" s="1381"/>
      <c r="J33" s="1381"/>
      <c r="K33" s="1381"/>
      <c r="L33" s="1381"/>
      <c r="M33" s="1381"/>
      <c r="N33" s="1381"/>
      <c r="O33" s="1381"/>
      <c r="P33" s="1381"/>
      <c r="Q33" s="1382"/>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 min="26" max="26" width="9.453125" style="1066" customWidth="1"/>
  </cols>
  <sheetData>
    <row r="1" spans="1:29" ht="18.649999999999999" customHeight="1" x14ac:dyDescent="0.45">
      <c r="A1" s="1422" t="s">
        <v>1838</v>
      </c>
      <c r="B1" s="1423"/>
      <c r="C1" s="1423"/>
      <c r="D1" s="1423"/>
      <c r="E1" s="1423"/>
      <c r="F1" s="1423"/>
      <c r="G1" s="1423"/>
      <c r="H1" s="1423"/>
      <c r="I1" s="1423"/>
      <c r="J1" s="1423"/>
      <c r="K1" s="1423"/>
      <c r="L1" s="1423"/>
      <c r="M1" s="1423"/>
      <c r="N1" s="1423"/>
      <c r="O1" s="1423"/>
      <c r="P1" s="1423"/>
      <c r="Q1" s="1423"/>
      <c r="R1" s="1423"/>
      <c r="S1" s="1423"/>
      <c r="T1" s="1423"/>
      <c r="U1" s="1423"/>
      <c r="V1" s="1423"/>
      <c r="W1" s="1423"/>
      <c r="X1" s="1423"/>
      <c r="Y1" s="1423"/>
      <c r="Z1" s="1423"/>
    </row>
    <row r="2" spans="1:29" ht="17.149999999999999" customHeight="1" x14ac:dyDescent="0.4">
      <c r="A2" s="1424" t="s">
        <v>1839</v>
      </c>
      <c r="B2" s="1423"/>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row>
    <row r="3" spans="1:29" x14ac:dyDescent="0.35">
      <c r="A3" s="1423" t="s">
        <v>1840</v>
      </c>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row>
    <row r="4" spans="1:29" x14ac:dyDescent="0.35">
      <c r="A4" s="1423" t="s">
        <v>2200</v>
      </c>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row>
    <row r="5" spans="1:29" x14ac:dyDescent="0.35">
      <c r="A5" s="1066"/>
      <c r="B5" s="1066"/>
      <c r="C5" s="1066"/>
      <c r="D5" s="1066"/>
      <c r="E5" s="1066"/>
      <c r="F5" s="1066"/>
      <c r="G5" s="1066"/>
      <c r="H5" s="1066"/>
      <c r="I5" s="1066"/>
      <c r="J5" s="1066"/>
      <c r="K5" s="1066"/>
      <c r="L5" s="1066"/>
      <c r="M5" s="1066"/>
      <c r="N5" s="1066"/>
      <c r="O5" s="1066"/>
      <c r="P5" s="1066"/>
      <c r="Q5" s="1066"/>
      <c r="R5" s="1066"/>
      <c r="S5" s="1066"/>
      <c r="T5" s="1066"/>
      <c r="U5" s="1066"/>
      <c r="V5" s="1066"/>
      <c r="W5" s="1066"/>
      <c r="X5" s="1066"/>
      <c r="Y5" s="1066"/>
    </row>
    <row r="6" spans="1:29" x14ac:dyDescent="0.35">
      <c r="A6" s="1431" t="s">
        <v>871</v>
      </c>
      <c r="B6" s="1431" t="s">
        <v>2190</v>
      </c>
      <c r="C6" s="1431" t="s">
        <v>2201</v>
      </c>
      <c r="D6" s="1431"/>
      <c r="E6" s="1431"/>
      <c r="F6" s="1431"/>
      <c r="G6" s="1431"/>
      <c r="H6" s="1431"/>
      <c r="I6" s="1431"/>
      <c r="J6" s="1431"/>
      <c r="K6" s="1431"/>
      <c r="L6" s="1431"/>
      <c r="M6" s="1431"/>
      <c r="N6" s="1431"/>
      <c r="O6" s="1431" t="s">
        <v>1841</v>
      </c>
      <c r="P6" s="1431"/>
      <c r="Q6" s="1431"/>
      <c r="R6" s="1431"/>
      <c r="S6" s="1431"/>
      <c r="T6" s="1431"/>
      <c r="U6" s="1431"/>
      <c r="V6" s="1431"/>
      <c r="W6" s="1431"/>
      <c r="X6" s="1431"/>
      <c r="Y6" s="1431"/>
      <c r="Z6" s="1431"/>
      <c r="AA6" s="1428" t="s">
        <v>1882</v>
      </c>
      <c r="AB6" s="1429"/>
      <c r="AC6" s="1430"/>
    </row>
    <row r="7" spans="1:29" x14ac:dyDescent="0.35">
      <c r="A7" s="1431"/>
      <c r="B7" s="1431"/>
      <c r="C7" s="1122" t="s">
        <v>1842</v>
      </c>
      <c r="D7" s="1122" t="s">
        <v>1843</v>
      </c>
      <c r="E7" s="1122" t="s">
        <v>1844</v>
      </c>
      <c r="F7" s="1122" t="s">
        <v>1845</v>
      </c>
      <c r="G7" s="1122" t="s">
        <v>1846</v>
      </c>
      <c r="H7" s="1122" t="s">
        <v>1847</v>
      </c>
      <c r="I7" s="1122" t="s">
        <v>1848</v>
      </c>
      <c r="J7" s="1122" t="s">
        <v>1849</v>
      </c>
      <c r="K7" s="1122" t="s">
        <v>1850</v>
      </c>
      <c r="L7" s="1122" t="s">
        <v>1851</v>
      </c>
      <c r="M7" s="1122" t="s">
        <v>1852</v>
      </c>
      <c r="N7" s="1122" t="s">
        <v>1853</v>
      </c>
      <c r="O7" s="1122" t="s">
        <v>1842</v>
      </c>
      <c r="P7" s="1122" t="s">
        <v>1843</v>
      </c>
      <c r="Q7" s="1122" t="s">
        <v>1844</v>
      </c>
      <c r="R7" s="1122" t="s">
        <v>1845</v>
      </c>
      <c r="S7" s="1122" t="s">
        <v>1846</v>
      </c>
      <c r="T7" s="1122" t="s">
        <v>1847</v>
      </c>
      <c r="U7" s="1122" t="s">
        <v>1848</v>
      </c>
      <c r="V7" s="1122" t="s">
        <v>1849</v>
      </c>
      <c r="W7" s="1122" t="s">
        <v>1850</v>
      </c>
      <c r="X7" s="1122" t="s">
        <v>1851</v>
      </c>
      <c r="Y7" s="1122" t="s">
        <v>1852</v>
      </c>
      <c r="Z7" s="1122" t="s">
        <v>1853</v>
      </c>
      <c r="AA7" s="1101" t="s">
        <v>1842</v>
      </c>
      <c r="AB7" s="1101" t="s">
        <v>1843</v>
      </c>
      <c r="AC7" s="1101" t="s">
        <v>1844</v>
      </c>
    </row>
    <row r="8" spans="1:29" x14ac:dyDescent="0.35">
      <c r="A8" s="1121" t="s">
        <v>1854</v>
      </c>
      <c r="B8" s="1123" t="s">
        <v>1855</v>
      </c>
      <c r="C8" s="1123">
        <v>112.583</v>
      </c>
      <c r="D8" s="1123">
        <v>112.961</v>
      </c>
      <c r="E8" s="1123">
        <v>113.63200000000001</v>
      </c>
      <c r="F8" s="1123">
        <v>114.238</v>
      </c>
      <c r="G8" s="1123">
        <v>114.819</v>
      </c>
      <c r="H8" s="1123">
        <v>115.458</v>
      </c>
      <c r="I8" s="1123">
        <v>115.986</v>
      </c>
      <c r="J8" s="1123">
        <v>116.444</v>
      </c>
      <c r="K8" s="1123">
        <v>116.80800000000001</v>
      </c>
      <c r="L8" s="1123">
        <v>117.479</v>
      </c>
      <c r="M8" s="1123">
        <v>118.2</v>
      </c>
      <c r="N8" s="1123">
        <v>118.84099999999999</v>
      </c>
      <c r="O8" s="1123">
        <v>119.46899999999999</v>
      </c>
      <c r="P8" s="1123">
        <v>120.178</v>
      </c>
      <c r="Q8" s="1123">
        <v>121.321</v>
      </c>
      <c r="R8" s="1123">
        <v>121.563</v>
      </c>
      <c r="S8" s="1123">
        <v>122.3</v>
      </c>
      <c r="T8" s="1123">
        <v>123.512</v>
      </c>
      <c r="U8" s="1123">
        <v>123.39700000000001</v>
      </c>
      <c r="V8" s="1123">
        <v>123.72799999999999</v>
      </c>
      <c r="W8" s="1123">
        <v>124.154</v>
      </c>
      <c r="X8" s="1123">
        <v>124.623</v>
      </c>
      <c r="Y8" s="1123">
        <v>124.744</v>
      </c>
      <c r="Z8" s="1123">
        <v>124.809</v>
      </c>
      <c r="AA8" s="47">
        <f>Z8*(1+AA30)^(1/12)</f>
        <v>125.04063770784778</v>
      </c>
      <c r="AB8" s="47">
        <f t="shared" ref="AB8:AC8" si="0">AA8*(1+AB30)^(1/12)</f>
        <v>125.27270532081215</v>
      </c>
      <c r="AC8" s="47">
        <f t="shared" si="0"/>
        <v>125.50520363677016</v>
      </c>
    </row>
    <row r="9" spans="1:29" x14ac:dyDescent="0.35">
      <c r="A9" s="1121" t="s">
        <v>1856</v>
      </c>
      <c r="B9" s="1123" t="s">
        <v>1857</v>
      </c>
      <c r="C9" s="1123">
        <v>95.314999999999998</v>
      </c>
      <c r="D9" s="1123">
        <v>95.686999999999998</v>
      </c>
      <c r="E9" s="1123">
        <v>96.406000000000006</v>
      </c>
      <c r="F9" s="1123">
        <v>97.102000000000004</v>
      </c>
      <c r="G9" s="1123">
        <v>97.861000000000004</v>
      </c>
      <c r="H9" s="1123">
        <v>98.683999999999997</v>
      </c>
      <c r="I9" s="1123">
        <v>99.159000000000006</v>
      </c>
      <c r="J9" s="1123">
        <v>99.754999999999995</v>
      </c>
      <c r="K9" s="1123">
        <v>100.149</v>
      </c>
      <c r="L9" s="1123">
        <v>101.224</v>
      </c>
      <c r="M9" s="1123">
        <v>101.938</v>
      </c>
      <c r="N9" s="1123">
        <v>102.608</v>
      </c>
      <c r="O9" s="1123">
        <v>103.54</v>
      </c>
      <c r="P9" s="1123">
        <v>104.79</v>
      </c>
      <c r="Q9" s="1123">
        <v>106.631</v>
      </c>
      <c r="R9" s="1123">
        <v>106.443</v>
      </c>
      <c r="S9" s="1123">
        <v>107.414</v>
      </c>
      <c r="T9" s="1123">
        <v>109.154</v>
      </c>
      <c r="U9" s="1123">
        <v>108.682</v>
      </c>
      <c r="V9" s="1123">
        <v>108.316</v>
      </c>
      <c r="W9" s="1123">
        <v>108.20699999999999</v>
      </c>
      <c r="X9" s="1123">
        <v>108.54</v>
      </c>
      <c r="Y9" s="1123">
        <v>108.131</v>
      </c>
      <c r="Z9" s="1123">
        <v>107.33</v>
      </c>
      <c r="AA9" s="47"/>
      <c r="AB9" s="35"/>
      <c r="AC9" s="142"/>
    </row>
    <row r="10" spans="1:29" x14ac:dyDescent="0.35">
      <c r="A10" s="1121" t="s">
        <v>1858</v>
      </c>
      <c r="B10" s="1121" t="s">
        <v>1859</v>
      </c>
      <c r="C10" s="1121">
        <v>86.924000000000007</v>
      </c>
      <c r="D10" s="1121">
        <v>86.869</v>
      </c>
      <c r="E10" s="1121">
        <v>87.171999999999997</v>
      </c>
      <c r="F10" s="1121">
        <v>88.608000000000004</v>
      </c>
      <c r="G10" s="1121">
        <v>90.114999999999995</v>
      </c>
      <c r="H10" s="1121">
        <v>91.334999999999994</v>
      </c>
      <c r="I10" s="1121">
        <v>91.619</v>
      </c>
      <c r="J10" s="1121">
        <v>92.432000000000002</v>
      </c>
      <c r="K10" s="1121">
        <v>92.543000000000006</v>
      </c>
      <c r="L10" s="1121">
        <v>93.463999999999999</v>
      </c>
      <c r="M10" s="1121">
        <v>93.86</v>
      </c>
      <c r="N10" s="1121">
        <v>94.763000000000005</v>
      </c>
      <c r="O10" s="1121">
        <v>95.872</v>
      </c>
      <c r="P10" s="1121">
        <v>96.036000000000001</v>
      </c>
      <c r="Q10" s="1121">
        <v>95.870999999999995</v>
      </c>
      <c r="R10" s="1121">
        <v>96.034999999999997</v>
      </c>
      <c r="S10" s="1121">
        <v>96.397999999999996</v>
      </c>
      <c r="T10" s="1121">
        <v>97.09</v>
      </c>
      <c r="U10" s="1121">
        <v>96.88</v>
      </c>
      <c r="V10" s="1121">
        <v>97.346999999999994</v>
      </c>
      <c r="W10" s="1121">
        <v>97.781999999999996</v>
      </c>
      <c r="X10" s="1121">
        <v>97.207999999999998</v>
      </c>
      <c r="Y10" s="1121">
        <v>96.397999999999996</v>
      </c>
      <c r="Z10" s="1121">
        <v>96.111000000000004</v>
      </c>
      <c r="AA10" s="47"/>
      <c r="AB10" s="35"/>
      <c r="AC10" s="142"/>
    </row>
    <row r="11" spans="1:29" x14ac:dyDescent="0.35">
      <c r="A11" s="1121" t="s">
        <v>1860</v>
      </c>
      <c r="B11" s="1121" t="s">
        <v>1861</v>
      </c>
      <c r="C11" s="1121">
        <v>99.802000000000007</v>
      </c>
      <c r="D11" s="1121">
        <v>100.465</v>
      </c>
      <c r="E11" s="1121">
        <v>101.476</v>
      </c>
      <c r="F11" s="1121">
        <v>101.63200000000001</v>
      </c>
      <c r="G11" s="1121">
        <v>101.855</v>
      </c>
      <c r="H11" s="1121">
        <v>102.4</v>
      </c>
      <c r="I11" s="1121">
        <v>103</v>
      </c>
      <c r="J11" s="1121">
        <v>103.449</v>
      </c>
      <c r="K11" s="1121">
        <v>104.024</v>
      </c>
      <c r="L11" s="1121">
        <v>105.19</v>
      </c>
      <c r="M11" s="1121">
        <v>106.107</v>
      </c>
      <c r="N11" s="1121">
        <v>106.61</v>
      </c>
      <c r="O11" s="1121">
        <v>107.404</v>
      </c>
      <c r="P11" s="1121">
        <v>109.376</v>
      </c>
      <c r="Q11" s="1121">
        <v>112.557</v>
      </c>
      <c r="R11" s="1121">
        <v>112.134</v>
      </c>
      <c r="S11" s="1121">
        <v>113.511</v>
      </c>
      <c r="T11" s="1121">
        <v>115.94</v>
      </c>
      <c r="U11" s="1121">
        <v>115.297</v>
      </c>
      <c r="V11" s="1121">
        <v>114.367</v>
      </c>
      <c r="W11" s="1121">
        <v>113.89</v>
      </c>
      <c r="X11" s="1121">
        <v>114.836</v>
      </c>
      <c r="Y11" s="1121">
        <v>114.70399999999999</v>
      </c>
      <c r="Z11" s="1121">
        <v>113.565</v>
      </c>
      <c r="AA11" s="47"/>
      <c r="AB11" s="35"/>
      <c r="AC11" s="142"/>
    </row>
    <row r="12" spans="1:29" x14ac:dyDescent="0.35">
      <c r="A12" s="1121" t="s">
        <v>1862</v>
      </c>
      <c r="B12" s="1123" t="s">
        <v>1863</v>
      </c>
      <c r="C12" s="1123">
        <v>121.786</v>
      </c>
      <c r="D12" s="1123">
        <v>122.16500000000001</v>
      </c>
      <c r="E12" s="1123">
        <v>122.792</v>
      </c>
      <c r="F12" s="1123">
        <v>123.324</v>
      </c>
      <c r="G12" s="1123">
        <v>123.773</v>
      </c>
      <c r="H12" s="1123">
        <v>124.277</v>
      </c>
      <c r="I12" s="1123">
        <v>124.831</v>
      </c>
      <c r="J12" s="1123">
        <v>125.19199999999999</v>
      </c>
      <c r="K12" s="1123">
        <v>125.53100000000001</v>
      </c>
      <c r="L12" s="1123">
        <v>125.92700000000001</v>
      </c>
      <c r="M12" s="1123">
        <v>126.64100000000001</v>
      </c>
      <c r="N12" s="1123">
        <v>127.253</v>
      </c>
      <c r="O12" s="1123">
        <v>127.672</v>
      </c>
      <c r="P12" s="1123">
        <v>128.01499999999999</v>
      </c>
      <c r="Q12" s="1123">
        <v>128.69</v>
      </c>
      <c r="R12" s="1123">
        <v>129.20400000000001</v>
      </c>
      <c r="S12" s="1123">
        <v>129.78</v>
      </c>
      <c r="T12" s="1123">
        <v>130.63900000000001</v>
      </c>
      <c r="U12" s="1123">
        <v>130.75299999999999</v>
      </c>
      <c r="V12" s="1123">
        <v>131.51900000000001</v>
      </c>
      <c r="W12" s="1123">
        <v>132.27500000000001</v>
      </c>
      <c r="X12" s="1123">
        <v>132.821</v>
      </c>
      <c r="Y12" s="1123">
        <v>133.274</v>
      </c>
      <c r="Z12" s="1123">
        <v>133.87799999999999</v>
      </c>
      <c r="AA12" s="47"/>
      <c r="AB12" s="35"/>
      <c r="AC12" s="142"/>
    </row>
    <row r="13" spans="1:29" x14ac:dyDescent="0.35">
      <c r="A13" s="1121" t="s">
        <v>2190</v>
      </c>
      <c r="B13" s="1121" t="s">
        <v>1864</v>
      </c>
      <c r="C13" s="1121" t="s">
        <v>2190</v>
      </c>
      <c r="D13" s="1121" t="s">
        <v>2190</v>
      </c>
      <c r="E13" s="1121" t="s">
        <v>2190</v>
      </c>
      <c r="F13" s="1121" t="s">
        <v>2190</v>
      </c>
      <c r="G13" s="1121" t="s">
        <v>2190</v>
      </c>
      <c r="H13" s="1121" t="s">
        <v>2190</v>
      </c>
      <c r="I13" s="1121" t="s">
        <v>2190</v>
      </c>
      <c r="J13" s="1121" t="s">
        <v>2190</v>
      </c>
      <c r="K13" s="1121" t="s">
        <v>2190</v>
      </c>
      <c r="L13" s="1121" t="s">
        <v>2190</v>
      </c>
      <c r="M13" s="1121" t="s">
        <v>2190</v>
      </c>
      <c r="N13" s="1121" t="s">
        <v>2190</v>
      </c>
      <c r="O13" s="1121" t="s">
        <v>2190</v>
      </c>
      <c r="P13" s="1121" t="s">
        <v>2190</v>
      </c>
      <c r="Q13" s="1121" t="s">
        <v>2190</v>
      </c>
      <c r="R13" s="1121" t="s">
        <v>2190</v>
      </c>
      <c r="S13" s="1121" t="s">
        <v>2190</v>
      </c>
      <c r="T13" s="1121" t="s">
        <v>2190</v>
      </c>
      <c r="U13" s="1121" t="s">
        <v>2190</v>
      </c>
      <c r="V13" s="1121" t="s">
        <v>2190</v>
      </c>
      <c r="W13" s="1121" t="s">
        <v>2190</v>
      </c>
      <c r="X13" s="1121" t="s">
        <v>2190</v>
      </c>
      <c r="Y13" s="1121" t="s">
        <v>2190</v>
      </c>
      <c r="Z13" s="1121" t="s">
        <v>2190</v>
      </c>
      <c r="AA13" s="47"/>
      <c r="AB13" s="35"/>
      <c r="AC13" s="142"/>
    </row>
    <row r="14" spans="1:29" x14ac:dyDescent="0.35">
      <c r="A14" s="1121" t="s">
        <v>1865</v>
      </c>
      <c r="B14" s="1121" t="s">
        <v>1866</v>
      </c>
      <c r="C14" s="1121">
        <v>114.782</v>
      </c>
      <c r="D14" s="1121">
        <v>114.97499999999999</v>
      </c>
      <c r="E14" s="1121">
        <v>115.45699999999999</v>
      </c>
      <c r="F14" s="1121">
        <v>116.18600000000001</v>
      </c>
      <c r="G14" s="1121">
        <v>116.78700000000001</v>
      </c>
      <c r="H14" s="1121">
        <v>117.349</v>
      </c>
      <c r="I14" s="1121">
        <v>117.81100000000001</v>
      </c>
      <c r="J14" s="1121">
        <v>118.199</v>
      </c>
      <c r="K14" s="1121">
        <v>118.446</v>
      </c>
      <c r="L14" s="1121">
        <v>118.929</v>
      </c>
      <c r="M14" s="1121">
        <v>119.54300000000001</v>
      </c>
      <c r="N14" s="1121">
        <v>120.193</v>
      </c>
      <c r="O14" s="1121">
        <v>120.761</v>
      </c>
      <c r="P14" s="1121">
        <v>121.205</v>
      </c>
      <c r="Q14" s="1121">
        <v>121.651</v>
      </c>
      <c r="R14" s="1121">
        <v>122.03</v>
      </c>
      <c r="S14" s="1121">
        <v>122.488</v>
      </c>
      <c r="T14" s="1121">
        <v>123.258</v>
      </c>
      <c r="U14" s="1121">
        <v>123.352</v>
      </c>
      <c r="V14" s="1121">
        <v>124.03100000000001</v>
      </c>
      <c r="W14" s="1121">
        <v>124.607</v>
      </c>
      <c r="X14" s="1121">
        <v>124.935</v>
      </c>
      <c r="Y14" s="1121">
        <v>125.13200000000001</v>
      </c>
      <c r="Z14" s="1121">
        <v>125.503</v>
      </c>
      <c r="AA14" s="47"/>
      <c r="AB14" s="35"/>
      <c r="AC14" s="142"/>
    </row>
    <row r="15" spans="1:29" x14ac:dyDescent="0.35">
      <c r="A15" s="1121" t="s">
        <v>1867</v>
      </c>
      <c r="B15" s="1121" t="s">
        <v>1868</v>
      </c>
      <c r="C15" s="1121">
        <v>108.717</v>
      </c>
      <c r="D15" s="1121">
        <v>109.011</v>
      </c>
      <c r="E15" s="1121">
        <v>109.259</v>
      </c>
      <c r="F15" s="1121">
        <v>109.633</v>
      </c>
      <c r="G15" s="1121">
        <v>109.985</v>
      </c>
      <c r="H15" s="1121">
        <v>110.67</v>
      </c>
      <c r="I15" s="1121">
        <v>111.321</v>
      </c>
      <c r="J15" s="1121">
        <v>111.783</v>
      </c>
      <c r="K15" s="1121">
        <v>112.94499999999999</v>
      </c>
      <c r="L15" s="1121">
        <v>113.773</v>
      </c>
      <c r="M15" s="1121">
        <v>114.502</v>
      </c>
      <c r="N15" s="1121">
        <v>114.864</v>
      </c>
      <c r="O15" s="1121">
        <v>115.857</v>
      </c>
      <c r="P15" s="1121">
        <v>117.517</v>
      </c>
      <c r="Q15" s="1121">
        <v>119.119</v>
      </c>
      <c r="R15" s="1121">
        <v>120.371</v>
      </c>
      <c r="S15" s="1121">
        <v>121.849</v>
      </c>
      <c r="T15" s="1121">
        <v>123.053</v>
      </c>
      <c r="U15" s="1121">
        <v>124.623</v>
      </c>
      <c r="V15" s="1121">
        <v>125.58799999999999</v>
      </c>
      <c r="W15" s="1121">
        <v>126.366</v>
      </c>
      <c r="X15" s="1121">
        <v>126.934</v>
      </c>
      <c r="Y15" s="1121">
        <v>127.371</v>
      </c>
      <c r="Z15" s="1121">
        <v>127.675</v>
      </c>
      <c r="AA15" s="47"/>
      <c r="AB15" s="35"/>
      <c r="AC15" s="142"/>
    </row>
    <row r="16" spans="1:29" x14ac:dyDescent="0.35">
      <c r="A16" s="1121" t="s">
        <v>1869</v>
      </c>
      <c r="B16" s="1121" t="s">
        <v>1870</v>
      </c>
      <c r="C16" s="1121">
        <v>83.465999999999994</v>
      </c>
      <c r="D16" s="1121">
        <v>87.337000000000003</v>
      </c>
      <c r="E16" s="1121">
        <v>92.162000000000006</v>
      </c>
      <c r="F16" s="1121">
        <v>90.917000000000002</v>
      </c>
      <c r="G16" s="1121">
        <v>91.519000000000005</v>
      </c>
      <c r="H16" s="1121">
        <v>93.471000000000004</v>
      </c>
      <c r="I16" s="1121">
        <v>95.004000000000005</v>
      </c>
      <c r="J16" s="1121">
        <v>96.728999999999999</v>
      </c>
      <c r="K16" s="1121">
        <v>97.88</v>
      </c>
      <c r="L16" s="1121">
        <v>101.735</v>
      </c>
      <c r="M16" s="1121">
        <v>104.42400000000001</v>
      </c>
      <c r="N16" s="1121">
        <v>105.376</v>
      </c>
      <c r="O16" s="1121">
        <v>106.527</v>
      </c>
      <c r="P16" s="1121">
        <v>110.572</v>
      </c>
      <c r="Q16" s="1121">
        <v>123.81</v>
      </c>
      <c r="R16" s="1121">
        <v>119.991</v>
      </c>
      <c r="S16" s="1121">
        <v>124.726</v>
      </c>
      <c r="T16" s="1121">
        <v>134.256</v>
      </c>
      <c r="U16" s="1121">
        <v>127.651</v>
      </c>
      <c r="V16" s="1121">
        <v>120.47499999999999</v>
      </c>
      <c r="W16" s="1121">
        <v>117.581</v>
      </c>
      <c r="X16" s="1121">
        <v>120.529</v>
      </c>
      <c r="Y16" s="1121">
        <v>118.708</v>
      </c>
      <c r="Z16" s="1121">
        <v>112.634</v>
      </c>
      <c r="AA16" s="47"/>
      <c r="AB16" s="35"/>
      <c r="AC16" s="142"/>
    </row>
    <row r="17" spans="1:32" x14ac:dyDescent="0.35">
      <c r="A17" s="1121" t="s">
        <v>1871</v>
      </c>
      <c r="B17" s="1121" t="s">
        <v>1872</v>
      </c>
      <c r="C17" s="1121">
        <v>109.682</v>
      </c>
      <c r="D17" s="1121">
        <v>110.125</v>
      </c>
      <c r="E17" s="1121">
        <v>110.774</v>
      </c>
      <c r="F17" s="1121">
        <v>111.247</v>
      </c>
      <c r="G17" s="1121">
        <v>111.73399999999999</v>
      </c>
      <c r="H17" s="1121">
        <v>112.292</v>
      </c>
      <c r="I17" s="1121">
        <v>112.818</v>
      </c>
      <c r="J17" s="1121">
        <v>113.22199999999999</v>
      </c>
      <c r="K17" s="1121">
        <v>113.54300000000001</v>
      </c>
      <c r="L17" s="1121">
        <v>114.292</v>
      </c>
      <c r="M17" s="1121">
        <v>114.9</v>
      </c>
      <c r="N17" s="1121">
        <v>115.499</v>
      </c>
      <c r="O17" s="1121">
        <v>116.179</v>
      </c>
      <c r="P17" s="1121">
        <v>117.042</v>
      </c>
      <c r="Q17" s="1121">
        <v>118.312</v>
      </c>
      <c r="R17" s="1121">
        <v>118.494</v>
      </c>
      <c r="S17" s="1121">
        <v>119.295</v>
      </c>
      <c r="T17" s="1121">
        <v>120.56100000000001</v>
      </c>
      <c r="U17" s="1121">
        <v>120.541</v>
      </c>
      <c r="V17" s="1121">
        <v>120.72799999999999</v>
      </c>
      <c r="W17" s="1121">
        <v>121.08499999999999</v>
      </c>
      <c r="X17" s="1121">
        <v>121.627</v>
      </c>
      <c r="Y17" s="1121">
        <v>121.63800000000001</v>
      </c>
      <c r="Z17" s="1121">
        <v>121.74299999999999</v>
      </c>
      <c r="AA17" s="47"/>
      <c r="AB17" s="35"/>
      <c r="AC17" s="142"/>
    </row>
    <row r="18" spans="1:32" x14ac:dyDescent="0.35">
      <c r="A18" s="1121" t="s">
        <v>1873</v>
      </c>
      <c r="B18" s="1121" t="s">
        <v>1874</v>
      </c>
      <c r="C18" s="1121">
        <v>111.714</v>
      </c>
      <c r="D18" s="1121">
        <v>111.956</v>
      </c>
      <c r="E18" s="1121">
        <v>112.386</v>
      </c>
      <c r="F18" s="1121">
        <v>112.97499999999999</v>
      </c>
      <c r="G18" s="1121">
        <v>113.47</v>
      </c>
      <c r="H18" s="1121">
        <v>113.92700000000001</v>
      </c>
      <c r="I18" s="1121">
        <v>114.377</v>
      </c>
      <c r="J18" s="1121">
        <v>114.691</v>
      </c>
      <c r="K18" s="1121">
        <v>114.873</v>
      </c>
      <c r="L18" s="1121">
        <v>115.42</v>
      </c>
      <c r="M18" s="1121">
        <v>115.887</v>
      </c>
      <c r="N18" s="1121">
        <v>116.489</v>
      </c>
      <c r="O18" s="1121">
        <v>117.11</v>
      </c>
      <c r="P18" s="1121">
        <v>117.697</v>
      </c>
      <c r="Q18" s="1121">
        <v>118.19499999999999</v>
      </c>
      <c r="R18" s="1121">
        <v>118.52200000000001</v>
      </c>
      <c r="S18" s="1121">
        <v>119.01600000000001</v>
      </c>
      <c r="T18" s="1121">
        <v>119.785</v>
      </c>
      <c r="U18" s="1121">
        <v>120.018</v>
      </c>
      <c r="V18" s="1121">
        <v>120.58</v>
      </c>
      <c r="W18" s="1121">
        <v>121.09699999999999</v>
      </c>
      <c r="X18" s="1121">
        <v>121.491</v>
      </c>
      <c r="Y18" s="1121">
        <v>121.571</v>
      </c>
      <c r="Z18" s="1121">
        <v>122.032</v>
      </c>
      <c r="AA18" s="143"/>
      <c r="AB18" s="36"/>
      <c r="AC18" s="144"/>
    </row>
    <row r="19" spans="1:32" ht="15.65" customHeight="1" x14ac:dyDescent="0.45">
      <c r="A19" s="1425" t="s">
        <v>1875</v>
      </c>
      <c r="B19" s="1426"/>
      <c r="C19" s="1426"/>
      <c r="D19" s="1426"/>
      <c r="E19" s="1426"/>
      <c r="F19" s="1426"/>
      <c r="G19" s="1426"/>
      <c r="H19" s="1426"/>
      <c r="I19" s="1426"/>
      <c r="J19" s="1426"/>
      <c r="K19" s="1426"/>
      <c r="L19" s="1426"/>
      <c r="M19" s="1426"/>
      <c r="N19" s="1426"/>
      <c r="O19" s="1426"/>
      <c r="P19" s="1426"/>
      <c r="Q19" s="1426"/>
      <c r="R19" s="1426"/>
      <c r="S19" s="1426"/>
      <c r="T19" s="1426"/>
      <c r="U19" s="1426"/>
      <c r="V19" s="1426"/>
      <c r="W19" s="1426"/>
      <c r="X19" s="1426"/>
      <c r="Y19" s="1426"/>
      <c r="Z19" s="1426"/>
      <c r="AA19" s="1426"/>
    </row>
    <row r="20" spans="1:32" x14ac:dyDescent="0.35">
      <c r="A20" s="1427" t="s">
        <v>1876</v>
      </c>
      <c r="B20" s="1426"/>
      <c r="C20" s="1426"/>
      <c r="D20" s="1426"/>
      <c r="E20" s="1426"/>
      <c r="F20" s="1426"/>
      <c r="G20" s="1426"/>
      <c r="H20" s="1426"/>
      <c r="I20" s="1426"/>
      <c r="J20" s="1426"/>
      <c r="K20" s="1426"/>
      <c r="L20" s="1426"/>
      <c r="M20" s="1426"/>
      <c r="N20" s="1426"/>
      <c r="O20" s="1426"/>
      <c r="P20" s="1426"/>
      <c r="Q20" s="1426"/>
      <c r="R20" s="1426"/>
      <c r="S20" s="1426"/>
      <c r="T20" s="1426"/>
      <c r="U20" s="1426"/>
      <c r="V20" s="1426"/>
      <c r="W20" s="1426"/>
      <c r="X20" s="1426"/>
      <c r="Y20" s="1426"/>
      <c r="Z20" s="1426"/>
      <c r="AA20" s="1426"/>
    </row>
    <row r="21" spans="1:32" x14ac:dyDescent="0.35">
      <c r="A21" s="1427" t="s">
        <v>1877</v>
      </c>
      <c r="B21" s="1426"/>
      <c r="C21" s="1426"/>
      <c r="D21" s="1426"/>
      <c r="E21" s="1426"/>
      <c r="F21" s="1426"/>
      <c r="G21" s="1426"/>
      <c r="H21" s="1426"/>
      <c r="I21" s="1426"/>
      <c r="J21" s="1426"/>
      <c r="K21" s="1426"/>
      <c r="L21" s="1426"/>
      <c r="M21" s="1426"/>
      <c r="N21" s="1426"/>
      <c r="O21" s="1426"/>
      <c r="P21" s="1426"/>
      <c r="Q21" s="1426"/>
      <c r="R21" s="1426"/>
      <c r="S21" s="1426"/>
      <c r="T21" s="1426"/>
      <c r="U21" s="1426"/>
      <c r="V21" s="1426"/>
      <c r="W21" s="1426"/>
      <c r="X21" s="1426"/>
      <c r="Y21" s="1426"/>
      <c r="Z21" s="1426"/>
      <c r="AA21" s="1426"/>
    </row>
    <row r="22" spans="1:32" x14ac:dyDescent="0.35">
      <c r="A22" s="1427" t="s">
        <v>1878</v>
      </c>
      <c r="B22" s="1426"/>
      <c r="C22" s="1426"/>
      <c r="D22" s="1426"/>
      <c r="E22" s="1426"/>
      <c r="F22" s="1426"/>
      <c r="G22" s="1426"/>
      <c r="H22" s="1426"/>
      <c r="I22" s="1426"/>
      <c r="J22" s="1426"/>
      <c r="K22" s="1426"/>
      <c r="L22" s="1426"/>
      <c r="M22" s="1426"/>
      <c r="N22" s="1426"/>
      <c r="O22" s="1426"/>
      <c r="P22" s="1426"/>
      <c r="Q22" s="1426"/>
      <c r="R22" s="1426"/>
      <c r="S22" s="1426"/>
      <c r="T22" s="1426"/>
      <c r="U22" s="1426"/>
      <c r="V22" s="1426"/>
      <c r="W22" s="1426"/>
      <c r="X22" s="1426"/>
      <c r="Y22" s="1426"/>
      <c r="Z22" s="1426"/>
      <c r="AA22" s="1426"/>
    </row>
    <row r="23" spans="1:32" x14ac:dyDescent="0.35">
      <c r="A23" s="136"/>
    </row>
    <row r="24" spans="1:32" x14ac:dyDescent="0.35">
      <c r="A24" s="136"/>
    </row>
    <row r="25" spans="1:32" x14ac:dyDescent="0.35">
      <c r="A25" s="136"/>
    </row>
    <row r="26" spans="1:32" x14ac:dyDescent="0.35">
      <c r="A26" s="136"/>
    </row>
    <row r="27" spans="1:32" x14ac:dyDescent="0.35">
      <c r="A27" s="136"/>
      <c r="B27" s="140" t="s">
        <v>1879</v>
      </c>
      <c r="C27" s="1420" t="s">
        <v>325</v>
      </c>
      <c r="D27" s="1420"/>
      <c r="E27" s="1420"/>
      <c r="F27" s="1420"/>
      <c r="G27" s="1420"/>
      <c r="H27" s="1420"/>
      <c r="I27" s="1420"/>
      <c r="J27" s="1420"/>
      <c r="K27" s="1420"/>
      <c r="L27" s="1420"/>
      <c r="M27" s="1420"/>
      <c r="N27" s="1420"/>
      <c r="O27" s="1420"/>
      <c r="P27" s="1420"/>
      <c r="Q27" s="1420"/>
      <c r="R27" s="1420"/>
      <c r="S27" s="1420"/>
      <c r="T27" s="1420"/>
      <c r="U27" s="1420"/>
      <c r="V27" s="1420"/>
      <c r="W27" s="1420"/>
      <c r="X27" s="1420"/>
      <c r="Y27" s="1420"/>
      <c r="Z27" s="1095"/>
      <c r="AA27" s="146" t="s">
        <v>2192</v>
      </c>
    </row>
    <row r="28" spans="1:32" x14ac:dyDescent="0.35">
      <c r="A28" s="136"/>
      <c r="C28" s="1420">
        <v>2021</v>
      </c>
      <c r="D28" s="1420"/>
      <c r="E28" s="1420"/>
      <c r="F28" s="1420"/>
      <c r="G28" s="1420"/>
      <c r="H28" s="1420"/>
      <c r="I28" s="1420"/>
      <c r="J28" s="1420"/>
      <c r="K28" s="1420"/>
      <c r="L28" s="1420"/>
      <c r="M28" s="1420"/>
      <c r="N28" s="1420"/>
      <c r="O28" s="1420">
        <v>2022</v>
      </c>
      <c r="P28" s="1420"/>
      <c r="Q28" s="1420"/>
      <c r="R28" s="1420"/>
      <c r="S28" s="1420"/>
      <c r="T28" s="1420"/>
      <c r="U28" s="1420"/>
      <c r="V28" s="1420"/>
      <c r="W28" s="1420"/>
      <c r="X28" s="1420"/>
      <c r="Y28" s="1420"/>
      <c r="Z28" s="1095"/>
      <c r="AA28" s="146"/>
      <c r="AB28" s="35"/>
      <c r="AC28" s="35"/>
      <c r="AD28" s="35"/>
    </row>
    <row r="29" spans="1:32" x14ac:dyDescent="0.35">
      <c r="A29" s="136"/>
      <c r="C29" s="135" t="s">
        <v>1842</v>
      </c>
      <c r="D29" s="135" t="s">
        <v>1843</v>
      </c>
      <c r="E29" s="135" t="s">
        <v>1844</v>
      </c>
      <c r="F29" s="135" t="s">
        <v>1845</v>
      </c>
      <c r="G29" s="135" t="s">
        <v>1846</v>
      </c>
      <c r="H29" s="135" t="s">
        <v>1847</v>
      </c>
      <c r="I29" s="135" t="s">
        <v>1848</v>
      </c>
      <c r="J29" s="135" t="s">
        <v>1849</v>
      </c>
      <c r="K29" s="135" t="s">
        <v>1850</v>
      </c>
      <c r="L29" s="135" t="s">
        <v>1851</v>
      </c>
      <c r="M29" s="135" t="s">
        <v>1852</v>
      </c>
      <c r="N29" s="135" t="s">
        <v>1853</v>
      </c>
      <c r="O29" s="135" t="s">
        <v>1842</v>
      </c>
      <c r="P29" s="135" t="s">
        <v>1843</v>
      </c>
      <c r="Q29" s="135" t="s">
        <v>1844</v>
      </c>
      <c r="R29" s="135" t="s">
        <v>1845</v>
      </c>
      <c r="S29" s="135" t="s">
        <v>1846</v>
      </c>
      <c r="T29" s="135" t="s">
        <v>1847</v>
      </c>
      <c r="U29" s="135" t="s">
        <v>1848</v>
      </c>
      <c r="V29" s="135" t="s">
        <v>1849</v>
      </c>
      <c r="W29" s="135" t="s">
        <v>1850</v>
      </c>
      <c r="X29" s="135" t="s">
        <v>1851</v>
      </c>
      <c r="Y29" s="135" t="s">
        <v>1852</v>
      </c>
      <c r="Z29" s="1100"/>
      <c r="AA29" s="141" t="s">
        <v>1853</v>
      </c>
      <c r="AB29" s="138" t="s">
        <v>1842</v>
      </c>
      <c r="AC29" s="138" t="s">
        <v>1843</v>
      </c>
      <c r="AD29" s="35"/>
      <c r="AE29" s="149" t="s">
        <v>1883</v>
      </c>
      <c r="AF29" s="35"/>
    </row>
    <row r="30" spans="1:32" x14ac:dyDescent="0.35">
      <c r="A30" s="136"/>
      <c r="B30" s="76" t="s">
        <v>1855</v>
      </c>
      <c r="D30" s="139">
        <f>(D8/C8)^(12)-1</f>
        <v>4.1042680162006073E-2</v>
      </c>
      <c r="E30" s="139">
        <f t="shared" ref="E30:Z30" si="1">(E8/D8)^(12)-1</f>
        <v>7.3656770386894443E-2</v>
      </c>
      <c r="F30" s="139">
        <f t="shared" si="1"/>
        <v>6.5906931976990268E-2</v>
      </c>
      <c r="G30" s="139">
        <f t="shared" si="1"/>
        <v>6.2766918615354106E-2</v>
      </c>
      <c r="H30" s="139">
        <f t="shared" si="1"/>
        <v>6.8865947836563857E-2</v>
      </c>
      <c r="I30" s="139">
        <f t="shared" si="1"/>
        <v>5.6278625527978576E-2</v>
      </c>
      <c r="J30" s="139">
        <f t="shared" si="1"/>
        <v>4.8427810693439044E-2</v>
      </c>
      <c r="K30" s="139">
        <f t="shared" si="1"/>
        <v>3.8163290994450927E-2</v>
      </c>
      <c r="L30" s="139">
        <f t="shared" si="1"/>
        <v>7.1153811599884431E-2</v>
      </c>
      <c r="M30" s="139">
        <f t="shared" si="1"/>
        <v>7.6184730021106928E-2</v>
      </c>
      <c r="N30" s="139">
        <f t="shared" si="1"/>
        <v>6.7052658631531425E-2</v>
      </c>
      <c r="O30" s="139">
        <f t="shared" si="1"/>
        <v>6.5288334451285346E-2</v>
      </c>
      <c r="P30" s="139">
        <f t="shared" si="1"/>
        <v>7.3586210362064142E-2</v>
      </c>
      <c r="Q30" s="139">
        <f t="shared" si="1"/>
        <v>0.12029425742902733</v>
      </c>
      <c r="R30" s="139">
        <f t="shared" si="1"/>
        <v>2.420085779508252E-2</v>
      </c>
      <c r="S30" s="139">
        <f t="shared" si="1"/>
        <v>7.5228018520828943E-2</v>
      </c>
      <c r="T30" s="139">
        <f t="shared" si="1"/>
        <v>0.12562146420345077</v>
      </c>
      <c r="U30" s="139">
        <f t="shared" si="1"/>
        <v>-1.1115964136614309E-2</v>
      </c>
      <c r="V30" s="139">
        <f t="shared" si="1"/>
        <v>3.26679483742216E-2</v>
      </c>
      <c r="W30" s="139">
        <f t="shared" si="1"/>
        <v>4.210788235244034E-2</v>
      </c>
      <c r="X30" s="139">
        <f t="shared" si="1"/>
        <v>4.6284580163938438E-2</v>
      </c>
      <c r="Y30" s="139">
        <f t="shared" si="1"/>
        <v>1.1713559962372999E-2</v>
      </c>
      <c r="Z30" s="139">
        <f t="shared" si="1"/>
        <v>6.2707566313164875E-3</v>
      </c>
      <c r="AA30" s="145">
        <f>AE30</f>
        <v>2.2499999999999999E-2</v>
      </c>
      <c r="AB30" s="145">
        <f>AA30</f>
        <v>2.2499999999999999E-2</v>
      </c>
      <c r="AC30" s="145">
        <f>AB30</f>
        <v>2.2499999999999999E-2</v>
      </c>
      <c r="AD30" s="35"/>
      <c r="AE30" s="148">
        <v>2.2499999999999999E-2</v>
      </c>
      <c r="AF30" s="35" t="s">
        <v>1884</v>
      </c>
    </row>
    <row r="31" spans="1:32" x14ac:dyDescent="0.35">
      <c r="A31" s="136"/>
      <c r="B31" s="76" t="s">
        <v>1857</v>
      </c>
      <c r="D31" s="139">
        <f t="shared" ref="D31:Z31" si="2">(D9/C9)^(12)-1</f>
        <v>4.7852702682074089E-2</v>
      </c>
      <c r="E31" s="139">
        <f t="shared" si="2"/>
        <v>9.3990376547193E-2</v>
      </c>
      <c r="F31" s="139">
        <f t="shared" si="2"/>
        <v>9.0157721904044807E-2</v>
      </c>
      <c r="G31" s="139">
        <f t="shared" si="2"/>
        <v>9.7937681358029272E-2</v>
      </c>
      <c r="H31" s="139">
        <f t="shared" si="2"/>
        <v>0.10571994524004813</v>
      </c>
      <c r="I31" s="139">
        <f t="shared" si="2"/>
        <v>5.9314030950316399E-2</v>
      </c>
      <c r="J31" s="139">
        <f t="shared" si="2"/>
        <v>7.4559369880963899E-2</v>
      </c>
      <c r="K31" s="139">
        <f t="shared" si="2"/>
        <v>4.8439393408400866E-2</v>
      </c>
      <c r="L31" s="139">
        <f t="shared" si="2"/>
        <v>0.13669129570635752</v>
      </c>
      <c r="M31" s="139">
        <f t="shared" si="2"/>
        <v>8.8006180889502517E-2</v>
      </c>
      <c r="N31" s="139">
        <f t="shared" si="2"/>
        <v>8.1786027991030075E-2</v>
      </c>
      <c r="O31" s="139">
        <f t="shared" si="2"/>
        <v>0.11461082577636561</v>
      </c>
      <c r="P31" s="139">
        <f t="shared" si="2"/>
        <v>0.15488876520850492</v>
      </c>
      <c r="Q31" s="139">
        <f t="shared" si="2"/>
        <v>0.23243408487920147</v>
      </c>
      <c r="R31" s="139">
        <f t="shared" si="2"/>
        <v>-2.0953115354990115E-2</v>
      </c>
      <c r="S31" s="139">
        <f t="shared" si="2"/>
        <v>0.11512974514483676</v>
      </c>
      <c r="T31" s="139">
        <f t="shared" si="2"/>
        <v>0.21267713141662403</v>
      </c>
      <c r="U31" s="139">
        <f t="shared" si="2"/>
        <v>-5.0673511435372243E-2</v>
      </c>
      <c r="V31" s="139">
        <f t="shared" si="2"/>
        <v>-3.967131618295705E-2</v>
      </c>
      <c r="W31" s="139">
        <f t="shared" si="2"/>
        <v>-1.2009165772774555E-2</v>
      </c>
      <c r="X31" s="139">
        <f t="shared" si="2"/>
        <v>3.7560735525880684E-2</v>
      </c>
      <c r="Y31" s="139">
        <f t="shared" si="2"/>
        <v>-4.4292870843120391E-2</v>
      </c>
      <c r="Z31" s="139">
        <f t="shared" si="2"/>
        <v>-8.5358464165969816E-2</v>
      </c>
      <c r="AA31" s="35"/>
      <c r="AB31" s="35"/>
      <c r="AC31" s="35"/>
      <c r="AD31" s="35"/>
    </row>
    <row r="32" spans="1:32" x14ac:dyDescent="0.35">
      <c r="A32" s="136"/>
      <c r="B32" t="s">
        <v>1859</v>
      </c>
      <c r="D32" s="139">
        <f t="shared" ref="D32:Z32" si="3">(D10/C10)^(12)-1</f>
        <v>-7.5664718995666069E-3</v>
      </c>
      <c r="E32" s="139">
        <f t="shared" si="3"/>
        <v>4.266850819250112E-2</v>
      </c>
      <c r="F32" s="139">
        <f t="shared" si="3"/>
        <v>0.21660917290096582</v>
      </c>
      <c r="G32" s="139">
        <f t="shared" si="3"/>
        <v>0.22430559919810955</v>
      </c>
      <c r="H32" s="139">
        <f t="shared" si="3"/>
        <v>0.17511874187668353</v>
      </c>
      <c r="I32" s="139">
        <f t="shared" si="3"/>
        <v>3.795797382041366E-2</v>
      </c>
      <c r="J32" s="139">
        <f t="shared" si="3"/>
        <v>0.11183831318895598</v>
      </c>
      <c r="K32" s="139">
        <f t="shared" si="3"/>
        <v>1.4506155653571495E-2</v>
      </c>
      <c r="L32" s="139">
        <f t="shared" si="3"/>
        <v>0.12618431747599668</v>
      </c>
      <c r="M32" s="139">
        <f t="shared" si="3"/>
        <v>5.2044800480764541E-2</v>
      </c>
      <c r="N32" s="139">
        <f t="shared" si="3"/>
        <v>0.12175758567831618</v>
      </c>
      <c r="O32" s="139">
        <f t="shared" si="3"/>
        <v>0.14983582216551206</v>
      </c>
      <c r="P32" s="139">
        <f t="shared" si="3"/>
        <v>2.0721604560002937E-2</v>
      </c>
      <c r="Q32" s="139">
        <f t="shared" si="3"/>
        <v>-2.0423555429524787E-2</v>
      </c>
      <c r="R32" s="139">
        <f t="shared" si="3"/>
        <v>2.0721822738088314E-2</v>
      </c>
      <c r="S32" s="139">
        <f t="shared" si="3"/>
        <v>4.6313416239633698E-2</v>
      </c>
      <c r="T32" s="139">
        <f t="shared" si="3"/>
        <v>8.9626684643578036E-2</v>
      </c>
      <c r="U32" s="139">
        <f t="shared" si="3"/>
        <v>-2.564874569369624E-2</v>
      </c>
      <c r="V32" s="139">
        <f t="shared" si="3"/>
        <v>5.9403258043756235E-2</v>
      </c>
      <c r="W32" s="139">
        <f t="shared" si="3"/>
        <v>5.49603210423244E-2</v>
      </c>
      <c r="X32" s="139">
        <f t="shared" si="3"/>
        <v>-6.8212021435523074E-2</v>
      </c>
      <c r="Y32" s="139">
        <f t="shared" si="3"/>
        <v>-9.5534119782068272E-2</v>
      </c>
      <c r="Z32" s="139">
        <f t="shared" si="3"/>
        <v>-3.5147628118349261E-2</v>
      </c>
      <c r="AA32" s="35"/>
      <c r="AB32" s="35"/>
      <c r="AC32" s="35"/>
      <c r="AD32" s="35"/>
    </row>
    <row r="33" spans="1:45" x14ac:dyDescent="0.35">
      <c r="A33" s="136"/>
      <c r="B33" t="s">
        <v>1861</v>
      </c>
      <c r="D33" s="139">
        <f t="shared" ref="D33:Z33" si="4">(D11/C11)^(12)-1</f>
        <v>8.2695991789366596E-2</v>
      </c>
      <c r="E33" s="139">
        <f t="shared" si="4"/>
        <v>0.12767152587874242</v>
      </c>
      <c r="F33" s="139">
        <f t="shared" si="4"/>
        <v>1.8604492954842566E-2</v>
      </c>
      <c r="G33" s="139">
        <f t="shared" si="4"/>
        <v>2.6650380476038515E-2</v>
      </c>
      <c r="H33" s="139">
        <f t="shared" si="4"/>
        <v>6.6132646674121442E-2</v>
      </c>
      <c r="I33" s="139">
        <f t="shared" si="4"/>
        <v>7.2623275591077174E-2</v>
      </c>
      <c r="J33" s="139">
        <f t="shared" si="4"/>
        <v>5.3583270512252978E-2</v>
      </c>
      <c r="K33" s="139">
        <f t="shared" si="4"/>
        <v>6.8776834563306188E-2</v>
      </c>
      <c r="L33" s="139">
        <f t="shared" si="4"/>
        <v>0.14311748267808033</v>
      </c>
      <c r="M33" s="139">
        <f t="shared" si="4"/>
        <v>0.10977507787605911</v>
      </c>
      <c r="N33" s="139">
        <f t="shared" si="4"/>
        <v>5.8392835152005329E-2</v>
      </c>
      <c r="O33" s="139">
        <f t="shared" si="4"/>
        <v>9.3125815044879046E-2</v>
      </c>
      <c r="P33" s="139">
        <f t="shared" si="4"/>
        <v>0.24399595906104432</v>
      </c>
      <c r="Q33" s="139">
        <f t="shared" si="4"/>
        <v>0.41060581771805249</v>
      </c>
      <c r="R33" s="139">
        <f t="shared" si="4"/>
        <v>-4.4176592701257844E-2</v>
      </c>
      <c r="S33" s="139">
        <f t="shared" si="4"/>
        <v>0.15773089650212335</v>
      </c>
      <c r="T33" s="139">
        <f t="shared" si="4"/>
        <v>0.28927082760345146</v>
      </c>
      <c r="U33" s="139">
        <f t="shared" si="4"/>
        <v>-6.4558713318927374E-2</v>
      </c>
      <c r="V33" s="139">
        <f t="shared" si="4"/>
        <v>-9.2612769739008449E-2</v>
      </c>
      <c r="W33" s="139">
        <f t="shared" si="4"/>
        <v>-4.8917116413696671E-2</v>
      </c>
      <c r="X33" s="139">
        <f t="shared" si="4"/>
        <v>0.10435719253431563</v>
      </c>
      <c r="Y33" s="139">
        <f t="shared" si="4"/>
        <v>-1.3706713301895879E-2</v>
      </c>
      <c r="Z33" s="139">
        <f t="shared" si="4"/>
        <v>-0.11286174670473859</v>
      </c>
      <c r="AA33" s="35"/>
      <c r="AB33" s="35"/>
      <c r="AC33" s="35"/>
      <c r="AD33" s="35"/>
    </row>
    <row r="34" spans="1:45" x14ac:dyDescent="0.35">
      <c r="A34" s="136"/>
      <c r="B34" s="76" t="s">
        <v>1863</v>
      </c>
      <c r="D34" s="139">
        <f t="shared" ref="D34:Z34" si="5">(D12/C12)^(12)-1</f>
        <v>3.799005764470742E-2</v>
      </c>
      <c r="E34" s="139">
        <f t="shared" si="5"/>
        <v>6.3357467016105451E-2</v>
      </c>
      <c r="F34" s="139">
        <f t="shared" si="5"/>
        <v>5.3247298586749592E-2</v>
      </c>
      <c r="G34" s="139">
        <f t="shared" si="5"/>
        <v>4.4575363388868805E-2</v>
      </c>
      <c r="H34" s="139">
        <f t="shared" si="5"/>
        <v>4.9972978556659831E-2</v>
      </c>
      <c r="I34" s="139">
        <f t="shared" si="5"/>
        <v>5.4824632504445026E-2</v>
      </c>
      <c r="J34" s="139">
        <f t="shared" si="5"/>
        <v>3.5260241342689014E-2</v>
      </c>
      <c r="K34" s="139">
        <f t="shared" si="5"/>
        <v>3.2982422405918088E-2</v>
      </c>
      <c r="L34" s="139">
        <f t="shared" si="5"/>
        <v>3.8518945643091884E-2</v>
      </c>
      <c r="M34" s="139">
        <f t="shared" si="5"/>
        <v>7.0201828642715958E-2</v>
      </c>
      <c r="N34" s="139">
        <f t="shared" si="5"/>
        <v>5.9557137704392193E-2</v>
      </c>
      <c r="O34" s="139">
        <f t="shared" si="5"/>
        <v>4.0235293867976862E-2</v>
      </c>
      <c r="P34" s="139">
        <f t="shared" si="5"/>
        <v>3.2719520059437901E-2</v>
      </c>
      <c r="Q34" s="139">
        <f t="shared" si="5"/>
        <v>6.514144593018778E-2</v>
      </c>
      <c r="R34" s="139">
        <f t="shared" si="5"/>
        <v>4.8996160643866915E-2</v>
      </c>
      <c r="S34" s="139">
        <f t="shared" si="5"/>
        <v>5.4828192396408904E-2</v>
      </c>
      <c r="T34" s="139">
        <f t="shared" si="5"/>
        <v>8.2382919779997899E-2</v>
      </c>
      <c r="U34" s="139">
        <f t="shared" si="5"/>
        <v>1.052200975220785E-2</v>
      </c>
      <c r="V34" s="139">
        <f t="shared" si="5"/>
        <v>7.2610468750667234E-2</v>
      </c>
      <c r="W34" s="139">
        <f t="shared" si="5"/>
        <v>7.1201730649114836E-2</v>
      </c>
      <c r="X34" s="139">
        <f t="shared" si="5"/>
        <v>5.0673323753796407E-2</v>
      </c>
      <c r="Y34" s="139">
        <f t="shared" si="5"/>
        <v>4.170378545896658E-2</v>
      </c>
      <c r="Z34" s="139">
        <f t="shared" si="5"/>
        <v>5.5760475369509122E-2</v>
      </c>
      <c r="AA34" s="35"/>
      <c r="AB34" s="35"/>
      <c r="AC34" s="35"/>
      <c r="AD34" s="35"/>
    </row>
    <row r="35" spans="1:45" x14ac:dyDescent="0.35">
      <c r="A35" s="136"/>
      <c r="B35" t="s">
        <v>1864</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35"/>
      <c r="AB35" s="35"/>
      <c r="AC35" s="35"/>
      <c r="AD35" s="35"/>
    </row>
    <row r="36" spans="1:45" x14ac:dyDescent="0.35">
      <c r="A36" s="136"/>
      <c r="B36" t="s">
        <v>1866</v>
      </c>
      <c r="D36" s="139">
        <f t="shared" ref="D36:Z36" si="6">(D14/C14)^(12)-1</f>
        <v>2.0365029271033563E-2</v>
      </c>
      <c r="E36" s="139">
        <f t="shared" si="6"/>
        <v>5.1482879592318564E-2</v>
      </c>
      <c r="F36" s="139">
        <f t="shared" si="6"/>
        <v>7.8455869418629476E-2</v>
      </c>
      <c r="G36" s="139">
        <f t="shared" si="6"/>
        <v>6.3869668258956791E-2</v>
      </c>
      <c r="H36" s="139">
        <f t="shared" si="6"/>
        <v>5.9299303350246912E-2</v>
      </c>
      <c r="I36" s="139">
        <f t="shared" si="6"/>
        <v>4.8280221057496409E-2</v>
      </c>
      <c r="J36" s="139">
        <f t="shared" si="6"/>
        <v>4.0244717542295305E-2</v>
      </c>
      <c r="K36" s="139">
        <f t="shared" si="6"/>
        <v>2.5366582122491321E-2</v>
      </c>
      <c r="L36" s="139">
        <f t="shared" si="6"/>
        <v>5.0046228788346303E-2</v>
      </c>
      <c r="M36" s="139">
        <f t="shared" si="6"/>
        <v>6.3742717313237662E-2</v>
      </c>
      <c r="N36" s="139">
        <f t="shared" si="6"/>
        <v>6.7235583186497916E-2</v>
      </c>
      <c r="O36" s="139">
        <f t="shared" si="6"/>
        <v>5.8206208718552199E-2</v>
      </c>
      <c r="P36" s="139">
        <f t="shared" si="6"/>
        <v>4.5023417871011384E-2</v>
      </c>
      <c r="Q36" s="139">
        <f t="shared" si="6"/>
        <v>4.5061307418852836E-2</v>
      </c>
      <c r="R36" s="139">
        <f t="shared" si="6"/>
        <v>3.8032941434556822E-2</v>
      </c>
      <c r="S36" s="139">
        <f t="shared" si="6"/>
        <v>4.59795327686916E-2</v>
      </c>
      <c r="T36" s="139">
        <f t="shared" si="6"/>
        <v>7.8099579395199514E-2</v>
      </c>
      <c r="U36" s="139">
        <f t="shared" si="6"/>
        <v>9.1900192457399221E-3</v>
      </c>
      <c r="V36" s="139">
        <f t="shared" si="6"/>
        <v>6.8091840581138374E-2</v>
      </c>
      <c r="W36" s="139">
        <f t="shared" si="6"/>
        <v>5.7173674500435201E-2</v>
      </c>
      <c r="X36" s="139">
        <f t="shared" si="6"/>
        <v>3.2048652721034632E-2</v>
      </c>
      <c r="Y36" s="139">
        <f t="shared" si="6"/>
        <v>1.9086804779387956E-2</v>
      </c>
      <c r="Z36" s="139">
        <f t="shared" si="6"/>
        <v>3.6164370985877436E-2</v>
      </c>
      <c r="AA36" s="35"/>
      <c r="AB36" s="35"/>
      <c r="AC36" s="35"/>
      <c r="AD36" s="35"/>
    </row>
    <row r="37" spans="1:45" x14ac:dyDescent="0.35">
      <c r="A37" s="136"/>
      <c r="B37" t="s">
        <v>1868</v>
      </c>
      <c r="D37" s="139">
        <f t="shared" ref="D37:Z37" si="7">(D15/C15)^(12)-1</f>
        <v>3.2938266631028057E-2</v>
      </c>
      <c r="E37" s="139">
        <f t="shared" si="7"/>
        <v>2.7644192136645263E-2</v>
      </c>
      <c r="F37" s="139">
        <f t="shared" si="7"/>
        <v>4.1858943940387805E-2</v>
      </c>
      <c r="G37" s="139">
        <f t="shared" si="7"/>
        <v>3.9216252076649472E-2</v>
      </c>
      <c r="H37" s="139">
        <f t="shared" si="7"/>
        <v>7.7351472587609216E-2</v>
      </c>
      <c r="I37" s="139">
        <f t="shared" si="7"/>
        <v>7.2917349757494865E-2</v>
      </c>
      <c r="J37" s="139">
        <f t="shared" si="7"/>
        <v>5.0954570797017595E-2</v>
      </c>
      <c r="K37" s="139">
        <f t="shared" si="7"/>
        <v>0.13212657821659612</v>
      </c>
      <c r="L37" s="139">
        <f t="shared" si="7"/>
        <v>9.1607223976764907E-2</v>
      </c>
      <c r="M37" s="139">
        <f t="shared" si="7"/>
        <v>7.9658361080225948E-2</v>
      </c>
      <c r="N37" s="139">
        <f t="shared" si="7"/>
        <v>3.8604886098567048E-2</v>
      </c>
      <c r="O37" s="139">
        <f t="shared" si="7"/>
        <v>0.10881760422644993</v>
      </c>
      <c r="P37" s="139">
        <f t="shared" si="7"/>
        <v>0.18615381389271946</v>
      </c>
      <c r="Q37" s="139">
        <f t="shared" si="7"/>
        <v>0.17642464112952694</v>
      </c>
      <c r="R37" s="139">
        <f t="shared" si="7"/>
        <v>0.1336786180791798</v>
      </c>
      <c r="S37" s="139">
        <f t="shared" si="7"/>
        <v>0.15771379938119745</v>
      </c>
      <c r="T37" s="139">
        <f t="shared" si="7"/>
        <v>0.12523398845374589</v>
      </c>
      <c r="U37" s="139">
        <f t="shared" si="7"/>
        <v>0.16431889623926255</v>
      </c>
      <c r="V37" s="139">
        <f t="shared" si="7"/>
        <v>9.6981521654441627E-2</v>
      </c>
      <c r="W37" s="139">
        <f t="shared" si="7"/>
        <v>7.692418537218737E-2</v>
      </c>
      <c r="X37" s="139">
        <f t="shared" si="7"/>
        <v>5.5292202512151389E-2</v>
      </c>
      <c r="Y37" s="139">
        <f t="shared" si="7"/>
        <v>4.2104114748562793E-2</v>
      </c>
      <c r="Z37" s="139">
        <f t="shared" si="7"/>
        <v>2.901971685203919E-2</v>
      </c>
      <c r="AA37" s="35"/>
      <c r="AB37" s="35"/>
      <c r="AC37" s="35"/>
      <c r="AD37" s="35"/>
    </row>
    <row r="38" spans="1:45" x14ac:dyDescent="0.35">
      <c r="B38" t="s">
        <v>1870</v>
      </c>
      <c r="D38" s="139">
        <f t="shared" ref="D38:Z38" si="8">(D16/C16)^(12)-1</f>
        <v>0.72291569588284976</v>
      </c>
      <c r="E38" s="139">
        <f t="shared" si="8"/>
        <v>0.90652914977426202</v>
      </c>
      <c r="F38" s="139">
        <f t="shared" si="8"/>
        <v>-0.15058784271851389</v>
      </c>
      <c r="G38" s="139">
        <f t="shared" si="8"/>
        <v>8.2415570773829439E-2</v>
      </c>
      <c r="H38" s="139">
        <f t="shared" si="8"/>
        <v>0.288212400240214</v>
      </c>
      <c r="I38" s="139">
        <f t="shared" si="8"/>
        <v>0.21557014107504702</v>
      </c>
      <c r="J38" s="139">
        <f t="shared" si="8"/>
        <v>0.24101686665685773</v>
      </c>
      <c r="K38" s="139">
        <f t="shared" si="8"/>
        <v>0.15251650157315622</v>
      </c>
      <c r="L38" s="139">
        <f t="shared" si="8"/>
        <v>0.58970721346460908</v>
      </c>
      <c r="M38" s="139">
        <f t="shared" si="8"/>
        <v>0.36760042472255372</v>
      </c>
      <c r="N38" s="139">
        <f t="shared" si="8"/>
        <v>0.11505581871805415</v>
      </c>
      <c r="O38" s="139">
        <f t="shared" si="8"/>
        <v>0.13924164278085938</v>
      </c>
      <c r="P38" s="139">
        <f t="shared" si="8"/>
        <v>0.56395992753520474</v>
      </c>
      <c r="Q38" s="139">
        <f t="shared" si="8"/>
        <v>2.8844246570707157</v>
      </c>
      <c r="R38" s="139">
        <f t="shared" si="8"/>
        <v>-0.31338167549989293</v>
      </c>
      <c r="S38" s="139">
        <f t="shared" si="8"/>
        <v>0.59110874420150306</v>
      </c>
      <c r="T38" s="139">
        <f t="shared" si="8"/>
        <v>1.4194714937063813</v>
      </c>
      <c r="U38" s="139">
        <f t="shared" si="8"/>
        <v>-0.45413379038575985</v>
      </c>
      <c r="V38" s="139">
        <f t="shared" si="8"/>
        <v>-0.50057237216762762</v>
      </c>
      <c r="W38" s="139">
        <f t="shared" si="8"/>
        <v>-0.25306540672645772</v>
      </c>
      <c r="X38" s="139">
        <f t="shared" si="8"/>
        <v>0.34602413381269881</v>
      </c>
      <c r="Y38" s="139">
        <f t="shared" si="8"/>
        <v>-0.16696889851534225</v>
      </c>
      <c r="Z38" s="139">
        <f t="shared" si="8"/>
        <v>-0.46755563534182565</v>
      </c>
      <c r="AA38" s="35"/>
      <c r="AB38" s="35"/>
      <c r="AC38" s="35"/>
      <c r="AD38" s="35"/>
    </row>
    <row r="39" spans="1:45" x14ac:dyDescent="0.35">
      <c r="B39" t="s">
        <v>1872</v>
      </c>
      <c r="D39" s="139">
        <f t="shared" ref="D39:Z39" si="9">(D17/C17)^(12)-1</f>
        <v>4.9558680616075268E-2</v>
      </c>
      <c r="E39" s="139">
        <f t="shared" si="9"/>
        <v>7.3057516618111329E-2</v>
      </c>
      <c r="F39" s="139">
        <f t="shared" si="9"/>
        <v>5.2460099709424668E-2</v>
      </c>
      <c r="G39" s="139">
        <f t="shared" si="9"/>
        <v>5.381520289141295E-2</v>
      </c>
      <c r="H39" s="139">
        <f t="shared" si="9"/>
        <v>6.1601799694704917E-2</v>
      </c>
      <c r="I39" s="139">
        <f t="shared" si="9"/>
        <v>5.7681609776136566E-2</v>
      </c>
      <c r="J39" s="139">
        <f t="shared" si="9"/>
        <v>4.38284003771372E-2</v>
      </c>
      <c r="K39" s="139">
        <f t="shared" si="9"/>
        <v>3.4557210756703594E-2</v>
      </c>
      <c r="L39" s="139">
        <f t="shared" si="9"/>
        <v>8.2095552588947074E-2</v>
      </c>
      <c r="M39" s="139">
        <f t="shared" si="9"/>
        <v>6.5737761414305318E-2</v>
      </c>
      <c r="N39" s="139">
        <f t="shared" si="9"/>
        <v>6.4384017739507859E-2</v>
      </c>
      <c r="O39" s="139">
        <f t="shared" si="9"/>
        <v>7.2983192326654178E-2</v>
      </c>
      <c r="P39" s="139">
        <f t="shared" si="9"/>
        <v>9.2871760771986445E-2</v>
      </c>
      <c r="Q39" s="139">
        <f t="shared" si="9"/>
        <v>0.13826855618806144</v>
      </c>
      <c r="R39" s="139">
        <f t="shared" si="9"/>
        <v>1.8616650926342571E-2</v>
      </c>
      <c r="S39" s="139">
        <f t="shared" si="9"/>
        <v>8.4202927885562273E-2</v>
      </c>
      <c r="T39" s="139">
        <f t="shared" si="9"/>
        <v>0.13505054386395821</v>
      </c>
      <c r="U39" s="139">
        <f t="shared" si="9"/>
        <v>-1.9888782007158046E-3</v>
      </c>
      <c r="V39" s="139">
        <f t="shared" si="9"/>
        <v>1.8775735947116345E-2</v>
      </c>
      <c r="W39" s="139">
        <f t="shared" si="9"/>
        <v>3.6067570244965097E-2</v>
      </c>
      <c r="X39" s="139">
        <f t="shared" si="9"/>
        <v>5.5056660956936287E-2</v>
      </c>
      <c r="Y39" s="139">
        <f t="shared" si="9"/>
        <v>1.0858253476733193E-3</v>
      </c>
      <c r="Z39" s="139">
        <f t="shared" si="9"/>
        <v>1.0407926311754023E-2</v>
      </c>
      <c r="AA39" s="35"/>
      <c r="AB39" s="35"/>
      <c r="AC39" s="35"/>
      <c r="AD39" s="35"/>
    </row>
    <row r="40" spans="1:45" x14ac:dyDescent="0.35">
      <c r="B40" t="s">
        <v>1874</v>
      </c>
      <c r="D40" s="139">
        <f t="shared" ref="D40:Z40" si="10">(D18/C18)^(12)-1</f>
        <v>2.6306911733675387E-2</v>
      </c>
      <c r="E40" s="139">
        <f t="shared" si="10"/>
        <v>4.7075720782800756E-2</v>
      </c>
      <c r="F40" s="139">
        <f t="shared" si="10"/>
        <v>6.4735241863618675E-2</v>
      </c>
      <c r="G40" s="139">
        <f t="shared" si="10"/>
        <v>5.3863730770375762E-2</v>
      </c>
      <c r="H40" s="139">
        <f t="shared" si="10"/>
        <v>4.9415026420108532E-2</v>
      </c>
      <c r="I40" s="139">
        <f t="shared" si="10"/>
        <v>4.8442163355395973E-2</v>
      </c>
      <c r="J40" s="139">
        <f t="shared" si="10"/>
        <v>3.3445689362926245E-2</v>
      </c>
      <c r="K40" s="139">
        <f t="shared" si="10"/>
        <v>1.9209551763710087E-2</v>
      </c>
      <c r="L40" s="139">
        <f t="shared" si="10"/>
        <v>5.8661895401922237E-2</v>
      </c>
      <c r="M40" s="139">
        <f t="shared" si="10"/>
        <v>4.9648293347485994E-2</v>
      </c>
      <c r="N40" s="139">
        <f t="shared" si="10"/>
        <v>6.4148804110846225E-2</v>
      </c>
      <c r="O40" s="139">
        <f t="shared" si="10"/>
        <v>6.5881113028707583E-2</v>
      </c>
      <c r="P40" s="139">
        <f t="shared" si="10"/>
        <v>6.1834779954741403E-2</v>
      </c>
      <c r="Q40" s="139">
        <f t="shared" si="10"/>
        <v>5.1972875017657572E-2</v>
      </c>
      <c r="R40" s="139">
        <f t="shared" si="10"/>
        <v>3.3709236066195469E-2</v>
      </c>
      <c r="S40" s="139">
        <f t="shared" si="10"/>
        <v>5.1178679027768181E-2</v>
      </c>
      <c r="T40" s="139">
        <f t="shared" si="10"/>
        <v>8.0351418460051338E-2</v>
      </c>
      <c r="U40" s="139">
        <f t="shared" si="10"/>
        <v>2.3593165612588507E-2</v>
      </c>
      <c r="V40" s="139">
        <f t="shared" si="10"/>
        <v>5.7661583960296747E-2</v>
      </c>
      <c r="W40" s="139">
        <f t="shared" si="10"/>
        <v>5.2682145345352538E-2</v>
      </c>
      <c r="X40" s="139">
        <f t="shared" si="10"/>
        <v>3.9749380170971849E-2</v>
      </c>
      <c r="Y40" s="139">
        <f t="shared" si="10"/>
        <v>7.9305005594894062E-3</v>
      </c>
      <c r="Z40" s="139">
        <f t="shared" si="10"/>
        <v>4.6465414991049503E-2</v>
      </c>
      <c r="AA40" s="35"/>
      <c r="AB40" s="35"/>
      <c r="AC40" s="35"/>
      <c r="AD40" s="35"/>
    </row>
    <row r="43" spans="1:45" x14ac:dyDescent="0.35">
      <c r="B43" s="140"/>
      <c r="C43" s="140"/>
      <c r="D43" s="140"/>
      <c r="E43" s="140"/>
      <c r="F43" s="140"/>
      <c r="G43" s="140"/>
      <c r="H43" s="140"/>
      <c r="I43" s="140"/>
      <c r="J43" s="140"/>
      <c r="K43" s="140"/>
      <c r="L43" s="140"/>
      <c r="M43" s="140"/>
      <c r="N43" s="140"/>
      <c r="O43" s="140"/>
      <c r="P43" s="140"/>
      <c r="Q43" s="140" t="s">
        <v>1880</v>
      </c>
      <c r="R43" s="140"/>
      <c r="S43" s="35"/>
      <c r="T43" s="35"/>
      <c r="U43" s="35"/>
      <c r="V43" s="35"/>
      <c r="W43" s="35"/>
      <c r="X43" s="35"/>
      <c r="Y43" s="35"/>
      <c r="Z43" s="1094"/>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418">
        <v>2021</v>
      </c>
      <c r="T44" s="1419"/>
      <c r="U44" s="1419"/>
      <c r="V44" s="1419"/>
      <c r="W44" s="1421">
        <v>2022</v>
      </c>
      <c r="X44" s="1421"/>
      <c r="Y44" s="1421"/>
      <c r="Z44" s="1421"/>
      <c r="AA44" s="146">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37" t="s">
        <v>328</v>
      </c>
      <c r="T45" s="150" t="s">
        <v>329</v>
      </c>
      <c r="U45" s="150" t="s">
        <v>238</v>
      </c>
      <c r="V45" s="150" t="s">
        <v>327</v>
      </c>
      <c r="W45" s="150" t="s">
        <v>328</v>
      </c>
      <c r="X45" s="150" t="s">
        <v>329</v>
      </c>
      <c r="Y45" s="150" t="s">
        <v>238</v>
      </c>
      <c r="Z45" s="1098" t="s">
        <v>327</v>
      </c>
      <c r="AA45" s="1102"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4">
        <f>AVERAGE(X8:Z8)</f>
        <v>124.72533333333335</v>
      </c>
      <c r="AA46" s="144">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40" t="s">
        <v>1881</v>
      </c>
      <c r="Z48"/>
    </row>
    <row r="49" spans="2:29" ht="43.5" customHeight="1" x14ac:dyDescent="0.35">
      <c r="B49" s="35"/>
      <c r="C49" s="83"/>
      <c r="D49" s="83"/>
      <c r="E49" s="83"/>
      <c r="F49" s="83"/>
      <c r="G49" s="83"/>
      <c r="H49" s="83"/>
      <c r="S49" s="1418">
        <v>2021</v>
      </c>
      <c r="T49" s="1419"/>
      <c r="U49" s="1419"/>
      <c r="V49" s="1419"/>
      <c r="W49" s="1421">
        <v>2022</v>
      </c>
      <c r="X49" s="1421"/>
      <c r="Y49" s="1421"/>
      <c r="Z49" s="1421"/>
      <c r="AA49" s="146">
        <v>2023</v>
      </c>
      <c r="AB49" s="1103" t="s">
        <v>2191</v>
      </c>
      <c r="AC49" s="14"/>
    </row>
    <row r="50" spans="2:29" x14ac:dyDescent="0.35">
      <c r="B50" s="35"/>
      <c r="C50" s="35"/>
      <c r="D50" s="35"/>
      <c r="E50" s="35"/>
      <c r="F50" s="35"/>
      <c r="G50" s="35"/>
      <c r="H50" s="35"/>
      <c r="S50" s="137" t="s">
        <v>328</v>
      </c>
      <c r="T50" s="150" t="s">
        <v>329</v>
      </c>
      <c r="U50" s="150" t="s">
        <v>238</v>
      </c>
      <c r="V50" s="150" t="s">
        <v>327</v>
      </c>
      <c r="W50" s="150" t="s">
        <v>328</v>
      </c>
      <c r="X50" s="150" t="s">
        <v>329</v>
      </c>
      <c r="Y50" s="150" t="s">
        <v>238</v>
      </c>
      <c r="Z50" s="1098" t="s">
        <v>327</v>
      </c>
      <c r="AA50" s="1102" t="s">
        <v>328</v>
      </c>
      <c r="AB50" s="14"/>
    </row>
    <row r="51" spans="2:29" x14ac:dyDescent="0.35">
      <c r="B51" s="35"/>
      <c r="C51" s="35"/>
      <c r="D51" s="35"/>
      <c r="E51" s="35"/>
      <c r="F51" s="35"/>
      <c r="G51" s="35"/>
      <c r="H51" s="35"/>
      <c r="S51" s="20"/>
      <c r="T51" s="153">
        <f t="shared" ref="T51:Y51" si="11">(T46/S46)^4-1</f>
        <v>6.4466715030665034E-2</v>
      </c>
      <c r="U51" s="153">
        <f t="shared" si="11"/>
        <v>5.5974491632073686E-2</v>
      </c>
      <c r="V51" s="153">
        <f t="shared" si="11"/>
        <v>6.1883793652025565E-2</v>
      </c>
      <c r="W51" s="153">
        <f t="shared" si="11"/>
        <v>7.4760879860437557E-2</v>
      </c>
      <c r="X51" s="153">
        <f t="shared" si="11"/>
        <v>7.2910717592092666E-2</v>
      </c>
      <c r="Y51" s="153">
        <f t="shared" si="11"/>
        <v>4.3189354230043886E-2</v>
      </c>
      <c r="Z51" s="154">
        <f>(Z46/Y46)^4-1</f>
        <v>3.1578232055955224E-2</v>
      </c>
      <c r="AA51" s="154">
        <f>(AA46/Z46)^4-1</f>
        <v>1.7675040150680443E-2</v>
      </c>
      <c r="AB51" s="147">
        <f>Deflators!U12</f>
        <v>3.5724460314211282E-2</v>
      </c>
    </row>
    <row r="52" spans="2:29" x14ac:dyDescent="0.35">
      <c r="B52" s="35"/>
      <c r="C52" s="35"/>
      <c r="D52" s="35"/>
      <c r="E52" s="35"/>
      <c r="F52" s="35"/>
      <c r="G52" s="35"/>
      <c r="H52" s="35"/>
      <c r="I52" s="35"/>
      <c r="J52" s="35"/>
      <c r="K52" s="35"/>
      <c r="L52" s="35"/>
      <c r="M52" s="35"/>
      <c r="N52" s="35"/>
      <c r="O52" s="35"/>
      <c r="P52" s="35"/>
      <c r="Q52" s="35"/>
      <c r="Z52"/>
    </row>
    <row r="53" spans="2:29" x14ac:dyDescent="0.35">
      <c r="B53" s="35"/>
      <c r="C53" s="35"/>
      <c r="D53" s="35"/>
      <c r="E53" s="35"/>
      <c r="F53" s="35"/>
      <c r="G53" s="35"/>
      <c r="H53" s="35"/>
      <c r="I53" s="35"/>
      <c r="J53" s="35"/>
      <c r="K53" s="35"/>
      <c r="L53" s="35"/>
      <c r="M53" s="35"/>
      <c r="N53" s="35"/>
      <c r="O53" s="35"/>
      <c r="P53" s="35"/>
      <c r="Q53" s="35"/>
      <c r="Z53"/>
    </row>
    <row r="54" spans="2:29" x14ac:dyDescent="0.35">
      <c r="B54" s="35"/>
      <c r="E54" s="35"/>
      <c r="F54" s="35"/>
      <c r="G54" s="35"/>
      <c r="H54" s="35"/>
      <c r="I54" s="35"/>
      <c r="J54" s="35"/>
      <c r="K54" s="35"/>
      <c r="L54" s="35"/>
      <c r="M54" s="35"/>
      <c r="N54" s="35"/>
      <c r="O54" s="35"/>
      <c r="P54" s="35"/>
      <c r="Q54" s="35"/>
      <c r="Z54"/>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phoneticPr fontId="81"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B11" sqref="B11"/>
    </sheetView>
  </sheetViews>
  <sheetFormatPr defaultColWidth="11.453125" defaultRowHeight="14.5" x14ac:dyDescent="0.35"/>
  <cols>
    <col min="1" max="1" width="33" customWidth="1"/>
    <col min="2" max="2" width="27.1796875" customWidth="1"/>
  </cols>
  <sheetData>
    <row r="1" spans="1:22" x14ac:dyDescent="0.35">
      <c r="A1" s="76" t="s">
        <v>178</v>
      </c>
      <c r="B1" s="76" t="s">
        <v>179</v>
      </c>
      <c r="C1" s="157" t="s">
        <v>292</v>
      </c>
      <c r="D1" s="157" t="s">
        <v>293</v>
      </c>
      <c r="E1" s="157" t="s">
        <v>294</v>
      </c>
      <c r="F1" s="157" t="s">
        <v>295</v>
      </c>
      <c r="G1" s="76" t="s">
        <v>296</v>
      </c>
      <c r="H1" s="76" t="s">
        <v>180</v>
      </c>
      <c r="I1" s="76" t="s">
        <v>181</v>
      </c>
      <c r="J1" s="76" t="s">
        <v>182</v>
      </c>
      <c r="K1" s="76" t="s">
        <v>183</v>
      </c>
      <c r="L1" s="97" t="s">
        <v>184</v>
      </c>
      <c r="M1" s="97" t="s">
        <v>185</v>
      </c>
      <c r="N1" s="97"/>
      <c r="O1" s="97"/>
      <c r="P1" s="97"/>
      <c r="Q1" s="97"/>
      <c r="R1" s="97"/>
      <c r="S1" s="97"/>
      <c r="T1" s="97"/>
      <c r="U1" s="97"/>
      <c r="V1" s="97"/>
    </row>
    <row r="2" spans="1:22" ht="29.15" customHeight="1" x14ac:dyDescent="0.3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419.69592800000004</v>
      </c>
    </row>
    <row r="3" spans="1:22" ht="29.15" customHeight="1" x14ac:dyDescent="0.35">
      <c r="A3" s="14" t="s">
        <v>847</v>
      </c>
      <c r="B3" t="s">
        <v>844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1903.3740000000003</v>
      </c>
    </row>
    <row r="4" spans="1:22" ht="29.15" customHeight="1" x14ac:dyDescent="0.35">
      <c r="A4" s="14" t="s">
        <v>849</v>
      </c>
      <c r="B4" t="s">
        <v>845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848</v>
      </c>
      <c r="B5" t="s">
        <v>846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886</v>
      </c>
      <c r="C6" s="158">
        <f>Subsidies!J45</f>
        <v>0</v>
      </c>
      <c r="D6" s="158">
        <f>Subsidies!K45</f>
        <v>0</v>
      </c>
      <c r="E6" s="158">
        <f>Subsidies!L45</f>
        <v>0</v>
      </c>
      <c r="F6" s="158">
        <f>Subsidies!M45</f>
        <v>0</v>
      </c>
      <c r="G6" s="158">
        <f>Subsidies!N45</f>
        <v>58.782959999999989</v>
      </c>
      <c r="H6" s="158">
        <f>Subsidies!O45</f>
        <v>267.78904</v>
      </c>
      <c r="I6" s="158">
        <f>Subsidies!P45</f>
        <v>110.24799999999999</v>
      </c>
      <c r="J6" s="158">
        <f>Subsidies!Q45</f>
        <v>110.24799999999999</v>
      </c>
      <c r="K6" s="158">
        <f>Subsidies!R45</f>
        <v>110.24799999999999</v>
      </c>
      <c r="L6" s="158">
        <f>Subsidies!S45</f>
        <v>110.24799999999999</v>
      </c>
      <c r="M6" s="158">
        <f>Subsidies!T45</f>
        <v>12.726000000000001</v>
      </c>
    </row>
    <row r="7" spans="1:22" ht="29.15" customHeight="1" x14ac:dyDescent="0.35">
      <c r="A7" s="14" t="s">
        <v>927</v>
      </c>
      <c r="B7" t="s">
        <v>925</v>
      </c>
      <c r="C7" s="35"/>
      <c r="D7" s="35"/>
      <c r="E7" s="35"/>
      <c r="F7" s="35"/>
      <c r="G7" s="35"/>
      <c r="H7" s="35"/>
      <c r="J7" s="156"/>
      <c r="K7" s="156"/>
      <c r="L7" s="156"/>
      <c r="M7" s="156">
        <f>forecast!C21</f>
        <v>350.30119606059549</v>
      </c>
    </row>
    <row r="8" spans="1:22" x14ac:dyDescent="0.35">
      <c r="A8" t="s">
        <v>928</v>
      </c>
      <c r="B8" t="s">
        <v>926</v>
      </c>
      <c r="C8" s="35"/>
      <c r="D8" s="35"/>
      <c r="E8" s="35"/>
      <c r="F8" s="35"/>
      <c r="G8" s="35"/>
      <c r="H8" s="35"/>
      <c r="J8" s="156"/>
      <c r="K8" s="156"/>
      <c r="L8" s="156"/>
      <c r="M8" s="156">
        <f>forecast!C22</f>
        <v>95.360546952748706</v>
      </c>
    </row>
    <row r="9" spans="1:22" x14ac:dyDescent="0.35">
      <c r="A9" s="14" t="s">
        <v>1004</v>
      </c>
      <c r="B9" t="s">
        <v>1005</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1.453125" defaultRowHeight="14.5" x14ac:dyDescent="0.35"/>
  <cols>
    <col min="1" max="1" width="32.81640625" customWidth="1"/>
    <col min="2" max="2" width="28.54296875" customWidth="1"/>
  </cols>
  <sheetData>
    <row r="1" spans="1:11" x14ac:dyDescent="0.35">
      <c r="A1" s="76" t="s">
        <v>178</v>
      </c>
      <c r="B1" s="76" t="s">
        <v>179</v>
      </c>
      <c r="C1" s="77" t="s">
        <v>186</v>
      </c>
      <c r="D1" s="77" t="s">
        <v>187</v>
      </c>
      <c r="E1" s="77" t="s">
        <v>188</v>
      </c>
      <c r="F1" s="77" t="s">
        <v>189</v>
      </c>
      <c r="G1" s="77" t="s">
        <v>190</v>
      </c>
      <c r="H1" s="77" t="s">
        <v>191</v>
      </c>
      <c r="I1" s="77" t="s">
        <v>175</v>
      </c>
      <c r="J1" s="77" t="s">
        <v>176</v>
      </c>
      <c r="K1" s="77" t="s">
        <v>177</v>
      </c>
    </row>
    <row r="2" spans="1:11" x14ac:dyDescent="0.35">
      <c r="A2" s="72" t="s">
        <v>1803</v>
      </c>
      <c r="B2" t="s">
        <v>1825</v>
      </c>
      <c r="C2" s="75">
        <f>Deflators!U23</f>
        <v>8.8139015717265679E-3</v>
      </c>
      <c r="D2" s="75">
        <f>Deflators!V23</f>
        <v>8.3188189000429347E-3</v>
      </c>
      <c r="E2" s="75">
        <f>Deflators!W23</f>
        <v>8.1907640097225176E-3</v>
      </c>
      <c r="F2" s="75">
        <f>Deflators!X23</f>
        <v>7.3454744803962413E-3</v>
      </c>
      <c r="G2" s="75">
        <f>Deflators!Y23</f>
        <v>6.5490951570947864E-3</v>
      </c>
      <c r="H2" s="75">
        <f>Deflators!Z23</f>
        <v>5.9906111616996327E-3</v>
      </c>
      <c r="I2" s="75">
        <f>Deflators!AA23</f>
        <v>5.71393990210467E-3</v>
      </c>
      <c r="J2" s="75">
        <f>Deflators!AB23</f>
        <v>5.5553568504056461E-3</v>
      </c>
      <c r="K2" s="75">
        <f>Deflators!AC23</f>
        <v>5.5715712180339771E-3</v>
      </c>
    </row>
    <row r="3" spans="1:11" x14ac:dyDescent="0.35">
      <c r="A3" s="73" t="s">
        <v>1821</v>
      </c>
      <c r="B3" t="s">
        <v>1826</v>
      </c>
      <c r="C3" s="75">
        <f>Deflators!U24</f>
        <v>6.420346547156619E-3</v>
      </c>
      <c r="D3" s="75">
        <f>Deflators!V24</f>
        <v>5.8253876907148339E-3</v>
      </c>
      <c r="E3" s="75">
        <f>Deflators!W24</f>
        <v>6.2764579641267915E-3</v>
      </c>
      <c r="F3" s="75">
        <f>Deflators!X24</f>
        <v>6.3178989208103609E-3</v>
      </c>
      <c r="G3" s="75">
        <f>Deflators!Y24</f>
        <v>7.2725232743062751E-3</v>
      </c>
      <c r="H3" s="75">
        <f>Deflators!Z24</f>
        <v>6.9843961411393263E-3</v>
      </c>
      <c r="I3" s="75">
        <f>Deflators!AA24</f>
        <v>6.8014963862881306E-3</v>
      </c>
      <c r="J3" s="75">
        <f>Deflators!AB24</f>
        <v>6.6185723821980957E-3</v>
      </c>
      <c r="K3" s="75">
        <f>Deflators!AC24</f>
        <v>5.9560502446180941E-3</v>
      </c>
    </row>
    <row r="4" spans="1:11" x14ac:dyDescent="0.35">
      <c r="A4" s="73" t="s">
        <v>1822</v>
      </c>
      <c r="B4" t="s">
        <v>1827</v>
      </c>
      <c r="C4" s="75">
        <f>Deflators!U25</f>
        <v>8.5814151419392193E-3</v>
      </c>
      <c r="D4" s="75">
        <f>Deflators!V25</f>
        <v>8.0131585685250251E-3</v>
      </c>
      <c r="E4" s="75">
        <f>Deflators!W25</f>
        <v>8.630577055315225E-3</v>
      </c>
      <c r="F4" s="75">
        <f>Deflators!X25</f>
        <v>8.4934420030498003E-3</v>
      </c>
      <c r="G4" s="75">
        <f>Deflators!Y25</f>
        <v>7.7301491027170766E-3</v>
      </c>
      <c r="H4" s="75">
        <f>Deflators!Z25</f>
        <v>6.9446663109324902E-3</v>
      </c>
      <c r="I4" s="75">
        <f>Deflators!AA25</f>
        <v>6.7023012839417806E-3</v>
      </c>
      <c r="J4" s="75">
        <f>Deflators!AB25</f>
        <v>6.5949786314196679E-3</v>
      </c>
      <c r="K4" s="75">
        <f>Deflators!AC25</f>
        <v>6.8419370723198369E-3</v>
      </c>
    </row>
    <row r="5" spans="1:11" x14ac:dyDescent="0.35">
      <c r="A5" s="73" t="s">
        <v>1823</v>
      </c>
      <c r="B5" t="s">
        <v>1828</v>
      </c>
      <c r="C5" s="75">
        <f>Deflators!U26</f>
        <v>8.5814151419392193E-3</v>
      </c>
      <c r="D5" s="75">
        <f>Deflators!V26</f>
        <v>8.0131585685250251E-3</v>
      </c>
      <c r="E5" s="75">
        <f>Deflators!W26</f>
        <v>8.630577055315225E-3</v>
      </c>
      <c r="F5" s="75">
        <f>Deflators!X26</f>
        <v>8.4934420030498003E-3</v>
      </c>
      <c r="G5" s="75">
        <f>Deflators!Y26</f>
        <v>7.7301491027170766E-3</v>
      </c>
      <c r="H5" s="75">
        <f>Deflators!Z26</f>
        <v>6.9446663109324902E-3</v>
      </c>
      <c r="I5" s="75">
        <f>Deflators!AA26</f>
        <v>6.7023012839417806E-3</v>
      </c>
      <c r="J5" s="75">
        <f>Deflators!AB26</f>
        <v>6.5949786314196679E-3</v>
      </c>
      <c r="K5" s="75">
        <f>Deflators!AC26</f>
        <v>6.8419370723198369E-3</v>
      </c>
    </row>
    <row r="6" spans="1:11" x14ac:dyDescent="0.35">
      <c r="A6" s="74" t="s">
        <v>1824</v>
      </c>
      <c r="B6" t="s">
        <v>1829</v>
      </c>
      <c r="C6" s="75">
        <f>Deflators!U27</f>
        <v>8.5814151419392193E-3</v>
      </c>
      <c r="D6" s="75">
        <f>Deflators!V27</f>
        <v>8.0131585685250251E-3</v>
      </c>
      <c r="E6" s="75">
        <f>Deflators!W27</f>
        <v>8.630577055315225E-3</v>
      </c>
      <c r="F6" s="75">
        <f>Deflators!X27</f>
        <v>8.4934420030498003E-3</v>
      </c>
      <c r="G6" s="75">
        <f>Deflators!Y27</f>
        <v>7.7301491027170766E-3</v>
      </c>
      <c r="H6" s="75">
        <f>Deflators!Z27</f>
        <v>6.9446663109324902E-3</v>
      </c>
      <c r="I6" s="75">
        <f>Deflators!AA27</f>
        <v>6.7023012839417806E-3</v>
      </c>
      <c r="J6" s="75">
        <f>Deflators!AB27</f>
        <v>6.5949786314196679E-3</v>
      </c>
      <c r="K6" s="75">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zoomScale="110" zoomScaleNormal="110" workbookViewId="0">
      <selection activeCell="B8" sqref="B8"/>
    </sheetView>
  </sheetViews>
  <sheetFormatPr defaultColWidth="11.453125" defaultRowHeight="14.5" x14ac:dyDescent="0.35"/>
  <cols>
    <col min="1" max="2" width="70.81640625" customWidth="1"/>
  </cols>
  <sheetData>
    <row r="1" spans="1:45" ht="15.65" customHeight="1" x14ac:dyDescent="0.35">
      <c r="A1" s="1432" t="s">
        <v>299</v>
      </c>
      <c r="B1" s="1432"/>
      <c r="C1" s="1432"/>
      <c r="D1" s="1432"/>
      <c r="E1" s="1432"/>
      <c r="F1" s="1432"/>
      <c r="G1" s="1432"/>
      <c r="H1" s="1432"/>
      <c r="I1" s="1432"/>
      <c r="J1" s="1432"/>
      <c r="K1" s="1432"/>
      <c r="L1" s="1432"/>
      <c r="M1" s="1432"/>
      <c r="N1" s="1432"/>
      <c r="O1" s="1432"/>
    </row>
    <row r="2" spans="1:45" ht="31.4" customHeight="1" x14ac:dyDescent="0.35">
      <c r="A2" s="242"/>
      <c r="B2" s="242" t="s">
        <v>179</v>
      </c>
      <c r="C2" s="249">
        <v>1</v>
      </c>
      <c r="D2" s="249">
        <f>C2+1</f>
        <v>2</v>
      </c>
      <c r="E2" s="249">
        <f t="shared" ref="E2:N2" si="0">D2+1</f>
        <v>3</v>
      </c>
      <c r="F2" s="249">
        <f t="shared" si="0"/>
        <v>4</v>
      </c>
      <c r="G2" s="249">
        <f t="shared" si="0"/>
        <v>5</v>
      </c>
      <c r="H2" s="249">
        <f t="shared" si="0"/>
        <v>6</v>
      </c>
      <c r="I2" s="249">
        <f t="shared" si="0"/>
        <v>7</v>
      </c>
      <c r="J2" s="249">
        <f t="shared" si="0"/>
        <v>8</v>
      </c>
      <c r="K2" s="249">
        <f t="shared" si="0"/>
        <v>9</v>
      </c>
      <c r="L2" s="249">
        <f t="shared" si="0"/>
        <v>10</v>
      </c>
      <c r="M2" s="249">
        <f t="shared" si="0"/>
        <v>11</v>
      </c>
      <c r="N2" s="249">
        <f t="shared" si="0"/>
        <v>12</v>
      </c>
      <c r="O2" s="247" t="s">
        <v>300</v>
      </c>
    </row>
    <row r="3" spans="1:45" ht="15.65" customHeight="1" x14ac:dyDescent="0.35">
      <c r="A3" s="244" t="s">
        <v>301</v>
      </c>
      <c r="B3" s="244" t="s">
        <v>302</v>
      </c>
      <c r="C3" s="75">
        <v>0.22500000000000001</v>
      </c>
      <c r="D3" s="75">
        <v>0.22500000000000001</v>
      </c>
      <c r="E3" s="75">
        <v>0.22500000000000001</v>
      </c>
      <c r="F3" s="75">
        <v>0.22500000000000001</v>
      </c>
      <c r="G3" s="250">
        <v>0</v>
      </c>
      <c r="H3" s="250">
        <v>0</v>
      </c>
      <c r="I3" s="250">
        <v>0</v>
      </c>
      <c r="J3" s="250">
        <v>0</v>
      </c>
      <c r="K3" s="250">
        <v>0</v>
      </c>
      <c r="L3" s="250">
        <v>0</v>
      </c>
      <c r="M3" s="250">
        <v>0</v>
      </c>
      <c r="N3" s="250">
        <v>0</v>
      </c>
      <c r="O3" s="243"/>
      <c r="P3" s="75"/>
      <c r="Q3" s="75"/>
      <c r="R3" s="75"/>
      <c r="S3" s="75"/>
      <c r="T3" s="250"/>
      <c r="U3" s="250"/>
      <c r="V3" s="250"/>
      <c r="W3" s="250"/>
      <c r="X3" s="250"/>
      <c r="Y3" s="250"/>
      <c r="Z3" s="250"/>
      <c r="AA3" s="250"/>
      <c r="AC3" s="71"/>
      <c r="AD3" s="71"/>
      <c r="AE3" s="71"/>
      <c r="AF3" s="71"/>
      <c r="AG3" s="71"/>
      <c r="AH3" s="71"/>
      <c r="AI3" s="71"/>
      <c r="AJ3" s="71"/>
      <c r="AK3" s="71"/>
      <c r="AL3" s="71"/>
      <c r="AM3" s="71"/>
      <c r="AN3" s="71"/>
      <c r="AO3" s="71"/>
      <c r="AP3" s="71"/>
      <c r="AQ3" s="71"/>
      <c r="AR3" s="71"/>
      <c r="AS3" s="71"/>
    </row>
    <row r="4" spans="1:45" ht="15.65" customHeight="1" x14ac:dyDescent="0.35">
      <c r="A4" s="246" t="s">
        <v>303</v>
      </c>
      <c r="B4" s="246" t="s">
        <v>304</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248">
        <f>SUM(C4:N4)</f>
        <v>-0.39999999999999997</v>
      </c>
      <c r="P4" s="75"/>
      <c r="Q4" s="75"/>
      <c r="R4" s="75"/>
      <c r="S4" s="75"/>
      <c r="T4" s="75"/>
      <c r="U4" s="75"/>
      <c r="V4" s="75"/>
      <c r="W4" s="75"/>
      <c r="X4" s="75"/>
      <c r="Y4" s="75"/>
      <c r="Z4" s="75"/>
      <c r="AA4" s="75"/>
      <c r="AC4" s="71"/>
      <c r="AD4" s="71"/>
      <c r="AE4" s="71"/>
      <c r="AF4" s="71"/>
      <c r="AG4" s="71"/>
      <c r="AH4" s="71"/>
      <c r="AI4" s="71"/>
      <c r="AJ4" s="71"/>
      <c r="AK4" s="71"/>
      <c r="AL4" s="71"/>
      <c r="AM4" s="71"/>
      <c r="AN4" s="71"/>
    </row>
    <row r="5" spans="1:45" ht="15.65" customHeight="1" x14ac:dyDescent="0.35">
      <c r="A5" s="246" t="s">
        <v>305</v>
      </c>
      <c r="B5" s="246" t="s">
        <v>306</v>
      </c>
      <c r="C5" s="75">
        <v>-0.12</v>
      </c>
      <c r="D5" s="75">
        <v>-0.12</v>
      </c>
      <c r="E5" s="75">
        <v>-0.06</v>
      </c>
      <c r="F5" s="75">
        <v>-0.06</v>
      </c>
      <c r="G5" s="75">
        <v>-0.06</v>
      </c>
      <c r="H5" s="75">
        <v>-0.06</v>
      </c>
      <c r="I5" s="75">
        <v>-0.06</v>
      </c>
      <c r="J5" s="75">
        <v>-0.06</v>
      </c>
      <c r="K5" s="75">
        <v>0</v>
      </c>
      <c r="L5" s="75">
        <v>0</v>
      </c>
      <c r="M5" s="75">
        <v>0</v>
      </c>
      <c r="N5" s="75">
        <v>0</v>
      </c>
      <c r="O5" s="248">
        <f t="shared" ref="O5:O13" si="1">SUM(C5:N5)</f>
        <v>-0.60000000000000009</v>
      </c>
      <c r="P5" s="75"/>
      <c r="Q5" s="75"/>
      <c r="R5" s="75"/>
      <c r="S5" s="75"/>
      <c r="T5" s="75"/>
      <c r="U5" s="75"/>
      <c r="V5" s="75"/>
      <c r="W5" s="75"/>
      <c r="X5" s="75"/>
      <c r="Y5" s="75"/>
      <c r="Z5" s="75"/>
      <c r="AA5" s="75"/>
      <c r="AC5" s="71"/>
      <c r="AD5" s="71"/>
      <c r="AE5" s="71"/>
      <c r="AF5" s="71"/>
      <c r="AG5" s="71"/>
      <c r="AH5" s="71"/>
      <c r="AI5" s="71"/>
      <c r="AJ5" s="71"/>
      <c r="AK5" s="71"/>
      <c r="AL5" s="71"/>
      <c r="AM5" s="71"/>
      <c r="AN5" s="71"/>
    </row>
    <row r="6" spans="1:45" ht="15.65" customHeight="1" x14ac:dyDescent="0.35">
      <c r="A6" s="244" t="s">
        <v>307</v>
      </c>
      <c r="B6" s="244"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248">
        <f t="shared" si="1"/>
        <v>0.68600000000000017</v>
      </c>
      <c r="P6" s="75"/>
      <c r="Q6" s="75"/>
      <c r="R6" s="75"/>
      <c r="S6" s="75"/>
      <c r="T6" s="75"/>
      <c r="U6" s="75"/>
      <c r="V6" s="75"/>
      <c r="W6" s="75"/>
      <c r="X6" s="75"/>
      <c r="Y6" s="75"/>
      <c r="Z6" s="75"/>
      <c r="AA6" s="75"/>
      <c r="AC6" s="71"/>
      <c r="AD6" s="71"/>
      <c r="AE6" s="71"/>
      <c r="AF6" s="71"/>
      <c r="AG6" s="71"/>
      <c r="AH6" s="71"/>
      <c r="AI6" s="71"/>
      <c r="AJ6" s="71"/>
      <c r="AK6" s="71"/>
      <c r="AL6" s="71"/>
      <c r="AM6" s="71"/>
      <c r="AN6" s="71"/>
    </row>
    <row r="7" spans="1:45" ht="15.65" customHeight="1" x14ac:dyDescent="0.35">
      <c r="A7" s="244" t="s">
        <v>308</v>
      </c>
      <c r="B7" s="244" t="s">
        <v>309</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248">
        <f t="shared" si="1"/>
        <v>0.9</v>
      </c>
      <c r="P7" s="75"/>
      <c r="Q7" s="75"/>
      <c r="R7" s="75"/>
      <c r="S7" s="75"/>
      <c r="T7" s="75"/>
      <c r="U7" s="75"/>
      <c r="V7" s="75"/>
      <c r="W7" s="75"/>
      <c r="X7" s="75"/>
      <c r="Y7" s="75"/>
      <c r="Z7" s="75"/>
      <c r="AA7" s="75"/>
      <c r="AC7" s="71"/>
      <c r="AD7" s="71"/>
      <c r="AE7" s="71"/>
      <c r="AF7" s="71"/>
      <c r="AG7" s="71"/>
      <c r="AH7" s="71"/>
      <c r="AI7" s="71"/>
      <c r="AJ7" s="71"/>
      <c r="AK7" s="71"/>
      <c r="AL7" s="71"/>
      <c r="AM7" s="71"/>
      <c r="AN7" s="71"/>
    </row>
    <row r="8" spans="1:45" ht="15.65" customHeight="1" x14ac:dyDescent="0.35">
      <c r="A8" s="244" t="s">
        <v>310</v>
      </c>
      <c r="B8" s="244" t="s">
        <v>311</v>
      </c>
      <c r="C8" s="75">
        <v>0.22500000000000001</v>
      </c>
      <c r="D8" s="75">
        <v>0.22500000000000001</v>
      </c>
      <c r="E8" s="75">
        <v>0.22500000000000001</v>
      </c>
      <c r="F8" s="75">
        <v>0.22500000000000001</v>
      </c>
      <c r="G8" s="75">
        <v>0</v>
      </c>
      <c r="H8" s="75">
        <v>0</v>
      </c>
      <c r="I8" s="75">
        <v>0</v>
      </c>
      <c r="J8" s="75">
        <v>0</v>
      </c>
      <c r="K8" s="75">
        <v>0</v>
      </c>
      <c r="L8" s="75">
        <v>0</v>
      </c>
      <c r="M8" s="75">
        <v>0</v>
      </c>
      <c r="N8" s="75">
        <v>0</v>
      </c>
      <c r="O8" s="248">
        <f t="shared" si="1"/>
        <v>0.9</v>
      </c>
      <c r="P8" s="75"/>
      <c r="Q8" s="75"/>
      <c r="R8" s="75"/>
      <c r="S8" s="75"/>
      <c r="T8" s="75"/>
      <c r="U8" s="75"/>
      <c r="V8" s="75"/>
      <c r="W8" s="75"/>
      <c r="X8" s="75"/>
      <c r="Y8" s="75"/>
      <c r="Z8" s="75"/>
      <c r="AA8" s="75"/>
      <c r="AC8" s="71"/>
      <c r="AD8" s="71"/>
      <c r="AE8" s="71"/>
      <c r="AF8" s="71"/>
      <c r="AG8" s="71"/>
      <c r="AH8" s="71"/>
      <c r="AI8" s="71"/>
      <c r="AJ8" s="71"/>
      <c r="AK8" s="71"/>
      <c r="AL8" s="71"/>
      <c r="AM8" s="71"/>
      <c r="AN8" s="71"/>
    </row>
    <row r="9" spans="1:45" ht="15.65" customHeight="1" x14ac:dyDescent="0.35">
      <c r="A9" s="244" t="s">
        <v>312</v>
      </c>
      <c r="B9" s="244" t="s">
        <v>313</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248">
        <f t="shared" si="1"/>
        <v>0.45000000000000007</v>
      </c>
      <c r="P9" s="75"/>
      <c r="Q9" s="75"/>
      <c r="R9" s="75"/>
      <c r="S9" s="75"/>
      <c r="T9" s="75"/>
      <c r="U9" s="75"/>
      <c r="V9" s="75"/>
      <c r="W9" s="75"/>
      <c r="X9" s="75"/>
      <c r="Y9" s="75"/>
      <c r="Z9" s="75"/>
      <c r="AA9" s="75"/>
      <c r="AC9" s="71"/>
      <c r="AD9" s="71"/>
      <c r="AE9" s="71"/>
      <c r="AF9" s="71"/>
      <c r="AG9" s="71"/>
      <c r="AH9" s="71"/>
      <c r="AI9" s="71"/>
      <c r="AJ9" s="71"/>
      <c r="AK9" s="71"/>
      <c r="AL9" s="71"/>
      <c r="AM9" s="71"/>
      <c r="AN9" s="71"/>
    </row>
    <row r="10" spans="1:45" ht="15.65" customHeight="1" x14ac:dyDescent="0.35">
      <c r="A10" s="244" t="s">
        <v>314</v>
      </c>
      <c r="B10" s="244" t="s">
        <v>215</v>
      </c>
      <c r="C10" s="75">
        <v>0.14000000000000001</v>
      </c>
      <c r="D10" s="75">
        <v>0.1</v>
      </c>
      <c r="E10" s="75">
        <v>0.1</v>
      </c>
      <c r="F10" s="75">
        <v>0.05</v>
      </c>
      <c r="G10" s="75">
        <v>0.05</v>
      </c>
      <c r="H10" s="75">
        <v>0.05</v>
      </c>
      <c r="I10" s="75">
        <v>0.05</v>
      </c>
      <c r="J10" s="75">
        <v>0.05</v>
      </c>
      <c r="K10" s="75">
        <v>0.05</v>
      </c>
      <c r="L10" s="75">
        <v>0.03</v>
      </c>
      <c r="M10" s="75">
        <v>0.03</v>
      </c>
      <c r="N10" s="75">
        <v>0.03</v>
      </c>
      <c r="O10" s="248">
        <f>SUM(C10:N10)</f>
        <v>0.7300000000000002</v>
      </c>
      <c r="P10" s="75"/>
      <c r="Q10" s="75"/>
      <c r="R10" s="75"/>
      <c r="S10" s="75"/>
      <c r="T10" s="75"/>
      <c r="U10" s="75"/>
      <c r="V10" s="75"/>
      <c r="W10" s="75"/>
      <c r="X10" s="75"/>
      <c r="Y10" s="75"/>
      <c r="Z10" s="75"/>
      <c r="AA10" s="75"/>
      <c r="AC10" s="71"/>
      <c r="AD10" s="71"/>
      <c r="AE10" s="71"/>
      <c r="AF10" s="71"/>
      <c r="AG10" s="71"/>
      <c r="AH10" s="71"/>
      <c r="AI10" s="71"/>
      <c r="AJ10" s="71"/>
      <c r="AK10" s="71"/>
      <c r="AL10" s="71"/>
      <c r="AM10" s="71"/>
      <c r="AN10" s="71"/>
    </row>
    <row r="11" spans="1:45" ht="15.65" customHeight="1" x14ac:dyDescent="0.35">
      <c r="A11" s="244" t="s">
        <v>315</v>
      </c>
      <c r="B11" s="244" t="s">
        <v>316</v>
      </c>
      <c r="C11" s="75">
        <v>0.2</v>
      </c>
      <c r="D11" s="75">
        <v>0.17</v>
      </c>
      <c r="E11" s="75">
        <v>0.16</v>
      </c>
      <c r="F11" s="75">
        <v>0.15</v>
      </c>
      <c r="G11" s="75">
        <v>0.09</v>
      </c>
      <c r="H11" s="75">
        <v>0.05</v>
      </c>
      <c r="I11" s="75">
        <v>0.05</v>
      </c>
      <c r="J11" s="75">
        <v>0.04</v>
      </c>
      <c r="K11" s="75">
        <v>0</v>
      </c>
      <c r="L11" s="75">
        <v>0</v>
      </c>
      <c r="M11" s="75">
        <v>0</v>
      </c>
      <c r="N11" s="75">
        <v>0</v>
      </c>
      <c r="O11" s="248">
        <f>SUM(C11:N11)</f>
        <v>0.91000000000000014</v>
      </c>
      <c r="P11" s="75"/>
      <c r="Q11" s="75"/>
      <c r="R11" s="75"/>
      <c r="S11" s="75"/>
      <c r="T11" s="75"/>
      <c r="U11" s="75"/>
      <c r="V11" s="75"/>
      <c r="W11" s="75"/>
      <c r="X11" s="75"/>
      <c r="Y11" s="75"/>
      <c r="Z11" s="75"/>
      <c r="AA11" s="75"/>
      <c r="AC11" s="71"/>
      <c r="AD11" s="71"/>
      <c r="AE11" s="71"/>
      <c r="AF11" s="71"/>
      <c r="AG11" s="71"/>
      <c r="AH11" s="71"/>
      <c r="AI11" s="71"/>
      <c r="AJ11" s="71"/>
      <c r="AK11" s="71"/>
      <c r="AL11" s="71"/>
      <c r="AM11" s="71"/>
      <c r="AN11" s="71"/>
    </row>
    <row r="12" spans="1:45" ht="47.15" customHeight="1" x14ac:dyDescent="0.35">
      <c r="A12" s="245" t="s">
        <v>317</v>
      </c>
      <c r="B12" s="245" t="s">
        <v>318</v>
      </c>
      <c r="C12" s="75">
        <v>0.2</v>
      </c>
      <c r="D12" s="75">
        <v>0.17</v>
      </c>
      <c r="E12" s="75">
        <v>0.16</v>
      </c>
      <c r="F12" s="75">
        <v>0.15</v>
      </c>
      <c r="G12" s="75">
        <v>0.09</v>
      </c>
      <c r="H12" s="75">
        <v>0.05</v>
      </c>
      <c r="I12" s="75">
        <v>0.05</v>
      </c>
      <c r="J12" s="75">
        <v>0.04</v>
      </c>
      <c r="K12" s="75">
        <v>0</v>
      </c>
      <c r="L12" s="75">
        <v>0</v>
      </c>
      <c r="M12" s="75">
        <v>0</v>
      </c>
      <c r="N12" s="75">
        <v>0</v>
      </c>
      <c r="O12" s="248">
        <f t="shared" si="1"/>
        <v>0.91000000000000014</v>
      </c>
      <c r="P12" s="75"/>
      <c r="Q12" s="75"/>
      <c r="R12" s="75"/>
      <c r="S12" s="75"/>
      <c r="T12" s="75"/>
      <c r="U12" s="75"/>
      <c r="V12" s="75"/>
      <c r="W12" s="75"/>
      <c r="X12" s="75"/>
      <c r="Y12" s="75"/>
      <c r="Z12" s="75"/>
      <c r="AA12" s="75"/>
      <c r="AC12" s="71"/>
      <c r="AD12" s="71"/>
      <c r="AE12" s="71"/>
      <c r="AF12" s="71"/>
      <c r="AG12" s="71"/>
      <c r="AH12" s="71"/>
      <c r="AI12" s="71"/>
      <c r="AJ12" s="71"/>
      <c r="AK12" s="71"/>
      <c r="AL12" s="71"/>
      <c r="AM12" s="71"/>
      <c r="AN12" s="71"/>
    </row>
    <row r="13" spans="1:45" ht="31.4" customHeight="1" x14ac:dyDescent="0.35">
      <c r="A13" s="245" t="s">
        <v>319</v>
      </c>
      <c r="B13" s="245" t="s">
        <v>320</v>
      </c>
      <c r="C13" s="75">
        <v>0.14000000000000001</v>
      </c>
      <c r="D13" s="75">
        <v>0.1</v>
      </c>
      <c r="E13" s="75">
        <v>0.1</v>
      </c>
      <c r="F13" s="75">
        <v>0.05</v>
      </c>
      <c r="G13" s="75">
        <v>0.05</v>
      </c>
      <c r="H13" s="75">
        <v>0.05</v>
      </c>
      <c r="I13" s="75">
        <v>0.05</v>
      </c>
      <c r="J13" s="75">
        <v>0.05</v>
      </c>
      <c r="K13" s="75">
        <v>0.05</v>
      </c>
      <c r="L13" s="75">
        <v>0</v>
      </c>
      <c r="M13" s="75">
        <v>0</v>
      </c>
      <c r="N13" s="75">
        <v>0</v>
      </c>
      <c r="O13" s="248">
        <f t="shared" si="1"/>
        <v>0.64000000000000012</v>
      </c>
      <c r="P13" s="75"/>
      <c r="Q13" s="75"/>
      <c r="R13" s="75"/>
      <c r="S13" s="75"/>
      <c r="T13" s="75"/>
      <c r="U13" s="75"/>
      <c r="V13" s="75"/>
      <c r="W13" s="75"/>
      <c r="X13" s="75"/>
      <c r="Y13" s="75"/>
      <c r="Z13" s="75"/>
      <c r="AA13" s="75"/>
      <c r="AC13" s="71"/>
      <c r="AD13" s="71"/>
      <c r="AE13" s="71"/>
      <c r="AF13" s="71"/>
      <c r="AG13" s="71"/>
      <c r="AH13" s="71"/>
      <c r="AI13" s="71"/>
      <c r="AJ13" s="71"/>
      <c r="AK13" s="71"/>
      <c r="AL13" s="71"/>
      <c r="AM13" s="71"/>
      <c r="AN13" s="71"/>
    </row>
    <row r="14" spans="1:45" ht="47.15" customHeight="1" x14ac:dyDescent="0.35">
      <c r="A14" s="245" t="s">
        <v>321</v>
      </c>
      <c r="B14" s="245" t="s">
        <v>322</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248">
        <f>SUM(C14:N14)</f>
        <v>0.25000000000000011</v>
      </c>
      <c r="P14" s="75"/>
      <c r="Q14" s="75"/>
      <c r="R14" s="75"/>
      <c r="S14" s="75"/>
      <c r="T14" s="75"/>
      <c r="U14" s="75"/>
      <c r="V14" s="75"/>
      <c r="W14" s="75"/>
      <c r="X14" s="75"/>
      <c r="Y14" s="75"/>
      <c r="Z14" s="75"/>
      <c r="AA14" s="75"/>
      <c r="AC14" s="71"/>
      <c r="AD14" s="71"/>
      <c r="AE14" s="71"/>
      <c r="AF14" s="71"/>
      <c r="AG14" s="71"/>
      <c r="AH14" s="71"/>
      <c r="AI14" s="71"/>
      <c r="AJ14" s="71"/>
      <c r="AK14" s="71"/>
      <c r="AL14" s="71"/>
      <c r="AM14" s="71"/>
      <c r="AN14" s="71"/>
    </row>
    <row r="15" spans="1:45" ht="15.75" customHeight="1" x14ac:dyDescent="0.35">
      <c r="B15" s="245"/>
    </row>
  </sheetData>
  <mergeCells count="1">
    <mergeCell ref="A1:O1"/>
  </mergeCells>
  <pageMargins left="0.7" right="0.7" top="0.75" bottom="0.75" header="0.3" footer="0.3"/>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zoomScale="90" zoomScaleNormal="90" workbookViewId="0">
      <selection activeCell="R23" sqref="R23"/>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433" t="s">
        <v>53</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0" ht="14.25" customHeight="1" x14ac:dyDescent="0.35">
      <c r="B2" s="1434" t="s">
        <v>323</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row>
    <row r="3" spans="2:30"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row>
    <row r="4" spans="2:30"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row>
    <row r="5" spans="2:30" x14ac:dyDescent="0.35">
      <c r="B5" s="1434"/>
      <c r="C5" s="1434"/>
      <c r="D5" s="1434"/>
      <c r="E5" s="1434"/>
      <c r="F5" s="1434"/>
      <c r="G5" s="1434"/>
      <c r="H5" s="1434"/>
      <c r="I5" s="1434"/>
      <c r="J5" s="1434"/>
      <c r="K5" s="1434"/>
      <c r="L5" s="1434"/>
      <c r="M5" s="1434"/>
      <c r="N5" s="1434"/>
      <c r="O5" s="1434"/>
      <c r="P5" s="1434"/>
      <c r="Q5" s="1434"/>
      <c r="R5" s="1434"/>
      <c r="S5" s="1434"/>
      <c r="T5" s="1434"/>
      <c r="U5" s="1434"/>
      <c r="V5" s="1434"/>
      <c r="W5" s="1434"/>
      <c r="X5" s="1434"/>
      <c r="Y5" s="1434"/>
      <c r="Z5" s="1434"/>
      <c r="AA5" s="1434"/>
      <c r="AB5" s="1434"/>
      <c r="AC5" s="1434"/>
    </row>
    <row r="6" spans="2:30" ht="38.9" customHeight="1" x14ac:dyDescent="0.35">
      <c r="B6" s="1434"/>
      <c r="C6" s="1434"/>
      <c r="D6" s="1434"/>
      <c r="E6" s="1434"/>
      <c r="F6" s="1434"/>
      <c r="G6" s="1434"/>
      <c r="H6" s="1434"/>
      <c r="I6" s="1434"/>
      <c r="J6" s="1434"/>
      <c r="K6" s="1434"/>
      <c r="L6" s="1434"/>
      <c r="M6" s="1434"/>
      <c r="N6" s="1434"/>
      <c r="O6" s="1434"/>
      <c r="P6" s="1434"/>
      <c r="Q6" s="1434"/>
      <c r="R6" s="1434"/>
      <c r="S6" s="1434"/>
      <c r="T6" s="1434"/>
      <c r="U6" s="1434"/>
      <c r="V6" s="1434"/>
      <c r="W6" s="1434"/>
      <c r="X6" s="1434"/>
      <c r="Y6" s="1434"/>
      <c r="Z6" s="1434"/>
      <c r="AA6" s="1434"/>
      <c r="AB6" s="1434"/>
      <c r="AC6" s="1434"/>
    </row>
    <row r="7" spans="2:30" x14ac:dyDescent="0.35">
      <c r="B7" s="283"/>
      <c r="C7" s="283"/>
      <c r="D7" s="283"/>
      <c r="E7" s="283"/>
      <c r="F7" s="283"/>
      <c r="G7" s="283"/>
      <c r="H7" s="284"/>
      <c r="I7" s="284"/>
      <c r="J7" s="284"/>
      <c r="K7" s="284"/>
      <c r="L7" s="284"/>
      <c r="M7" s="284"/>
      <c r="N7" s="284"/>
      <c r="O7" s="284"/>
      <c r="P7" s="284"/>
      <c r="Q7" s="284"/>
      <c r="R7" s="284"/>
      <c r="S7" s="284"/>
      <c r="T7" s="284"/>
      <c r="U7" s="284"/>
      <c r="V7" s="284"/>
      <c r="W7" s="284"/>
      <c r="X7" s="284"/>
      <c r="Y7" s="284"/>
    </row>
    <row r="8" spans="2:30" ht="14.9" customHeight="1" x14ac:dyDescent="0.35">
      <c r="B8" s="1437" t="s">
        <v>324</v>
      </c>
      <c r="C8" s="1438"/>
      <c r="D8" s="1447" t="s">
        <v>325</v>
      </c>
      <c r="E8" s="1448"/>
      <c r="F8" s="1448"/>
      <c r="G8" s="1448"/>
      <c r="H8" s="1448"/>
      <c r="I8" s="1448"/>
      <c r="J8" s="1448"/>
      <c r="K8" s="1448"/>
      <c r="L8" s="1448"/>
      <c r="M8" s="1448"/>
      <c r="N8" s="1448"/>
      <c r="O8" s="1448"/>
      <c r="P8" s="1448"/>
      <c r="Q8" s="1448"/>
      <c r="R8" s="1448"/>
      <c r="S8" s="1448"/>
      <c r="T8" s="1449"/>
      <c r="U8" s="1450" t="s">
        <v>326</v>
      </c>
      <c r="V8" s="1451"/>
      <c r="W8" s="1451"/>
      <c r="X8" s="1451"/>
      <c r="Y8" s="1451"/>
      <c r="Z8" s="1451"/>
      <c r="AA8" s="1451"/>
      <c r="AB8" s="1451"/>
      <c r="AC8" s="1452"/>
    </row>
    <row r="9" spans="2:30" ht="12.75" customHeight="1" x14ac:dyDescent="0.35">
      <c r="B9" s="1439"/>
      <c r="C9" s="1440"/>
      <c r="D9" s="133">
        <v>2018</v>
      </c>
      <c r="E9" s="1418">
        <v>2019</v>
      </c>
      <c r="F9" s="1435"/>
      <c r="G9" s="1435"/>
      <c r="H9" s="1436"/>
      <c r="I9" s="1435">
        <v>2020</v>
      </c>
      <c r="J9" s="1435"/>
      <c r="K9" s="1435"/>
      <c r="L9" s="1435"/>
      <c r="M9" s="1418">
        <v>2021</v>
      </c>
      <c r="N9" s="1435"/>
      <c r="O9" s="1435"/>
      <c r="P9" s="1435"/>
      <c r="Q9" s="1445">
        <v>2022</v>
      </c>
      <c r="R9" s="1446"/>
      <c r="S9" s="151"/>
      <c r="T9" s="260"/>
      <c r="U9" s="1441">
        <v>2023</v>
      </c>
      <c r="V9" s="1442"/>
      <c r="W9" s="1442"/>
      <c r="X9" s="1443"/>
      <c r="Y9" s="1444">
        <v>2024</v>
      </c>
      <c r="Z9" s="1442"/>
      <c r="AA9" s="1442"/>
      <c r="AB9" s="1442"/>
      <c r="AC9" s="274">
        <v>2025</v>
      </c>
    </row>
    <row r="10" spans="2:30" ht="14.9" customHeight="1" x14ac:dyDescent="0.35">
      <c r="B10" s="1439"/>
      <c r="C10" s="1440"/>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290" t="s">
        <v>328</v>
      </c>
      <c r="V10" s="290" t="s">
        <v>329</v>
      </c>
      <c r="W10" s="290" t="s">
        <v>238</v>
      </c>
      <c r="X10" s="291" t="s">
        <v>327</v>
      </c>
      <c r="Y10" s="289" t="s">
        <v>328</v>
      </c>
      <c r="Z10" s="285" t="s">
        <v>329</v>
      </c>
      <c r="AA10" s="290" t="s">
        <v>238</v>
      </c>
      <c r="AB10" s="290" t="s">
        <v>327</v>
      </c>
      <c r="AC10" s="293" t="s">
        <v>328</v>
      </c>
    </row>
    <row r="11" spans="2:30" x14ac:dyDescent="0.35">
      <c r="B11" s="278" t="s">
        <v>102</v>
      </c>
      <c r="C11" s="295" t="s">
        <v>330</v>
      </c>
      <c r="D11" s="263">
        <f>'Haver Pivoted'!GO14</f>
        <v>27.8</v>
      </c>
      <c r="E11" s="264">
        <f>'Haver Pivoted'!GP14</f>
        <v>29.4</v>
      </c>
      <c r="F11" s="264">
        <f>'Haver Pivoted'!GQ14</f>
        <v>26.9</v>
      </c>
      <c r="G11" s="264">
        <f>'Haver Pivoted'!GR14</f>
        <v>26.4</v>
      </c>
      <c r="H11" s="264">
        <f>'Haver Pivoted'!GS14</f>
        <v>27.7</v>
      </c>
      <c r="I11" s="264">
        <f>'Haver Pivoted'!GT14</f>
        <v>40.700000000000003</v>
      </c>
      <c r="J11" s="264">
        <f>'Haver Pivoted'!GU14</f>
        <v>1007.5</v>
      </c>
      <c r="K11" s="264">
        <f>'Haver Pivoted'!GV14</f>
        <v>792.9</v>
      </c>
      <c r="L11" s="264">
        <f>'Haver Pivoted'!GW14</f>
        <v>308.5</v>
      </c>
      <c r="M11" s="264">
        <f>'Haver Pivoted'!GX14</f>
        <v>556.20000000000005</v>
      </c>
      <c r="N11" s="264">
        <f>'Haver Pivoted'!GY14</f>
        <v>448.6</v>
      </c>
      <c r="O11" s="264">
        <f>'Haver Pivoted'!GZ14</f>
        <v>245.1</v>
      </c>
      <c r="P11" s="264">
        <f>'Haver Pivoted'!HA14</f>
        <v>33.799999999999997</v>
      </c>
      <c r="Q11" s="264">
        <f>'Haver Pivoted'!HB14</f>
        <v>23.6</v>
      </c>
      <c r="R11" s="264">
        <f>'Haver Pivoted'!HC14</f>
        <v>18.600000000000001</v>
      </c>
      <c r="S11" s="134">
        <f>'Haver Pivoted'!HD14</f>
        <v>18.5</v>
      </c>
      <c r="T11" s="163">
        <f>'Haver Pivoted'!HE14</f>
        <v>20.399999999999999</v>
      </c>
      <c r="U11" s="256">
        <f t="shared" ref="U11:AC11" si="0">U12+U13+U20</f>
        <v>23.227666666666668</v>
      </c>
      <c r="V11" s="296">
        <f t="shared" si="0"/>
        <v>26.060999999999996</v>
      </c>
      <c r="W11" s="296">
        <f t="shared" si="0"/>
        <v>27.760999999999996</v>
      </c>
      <c r="X11" s="296">
        <f t="shared" si="0"/>
        <v>28.979333333333329</v>
      </c>
      <c r="Y11" s="296">
        <f t="shared" si="0"/>
        <v>28.894333333333332</v>
      </c>
      <c r="Z11" s="296">
        <f t="shared" si="0"/>
        <v>28.010333333333332</v>
      </c>
      <c r="AA11" s="296">
        <f t="shared" si="0"/>
        <v>27.534333333333333</v>
      </c>
      <c r="AB11" s="296">
        <f t="shared" si="0"/>
        <v>27.194333333333333</v>
      </c>
      <c r="AC11" s="272">
        <f t="shared" si="0"/>
        <v>27.063999999999997</v>
      </c>
      <c r="AD11" s="171" t="s">
        <v>331</v>
      </c>
    </row>
    <row r="12" spans="2:30" x14ac:dyDescent="0.35">
      <c r="B12" s="275" t="s">
        <v>332</v>
      </c>
      <c r="C12" s="276" t="s">
        <v>333</v>
      </c>
      <c r="D12" s="298">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50">
        <f>'Haver Pivoted'!HD63</f>
        <v>0</v>
      </c>
      <c r="T12" s="226">
        <f>'Haver Pivoted'!HE63</f>
        <v>0</v>
      </c>
      <c r="U12" s="267">
        <f t="shared" ref="U12:AB12" si="1">T12*U22/T22</f>
        <v>0</v>
      </c>
      <c r="V12" s="267">
        <f t="shared" si="1"/>
        <v>0</v>
      </c>
      <c r="W12" s="267">
        <f t="shared" si="1"/>
        <v>0</v>
      </c>
      <c r="X12" s="267">
        <f t="shared" si="1"/>
        <v>0</v>
      </c>
      <c r="Y12" s="267">
        <f t="shared" si="1"/>
        <v>0</v>
      </c>
      <c r="Z12" s="267">
        <f t="shared" si="1"/>
        <v>0</v>
      </c>
      <c r="AA12" s="267">
        <f t="shared" si="1"/>
        <v>0</v>
      </c>
      <c r="AB12" s="267">
        <f t="shared" si="1"/>
        <v>0</v>
      </c>
      <c r="AC12" s="269">
        <f>AB12*AC22/AB22</f>
        <v>0</v>
      </c>
    </row>
    <row r="13" spans="2:30" x14ac:dyDescent="0.35">
      <c r="B13" s="275" t="s">
        <v>334</v>
      </c>
      <c r="C13" s="276"/>
      <c r="D13" s="298"/>
      <c r="E13" s="159"/>
      <c r="F13" s="159"/>
      <c r="G13" s="159"/>
      <c r="H13" s="166">
        <f>SUM(H14:H17)</f>
        <v>0</v>
      </c>
      <c r="I13" s="166">
        <f t="shared" ref="I13:M13" si="2">SUM(I14:I17)</f>
        <v>0</v>
      </c>
      <c r="J13" s="166">
        <f t="shared" si="2"/>
        <v>779.7</v>
      </c>
      <c r="K13" s="166">
        <f t="shared" si="2"/>
        <v>582.6</v>
      </c>
      <c r="L13" s="166">
        <f t="shared" si="2"/>
        <v>216.5</v>
      </c>
      <c r="M13" s="166">
        <f t="shared" si="2"/>
        <v>497.6</v>
      </c>
      <c r="N13" s="174">
        <f>SUM(N14:N17)</f>
        <v>401.5</v>
      </c>
      <c r="O13" s="174">
        <f t="shared" ref="O13:AC13" si="3">SUM(O14:O17)</f>
        <v>207.4</v>
      </c>
      <c r="P13" s="174">
        <f t="shared" si="3"/>
        <v>5.5</v>
      </c>
      <c r="Q13" s="174">
        <v>0</v>
      </c>
      <c r="R13" s="174">
        <f t="shared" si="3"/>
        <v>1</v>
      </c>
      <c r="S13" s="261">
        <f t="shared" si="3"/>
        <v>0.5</v>
      </c>
      <c r="T13" s="308">
        <f t="shared" si="3"/>
        <v>0.4</v>
      </c>
      <c r="U13" s="267">
        <f t="shared" si="3"/>
        <v>0.45544444444444449</v>
      </c>
      <c r="V13" s="267">
        <f t="shared" si="3"/>
        <v>0.51100000000000012</v>
      </c>
      <c r="W13" s="267">
        <f t="shared" si="3"/>
        <v>0.54433333333333345</v>
      </c>
      <c r="X13" s="267">
        <f t="shared" si="3"/>
        <v>0.56822222222222241</v>
      </c>
      <c r="Y13" s="267">
        <f t="shared" si="3"/>
        <v>0.5665555555555557</v>
      </c>
      <c r="Z13" s="267">
        <f t="shared" si="3"/>
        <v>0.54922222222222228</v>
      </c>
      <c r="AA13" s="267">
        <f t="shared" si="3"/>
        <v>0.53988888888888897</v>
      </c>
      <c r="AB13" s="267">
        <f t="shared" si="3"/>
        <v>0.53322222222222238</v>
      </c>
      <c r="AC13" s="269">
        <f t="shared" si="3"/>
        <v>0.53066666666666673</v>
      </c>
    </row>
    <row r="14" spans="2:30" ht="18" customHeight="1" x14ac:dyDescent="0.35">
      <c r="B14" s="277" t="s">
        <v>335</v>
      </c>
      <c r="C14" s="160" t="s">
        <v>333</v>
      </c>
      <c r="D14" s="297">
        <f>'Haver Pivoted'!GO63</f>
        <v>0</v>
      </c>
      <c r="E14" s="168">
        <f>'Haver Pivoted'!GP63</f>
        <v>0</v>
      </c>
      <c r="F14" s="168">
        <f>'Haver Pivoted'!GQ63</f>
        <v>0</v>
      </c>
      <c r="G14" s="168">
        <f>'Haver Pivoted'!GR63</f>
        <v>0</v>
      </c>
      <c r="H14" s="168">
        <f>'Haver Pivoted'!GS63</f>
        <v>0</v>
      </c>
      <c r="I14" s="168">
        <f>'Haver Pivoted'!GT63</f>
        <v>0</v>
      </c>
      <c r="J14" s="168">
        <f>'Haver Pivoted'!GU63</f>
        <v>0.1</v>
      </c>
      <c r="K14" s="168">
        <f>'Haver Pivoted'!GV63</f>
        <v>3.7</v>
      </c>
      <c r="L14" s="168">
        <f>'Haver Pivoted'!GW63</f>
        <v>12.9</v>
      </c>
      <c r="M14" s="168">
        <f>'Haver Pivoted'!GX63</f>
        <v>25.5</v>
      </c>
      <c r="N14" s="168">
        <f>'Haver Pivoted'!GY63</f>
        <v>3.8</v>
      </c>
      <c r="O14" s="168">
        <f>'Haver Pivoted'!GZ63</f>
        <v>1.8</v>
      </c>
      <c r="P14" s="168">
        <f>'Haver Pivoted'!HA63</f>
        <v>0.6</v>
      </c>
      <c r="Q14" s="168">
        <f>'Haver Pivoted'!HB63</f>
        <v>0.2</v>
      </c>
      <c r="R14" s="168">
        <f>'Haver Pivoted'!HC63</f>
        <v>0.1</v>
      </c>
      <c r="S14" s="257">
        <f>'Haver Pivoted'!HD63</f>
        <v>0</v>
      </c>
      <c r="T14" s="266">
        <f>'Haver Pivoted'!HE63</f>
        <v>0</v>
      </c>
      <c r="U14" s="267">
        <f t="shared" ref="U14:X14" si="4">U12</f>
        <v>0</v>
      </c>
      <c r="V14" s="267">
        <f t="shared" si="4"/>
        <v>0</v>
      </c>
      <c r="W14" s="267">
        <f t="shared" si="4"/>
        <v>0</v>
      </c>
      <c r="X14" s="267">
        <f t="shared" si="4"/>
        <v>0</v>
      </c>
      <c r="Y14" s="267">
        <f>Y12</f>
        <v>0</v>
      </c>
      <c r="Z14" s="267">
        <f t="shared" ref="Z14:AC14" si="5">Z12</f>
        <v>0</v>
      </c>
      <c r="AA14" s="267">
        <f t="shared" si="5"/>
        <v>0</v>
      </c>
      <c r="AB14" s="267">
        <f t="shared" si="5"/>
        <v>0</v>
      </c>
      <c r="AC14" s="269">
        <f t="shared" si="5"/>
        <v>0</v>
      </c>
    </row>
    <row r="15" spans="2:30" ht="18" customHeight="1" x14ac:dyDescent="0.35">
      <c r="B15" s="277" t="s">
        <v>336</v>
      </c>
      <c r="C15" s="160" t="s">
        <v>337</v>
      </c>
      <c r="D15" s="297">
        <f>'Haver Pivoted'!GO59</f>
        <v>0</v>
      </c>
      <c r="E15" s="168">
        <f>'Haver Pivoted'!GP59</f>
        <v>0</v>
      </c>
      <c r="F15" s="168">
        <f>'Haver Pivoted'!GQ59</f>
        <v>0</v>
      </c>
      <c r="G15" s="168">
        <f>'Haver Pivoted'!GR59</f>
        <v>0</v>
      </c>
      <c r="H15" s="168">
        <f>'Haver Pivoted'!GS59</f>
        <v>0</v>
      </c>
      <c r="I15" s="168">
        <f>'Haver Pivoted'!GT59</f>
        <v>0</v>
      </c>
      <c r="J15" s="168">
        <f>'Haver Pivoted'!GU59</f>
        <v>6.3</v>
      </c>
      <c r="K15" s="168">
        <f>'Haver Pivoted'!GV59</f>
        <v>26.7</v>
      </c>
      <c r="L15" s="168">
        <f>'Haver Pivoted'!GW59</f>
        <v>82.1</v>
      </c>
      <c r="M15" s="168">
        <f>'Haver Pivoted'!GX59</f>
        <v>94.7</v>
      </c>
      <c r="N15" s="168">
        <f>'Haver Pivoted'!GY59</f>
        <v>92.1</v>
      </c>
      <c r="O15" s="168">
        <f>'Haver Pivoted'!GZ59</f>
        <v>51.6</v>
      </c>
      <c r="P15" s="168">
        <f>'Haver Pivoted'!HA59</f>
        <v>2.8</v>
      </c>
      <c r="Q15" s="168">
        <f>'Haver Pivoted'!HB59</f>
        <v>0.8</v>
      </c>
      <c r="R15" s="168">
        <f>'Haver Pivoted'!HC59</f>
        <v>0.5</v>
      </c>
      <c r="S15" s="257">
        <f>'Haver Pivoted'!HD59</f>
        <v>0.3</v>
      </c>
      <c r="T15" s="266">
        <f>'Haver Pivoted'!HE59</f>
        <v>0.2</v>
      </c>
      <c r="U15" s="267">
        <f t="shared" ref="U15:AB15" si="6">T15*U$22/T$22</f>
        <v>0.22772222222222224</v>
      </c>
      <c r="V15" s="267">
        <f t="shared" si="6"/>
        <v>0.25550000000000006</v>
      </c>
      <c r="W15" s="267">
        <f t="shared" si="6"/>
        <v>0.27216666666666672</v>
      </c>
      <c r="X15" s="267">
        <f t="shared" si="6"/>
        <v>0.2841111111111112</v>
      </c>
      <c r="Y15" s="267">
        <f t="shared" si="6"/>
        <v>0.28327777777777785</v>
      </c>
      <c r="Z15" s="267">
        <f t="shared" si="6"/>
        <v>0.27461111111111114</v>
      </c>
      <c r="AA15" s="267">
        <f t="shared" si="6"/>
        <v>0.26994444444444449</v>
      </c>
      <c r="AB15" s="267">
        <f t="shared" si="6"/>
        <v>0.26661111111111119</v>
      </c>
      <c r="AC15" s="269">
        <f>AB15*AC$22/AB$22</f>
        <v>0.26533333333333337</v>
      </c>
    </row>
    <row r="16" spans="2:30" ht="18" customHeight="1" x14ac:dyDescent="0.35">
      <c r="B16" s="277" t="s">
        <v>338</v>
      </c>
      <c r="C16" s="160" t="s">
        <v>339</v>
      </c>
      <c r="D16" s="297">
        <f>'Haver Pivoted'!GO60</f>
        <v>0</v>
      </c>
      <c r="E16" s="168">
        <f>'Haver Pivoted'!GP60</f>
        <v>0</v>
      </c>
      <c r="F16" s="168">
        <f>'Haver Pivoted'!GQ60</f>
        <v>0</v>
      </c>
      <c r="G16" s="168">
        <f>'Haver Pivoted'!GR60</f>
        <v>0</v>
      </c>
      <c r="H16" s="168">
        <f>'Haver Pivoted'!GS60</f>
        <v>0</v>
      </c>
      <c r="I16" s="168">
        <f>'Haver Pivoted'!GT60</f>
        <v>0</v>
      </c>
      <c r="J16" s="168">
        <f>'Haver Pivoted'!GU60</f>
        <v>74.400000000000006</v>
      </c>
      <c r="K16" s="168">
        <f>'Haver Pivoted'!GV60</f>
        <v>138.30000000000001</v>
      </c>
      <c r="L16" s="168">
        <f>'Haver Pivoted'!GW60</f>
        <v>106.8</v>
      </c>
      <c r="M16" s="168">
        <f>'Haver Pivoted'!GX60</f>
        <v>89.2</v>
      </c>
      <c r="N16" s="168">
        <f>'Haver Pivoted'!GY60</f>
        <v>72.3</v>
      </c>
      <c r="O16" s="168">
        <f>'Haver Pivoted'!GZ60</f>
        <v>43.5</v>
      </c>
      <c r="P16" s="168">
        <f>'Haver Pivoted'!HA60</f>
        <v>2.1</v>
      </c>
      <c r="Q16" s="168">
        <f>'Haver Pivoted'!HB60</f>
        <v>0.8</v>
      </c>
      <c r="R16" s="168">
        <f>'Haver Pivoted'!HC60</f>
        <v>0.4</v>
      </c>
      <c r="S16" s="257">
        <f>'Haver Pivoted'!HD60</f>
        <v>0.2</v>
      </c>
      <c r="T16" s="266">
        <f>'Haver Pivoted'!HE60</f>
        <v>0.1</v>
      </c>
      <c r="U16" s="267">
        <f t="shared" ref="U16:AB16" si="7">T16*U$22/T$22</f>
        <v>0.11386111111111112</v>
      </c>
      <c r="V16" s="267">
        <f t="shared" si="7"/>
        <v>0.12775000000000003</v>
      </c>
      <c r="W16" s="267">
        <f t="shared" si="7"/>
        <v>0.13608333333333336</v>
      </c>
      <c r="X16" s="267">
        <f t="shared" si="7"/>
        <v>0.1420555555555556</v>
      </c>
      <c r="Y16" s="267">
        <f t="shared" si="7"/>
        <v>0.14163888888888893</v>
      </c>
      <c r="Z16" s="267">
        <f t="shared" si="7"/>
        <v>0.13730555555555557</v>
      </c>
      <c r="AA16" s="267">
        <f t="shared" si="7"/>
        <v>0.13497222222222224</v>
      </c>
      <c r="AB16" s="267">
        <f t="shared" si="7"/>
        <v>0.13330555555555559</v>
      </c>
      <c r="AC16" s="269">
        <f>AB16*AC$22/AB$22</f>
        <v>0.13266666666666668</v>
      </c>
    </row>
    <row r="17" spans="2:30" ht="18" customHeight="1" x14ac:dyDescent="0.35">
      <c r="B17" s="277" t="s">
        <v>340</v>
      </c>
      <c r="C17" s="160" t="s">
        <v>341</v>
      </c>
      <c r="D17" s="297">
        <f>'Haver Pivoted'!GO61</f>
        <v>0</v>
      </c>
      <c r="E17" s="168">
        <f>'Haver Pivoted'!GP61</f>
        <v>0</v>
      </c>
      <c r="F17" s="168">
        <f>'Haver Pivoted'!GQ61</f>
        <v>0</v>
      </c>
      <c r="G17" s="168">
        <f>'Haver Pivoted'!GR61</f>
        <v>0</v>
      </c>
      <c r="H17" s="168">
        <f>'Haver Pivoted'!GS61</f>
        <v>0</v>
      </c>
      <c r="I17" s="168">
        <f>'Haver Pivoted'!GT61</f>
        <v>0</v>
      </c>
      <c r="J17" s="168">
        <f>'Haver Pivoted'!GU61</f>
        <v>698.9</v>
      </c>
      <c r="K17" s="168">
        <f>'Haver Pivoted'!GV61</f>
        <v>413.9</v>
      </c>
      <c r="L17" s="168">
        <f>'Haver Pivoted'!GW61</f>
        <v>14.7</v>
      </c>
      <c r="M17" s="168">
        <f>'Haver Pivoted'!GX61</f>
        <v>288.2</v>
      </c>
      <c r="N17" s="168">
        <f>'Haver Pivoted'!GY61</f>
        <v>233.3</v>
      </c>
      <c r="O17" s="168">
        <f>'Haver Pivoted'!GZ61</f>
        <v>110.5</v>
      </c>
      <c r="P17" s="168">
        <f>'Haver Pivoted'!HA61</f>
        <v>0</v>
      </c>
      <c r="Q17" s="168">
        <f>'Haver Pivoted'!HB61</f>
        <v>0</v>
      </c>
      <c r="R17" s="168">
        <f>'Haver Pivoted'!HC61</f>
        <v>0</v>
      </c>
      <c r="S17" s="257">
        <f>'Haver Pivoted'!HD61</f>
        <v>0</v>
      </c>
      <c r="T17" s="266">
        <f>'Haver Pivoted'!HE61</f>
        <v>0.1</v>
      </c>
      <c r="U17" s="267">
        <f t="shared" ref="U17:AB17" si="8">T17*U$22/T$22</f>
        <v>0.11386111111111112</v>
      </c>
      <c r="V17" s="267">
        <f t="shared" si="8"/>
        <v>0.12775000000000003</v>
      </c>
      <c r="W17" s="267">
        <f t="shared" si="8"/>
        <v>0.13608333333333336</v>
      </c>
      <c r="X17" s="267">
        <f t="shared" si="8"/>
        <v>0.1420555555555556</v>
      </c>
      <c r="Y17" s="267">
        <f t="shared" si="8"/>
        <v>0.14163888888888893</v>
      </c>
      <c r="Z17" s="267">
        <f t="shared" si="8"/>
        <v>0.13730555555555557</v>
      </c>
      <c r="AA17" s="267">
        <f t="shared" si="8"/>
        <v>0.13497222222222224</v>
      </c>
      <c r="AB17" s="267">
        <f t="shared" si="8"/>
        <v>0.13330555555555559</v>
      </c>
      <c r="AC17" s="269">
        <f>AB17*AC$22/AB$22</f>
        <v>0.13266666666666668</v>
      </c>
    </row>
    <row r="18" spans="2:30" x14ac:dyDescent="0.35">
      <c r="B18" s="286" t="s">
        <v>158</v>
      </c>
      <c r="C18" s="171" t="s">
        <v>342</v>
      </c>
      <c r="D18" s="298">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8">
        <f>'Haver Pivoted'!HB64</f>
        <v>0</v>
      </c>
      <c r="R18" s="168">
        <f>'Haver Pivoted'!HC64</f>
        <v>0</v>
      </c>
      <c r="S18" s="257">
        <f>'Haver Pivoted'!HD64</f>
        <v>0</v>
      </c>
      <c r="T18" s="266">
        <f>'Haver Pivoted'!HE64</f>
        <v>0</v>
      </c>
      <c r="U18" s="267"/>
      <c r="V18" s="267"/>
      <c r="W18" s="267"/>
      <c r="X18" s="267"/>
      <c r="Y18" s="267"/>
      <c r="Z18" s="267"/>
      <c r="AA18" s="267"/>
      <c r="AB18" s="267"/>
      <c r="AC18" s="269"/>
    </row>
    <row r="19" spans="2:30" ht="14.9" customHeight="1" x14ac:dyDescent="0.35">
      <c r="B19" s="287" t="s">
        <v>343</v>
      </c>
      <c r="C19" s="294"/>
      <c r="D19" s="270">
        <f t="shared" ref="D19:N19" si="9">D11-D20</f>
        <v>0</v>
      </c>
      <c r="E19" s="262">
        <f t="shared" si="9"/>
        <v>0</v>
      </c>
      <c r="F19" s="262">
        <f t="shared" si="9"/>
        <v>0</v>
      </c>
      <c r="G19" s="262">
        <f t="shared" si="9"/>
        <v>0</v>
      </c>
      <c r="H19" s="262">
        <f t="shared" si="9"/>
        <v>0</v>
      </c>
      <c r="I19" s="262">
        <f t="shared" si="9"/>
        <v>0</v>
      </c>
      <c r="J19" s="262">
        <f t="shared" si="9"/>
        <v>779.80000000000007</v>
      </c>
      <c r="K19" s="262">
        <f t="shared" si="9"/>
        <v>586.29999999999995</v>
      </c>
      <c r="L19" s="262">
        <f t="shared" si="9"/>
        <v>229.4</v>
      </c>
      <c r="M19" s="262">
        <f t="shared" si="9"/>
        <v>523.1</v>
      </c>
      <c r="N19" s="258">
        <f t="shared" si="9"/>
        <v>405.3</v>
      </c>
      <c r="O19" s="258">
        <f>O11-O20</f>
        <v>209.20000000000002</v>
      </c>
      <c r="P19" s="258">
        <f t="shared" ref="P19" si="10">P11-P20</f>
        <v>6.1000000000000014</v>
      </c>
      <c r="Q19" s="258">
        <f>Q11-Q20</f>
        <v>0.19999999999999929</v>
      </c>
      <c r="R19" s="258">
        <f>R11-R20</f>
        <v>1.1000000000000014</v>
      </c>
      <c r="S19" s="254">
        <f>S11-S20</f>
        <v>0.5</v>
      </c>
      <c r="T19" s="265">
        <f>T11-T20</f>
        <v>0.39999999999999858</v>
      </c>
      <c r="U19" s="255">
        <f t="shared" ref="U19:AC19" si="11">U11-U20</f>
        <v>0.45544444444444565</v>
      </c>
      <c r="V19" s="255">
        <f t="shared" si="11"/>
        <v>0.51099999999999923</v>
      </c>
      <c r="W19" s="255">
        <f t="shared" si="11"/>
        <v>0.54433333333333422</v>
      </c>
      <c r="X19" s="255">
        <f t="shared" si="11"/>
        <v>0.56822222222222152</v>
      </c>
      <c r="Y19" s="255">
        <f t="shared" si="11"/>
        <v>0.56655555555555637</v>
      </c>
      <c r="Z19" s="255">
        <f t="shared" si="11"/>
        <v>0.54922222222222317</v>
      </c>
      <c r="AA19" s="255">
        <f t="shared" si="11"/>
        <v>0.53988888888888908</v>
      </c>
      <c r="AB19" s="255">
        <f t="shared" si="11"/>
        <v>0.53322222222222138</v>
      </c>
      <c r="AC19" s="255">
        <f t="shared" si="11"/>
        <v>0.53066666666666507</v>
      </c>
    </row>
    <row r="20" spans="2:30" ht="14.9" customHeight="1" x14ac:dyDescent="0.35">
      <c r="B20" s="287" t="s">
        <v>344</v>
      </c>
      <c r="C20" s="294"/>
      <c r="D20" s="270">
        <f t="shared" ref="D20:H20" si="12">D11</f>
        <v>27.8</v>
      </c>
      <c r="E20" s="262">
        <f t="shared" si="12"/>
        <v>29.4</v>
      </c>
      <c r="F20" s="262">
        <f t="shared" si="12"/>
        <v>26.9</v>
      </c>
      <c r="G20" s="262">
        <f t="shared" si="12"/>
        <v>26.4</v>
      </c>
      <c r="H20" s="262">
        <f t="shared" si="12"/>
        <v>27.7</v>
      </c>
      <c r="I20" s="262">
        <f>I11</f>
        <v>40.700000000000003</v>
      </c>
      <c r="J20" s="262">
        <f>J11-J13-J12</f>
        <v>227.69999999999996</v>
      </c>
      <c r="K20" s="262">
        <f>K11-K13-K12</f>
        <v>206.59999999999997</v>
      </c>
      <c r="L20" s="262">
        <f>L11-L13-L12</f>
        <v>79.099999999999994</v>
      </c>
      <c r="M20" s="262">
        <f>M11-M13-M12</f>
        <v>33.100000000000023</v>
      </c>
      <c r="N20" s="258">
        <f t="shared" ref="N20:T20" si="13">N11-N12-N13</f>
        <v>43.300000000000011</v>
      </c>
      <c r="O20" s="258">
        <f t="shared" si="13"/>
        <v>35.899999999999977</v>
      </c>
      <c r="P20" s="258">
        <f t="shared" si="13"/>
        <v>27.699999999999996</v>
      </c>
      <c r="Q20" s="168">
        <f t="shared" si="13"/>
        <v>23.400000000000002</v>
      </c>
      <c r="R20" s="168">
        <f t="shared" si="13"/>
        <v>17.5</v>
      </c>
      <c r="S20" s="257">
        <f t="shared" si="13"/>
        <v>18</v>
      </c>
      <c r="T20" s="266">
        <f t="shared" si="13"/>
        <v>20</v>
      </c>
      <c r="U20" s="255">
        <f t="shared" ref="U20:AB20" si="14">T20*U22/T22</f>
        <v>22.772222222222222</v>
      </c>
      <c r="V20" s="255">
        <f t="shared" si="14"/>
        <v>25.549999999999997</v>
      </c>
      <c r="W20" s="255">
        <f t="shared" si="14"/>
        <v>27.216666666666661</v>
      </c>
      <c r="X20" s="255">
        <f t="shared" si="14"/>
        <v>28.411111111111108</v>
      </c>
      <c r="Y20" s="255">
        <f t="shared" si="14"/>
        <v>28.327777777777776</v>
      </c>
      <c r="Z20" s="255">
        <f t="shared" si="14"/>
        <v>27.461111111111109</v>
      </c>
      <c r="AA20" s="255">
        <f t="shared" si="14"/>
        <v>26.994444444444444</v>
      </c>
      <c r="AB20" s="255">
        <f t="shared" si="14"/>
        <v>26.661111111111111</v>
      </c>
      <c r="AC20" s="271">
        <f>AB20*AC22/AB22</f>
        <v>26.533333333333331</v>
      </c>
      <c r="AD20" s="273" t="s">
        <v>345</v>
      </c>
    </row>
    <row r="21" spans="2:30" x14ac:dyDescent="0.35">
      <c r="B21" s="286"/>
      <c r="C21" s="279"/>
      <c r="D21" s="297"/>
      <c r="E21" s="168"/>
      <c r="F21" s="168"/>
      <c r="G21" s="168"/>
      <c r="H21" s="166"/>
      <c r="I21" s="166"/>
      <c r="J21" s="166"/>
      <c r="K21" s="166"/>
      <c r="L21" s="166"/>
      <c r="M21" s="166"/>
      <c r="N21" s="166"/>
      <c r="O21" s="166"/>
      <c r="P21" s="166"/>
      <c r="Q21" s="166"/>
      <c r="R21" s="166"/>
      <c r="S21" s="166"/>
      <c r="T21" s="259"/>
      <c r="U21" s="268"/>
      <c r="V21" s="268"/>
      <c r="W21" s="268"/>
      <c r="X21" s="268"/>
      <c r="Y21" s="268"/>
      <c r="Z21" s="268"/>
      <c r="AA21" s="268"/>
      <c r="AB21" s="268"/>
      <c r="AC21" s="281"/>
    </row>
    <row r="22" spans="2:30" x14ac:dyDescent="0.35">
      <c r="B22" s="1176" t="s">
        <v>2204</v>
      </c>
      <c r="C22" s="1177"/>
      <c r="D22" s="1178"/>
      <c r="E22" s="1179"/>
      <c r="F22" s="1179"/>
      <c r="G22" s="1179"/>
      <c r="H22" s="1180"/>
      <c r="I22" s="1180"/>
      <c r="J22" s="1180"/>
      <c r="K22" s="1180"/>
      <c r="L22" s="1180"/>
      <c r="M22" s="1180">
        <f>D33</f>
        <v>6.166666666666667</v>
      </c>
      <c r="N22" s="1180">
        <f>D36</f>
        <v>5.7666666666666657</v>
      </c>
      <c r="O22" s="1180">
        <f>D39</f>
        <v>5.1333333333333337</v>
      </c>
      <c r="P22" s="1180">
        <f>D42</f>
        <v>4.2333333333333334</v>
      </c>
      <c r="Q22" s="1180">
        <f>D45</f>
        <v>3.8000000000000003</v>
      </c>
      <c r="R22" s="1181">
        <f>D48</f>
        <v>3.6</v>
      </c>
      <c r="S22" s="1184">
        <f>D51</f>
        <v>3.5666666666666664</v>
      </c>
      <c r="T22" s="1185">
        <f>D54</f>
        <v>3.6</v>
      </c>
      <c r="U22" s="1182">
        <v>4.0990000000000002</v>
      </c>
      <c r="V22" s="1182">
        <v>4.5990000000000002</v>
      </c>
      <c r="W22" s="1182">
        <v>4.899</v>
      </c>
      <c r="X22" s="1182">
        <v>5.1139999999999999</v>
      </c>
      <c r="Y22" s="1182">
        <v>5.0990000000000002</v>
      </c>
      <c r="Z22" s="1182">
        <v>4.9429999999999996</v>
      </c>
      <c r="AA22" s="1182">
        <v>4.859</v>
      </c>
      <c r="AB22" s="1182">
        <v>4.7990000000000004</v>
      </c>
      <c r="AC22" s="1183">
        <v>4.7759999999999998</v>
      </c>
      <c r="AD22" s="288" t="s">
        <v>346</v>
      </c>
    </row>
    <row r="23" spans="2:30" s="1066" customFormat="1" x14ac:dyDescent="0.35">
      <c r="B23" s="167" t="s">
        <v>2203</v>
      </c>
      <c r="C23" s="280"/>
      <c r="D23" s="299"/>
      <c r="E23" s="1125"/>
      <c r="F23" s="1125"/>
      <c r="G23" s="1125"/>
      <c r="H23" s="300"/>
      <c r="I23" s="300"/>
      <c r="J23" s="300"/>
      <c r="K23" s="300"/>
      <c r="L23" s="300"/>
      <c r="M23" s="300">
        <f>D33</f>
        <v>6.166666666666667</v>
      </c>
      <c r="N23" s="300">
        <f>D36</f>
        <v>5.7666666666666657</v>
      </c>
      <c r="O23" s="300">
        <f>D39</f>
        <v>5.1333333333333337</v>
      </c>
      <c r="P23" s="300">
        <f>D42</f>
        <v>4.2333333333333334</v>
      </c>
      <c r="Q23" s="300">
        <f>D45</f>
        <v>3.8000000000000003</v>
      </c>
      <c r="R23" s="307">
        <f>D48</f>
        <v>3.6</v>
      </c>
      <c r="S23" s="1186">
        <f>D51</f>
        <v>3.5666666666666664</v>
      </c>
      <c r="T23" s="1187">
        <f>D54</f>
        <v>3.6</v>
      </c>
      <c r="U23" s="282">
        <v>3.58</v>
      </c>
      <c r="V23" s="282">
        <v>3.52</v>
      </c>
      <c r="W23" s="282">
        <v>3.5310000000000001</v>
      </c>
      <c r="X23" s="282">
        <v>3.5510000000000002</v>
      </c>
      <c r="Y23" s="282">
        <v>3.6219999999999999</v>
      </c>
      <c r="Z23" s="282">
        <v>3.972</v>
      </c>
      <c r="AA23" s="282">
        <v>4.0209999999999999</v>
      </c>
      <c r="AB23" s="282">
        <v>4.0819999999999999</v>
      </c>
      <c r="AC23" s="292">
        <v>4.141</v>
      </c>
      <c r="AD23" s="288" t="s">
        <v>346</v>
      </c>
    </row>
    <row r="24" spans="2:30" ht="15.75" customHeight="1" x14ac:dyDescent="0.35">
      <c r="C24" s="171"/>
      <c r="D24" s="159"/>
      <c r="E24" s="159"/>
      <c r="F24" s="159"/>
      <c r="G24" s="159"/>
      <c r="H24" s="166"/>
      <c r="I24" s="166"/>
      <c r="J24" s="166"/>
      <c r="K24" s="166"/>
      <c r="L24" s="166"/>
      <c r="M24" s="166"/>
      <c r="N24" s="166"/>
      <c r="O24" s="166"/>
      <c r="P24" s="166"/>
      <c r="AD24" s="288"/>
    </row>
    <row r="25" spans="2:30" x14ac:dyDescent="0.35">
      <c r="C25" s="171"/>
      <c r="D25" s="159"/>
      <c r="E25" s="159"/>
      <c r="F25" s="159"/>
      <c r="G25" s="159"/>
      <c r="H25" s="166"/>
      <c r="I25" s="166"/>
      <c r="J25" s="166"/>
      <c r="K25" s="166"/>
      <c r="L25" s="166"/>
      <c r="M25" s="166"/>
      <c r="N25" s="166"/>
      <c r="O25" s="166"/>
      <c r="P25" s="166"/>
      <c r="AD25" s="288"/>
    </row>
    <row r="26" spans="2:30" x14ac:dyDescent="0.35">
      <c r="C26" s="171"/>
      <c r="D26" s="159"/>
      <c r="E26" s="159"/>
      <c r="F26" s="159"/>
      <c r="G26" s="159"/>
      <c r="H26" s="166"/>
      <c r="I26" s="166"/>
      <c r="J26" s="166"/>
      <c r="K26" s="166"/>
      <c r="L26" s="166"/>
      <c r="M26" s="166"/>
      <c r="N26" s="166"/>
      <c r="O26" s="166"/>
      <c r="P26" s="166"/>
      <c r="AD26" s="288"/>
    </row>
    <row r="27" spans="2:30" x14ac:dyDescent="0.35">
      <c r="C27" s="171"/>
      <c r="D27" s="159"/>
      <c r="E27" s="159"/>
      <c r="F27" s="159"/>
      <c r="G27" s="159"/>
      <c r="H27" s="166"/>
      <c r="I27" s="166"/>
      <c r="J27" s="166"/>
      <c r="K27" s="166"/>
      <c r="L27" s="166"/>
      <c r="M27" s="166"/>
      <c r="N27" s="166"/>
      <c r="O27" s="166"/>
      <c r="P27" s="166"/>
      <c r="AD27" s="288"/>
    </row>
    <row r="28" spans="2:30" x14ac:dyDescent="0.35">
      <c r="C28" s="171"/>
      <c r="D28" s="159"/>
      <c r="E28" s="159"/>
      <c r="F28" s="159"/>
      <c r="G28" s="159"/>
      <c r="H28" s="166"/>
      <c r="I28" s="166"/>
      <c r="J28" s="166"/>
      <c r="K28" s="166"/>
      <c r="L28" s="166"/>
      <c r="M28" s="166"/>
      <c r="N28" s="166"/>
      <c r="O28" s="166"/>
      <c r="P28" s="166"/>
      <c r="AD28" s="288"/>
    </row>
    <row r="29" spans="2:30" x14ac:dyDescent="0.35">
      <c r="M29" s="288"/>
      <c r="N29" s="288"/>
      <c r="O29" s="288"/>
    </row>
    <row r="30" spans="2:30" x14ac:dyDescent="0.35">
      <c r="M30" s="171"/>
      <c r="N30" s="171"/>
      <c r="O30" s="171"/>
    </row>
    <row r="31" spans="2:30" x14ac:dyDescent="0.35">
      <c r="M31" s="171"/>
      <c r="N31" s="171"/>
      <c r="O31" s="171"/>
    </row>
    <row r="32" spans="2:30" ht="30.75" customHeight="1" x14ac:dyDescent="0.35">
      <c r="B32" s="301" t="s">
        <v>347</v>
      </c>
      <c r="C32" s="306" t="s">
        <v>348</v>
      </c>
      <c r="D32" s="302" t="s">
        <v>349</v>
      </c>
      <c r="M32" s="171"/>
      <c r="N32" s="171"/>
      <c r="O32" s="171"/>
    </row>
    <row r="33" spans="1:38" x14ac:dyDescent="0.35">
      <c r="A33" s="35"/>
      <c r="B33" s="303">
        <v>44197</v>
      </c>
      <c r="C33" s="142">
        <v>6.3</v>
      </c>
      <c r="D33" s="304">
        <f>AVERAGE(C33:C35)</f>
        <v>6.166666666666667</v>
      </c>
      <c r="E33" s="35"/>
      <c r="M33" s="171"/>
      <c r="N33" s="171"/>
      <c r="O33" s="171"/>
    </row>
    <row r="34" spans="1:38" x14ac:dyDescent="0.35">
      <c r="A34" s="35"/>
      <c r="B34" s="303">
        <v>44228</v>
      </c>
      <c r="C34" s="142">
        <v>6.2</v>
      </c>
      <c r="D34" s="304"/>
      <c r="E34" s="35"/>
      <c r="M34" s="171"/>
      <c r="N34" s="171"/>
      <c r="O34" s="171"/>
    </row>
    <row r="35" spans="1:38" x14ac:dyDescent="0.35">
      <c r="A35" s="35"/>
      <c r="B35" s="303">
        <v>44256</v>
      </c>
      <c r="C35" s="142">
        <v>6</v>
      </c>
      <c r="D35" s="304"/>
      <c r="E35" s="35"/>
      <c r="M35" s="171"/>
      <c r="N35" s="171"/>
      <c r="O35" s="171"/>
    </row>
    <row r="36" spans="1:38" x14ac:dyDescent="0.35">
      <c r="A36" s="35"/>
      <c r="B36" s="303">
        <v>44287</v>
      </c>
      <c r="C36" s="142">
        <v>6.1</v>
      </c>
      <c r="D36" s="304">
        <f>AVERAGE(C36:C38)</f>
        <v>5.7666666666666657</v>
      </c>
      <c r="E36" s="35"/>
      <c r="M36" s="171"/>
      <c r="N36" s="171"/>
      <c r="O36" s="171"/>
    </row>
    <row r="37" spans="1:38" x14ac:dyDescent="0.35">
      <c r="A37" s="35"/>
      <c r="B37" s="303">
        <v>44317</v>
      </c>
      <c r="C37" s="142">
        <v>5.8</v>
      </c>
      <c r="D37" s="304"/>
      <c r="E37" s="35"/>
      <c r="M37" s="171"/>
      <c r="N37" s="171"/>
      <c r="O37" s="171"/>
    </row>
    <row r="38" spans="1:38" x14ac:dyDescent="0.35">
      <c r="A38" s="35"/>
      <c r="B38" s="303">
        <v>44348</v>
      </c>
      <c r="C38" s="142">
        <v>5.4</v>
      </c>
      <c r="D38" s="304"/>
      <c r="E38" s="35"/>
      <c r="M38" s="171"/>
      <c r="N38" s="171"/>
      <c r="O38" s="171"/>
    </row>
    <row r="39" spans="1:38" x14ac:dyDescent="0.35">
      <c r="A39" s="35"/>
      <c r="B39" s="303">
        <v>44378</v>
      </c>
      <c r="C39" s="142">
        <v>5.4</v>
      </c>
      <c r="D39" s="304">
        <f>AVERAGE(C39:C41)</f>
        <v>5.1333333333333337</v>
      </c>
      <c r="E39" s="171" t="s">
        <v>350</v>
      </c>
      <c r="M39" s="171"/>
      <c r="N39" s="171"/>
      <c r="O39" s="171"/>
    </row>
    <row r="40" spans="1:38" x14ac:dyDescent="0.35">
      <c r="A40" s="35"/>
      <c r="B40" s="303">
        <v>44409</v>
      </c>
      <c r="C40" s="142">
        <v>5.2</v>
      </c>
      <c r="D40" s="304"/>
      <c r="E40" s="1096" t="s">
        <v>2199</v>
      </c>
      <c r="M40" s="171"/>
      <c r="N40" s="171"/>
      <c r="O40" s="171"/>
    </row>
    <row r="41" spans="1:38" x14ac:dyDescent="0.35">
      <c r="A41" s="35"/>
      <c r="B41" s="303">
        <v>44440</v>
      </c>
      <c r="C41" s="142">
        <v>4.8</v>
      </c>
      <c r="D41" s="304"/>
      <c r="E41" s="35"/>
      <c r="M41" s="171"/>
      <c r="N41" s="171"/>
      <c r="O41" s="171"/>
    </row>
    <row r="42" spans="1:38" x14ac:dyDescent="0.35">
      <c r="A42" s="35"/>
      <c r="B42" s="303">
        <v>44470</v>
      </c>
      <c r="C42" s="142">
        <v>4.5999999999999996</v>
      </c>
      <c r="D42" s="304">
        <f>AVERAGE(C42:C44)</f>
        <v>4.2333333333333334</v>
      </c>
      <c r="E42" s="35"/>
      <c r="M42" s="171"/>
      <c r="N42" s="171"/>
      <c r="O42" s="171"/>
    </row>
    <row r="43" spans="1:38" x14ac:dyDescent="0.35">
      <c r="A43" s="35"/>
      <c r="B43" s="303">
        <v>44501</v>
      </c>
      <c r="C43" s="142">
        <v>4.2</v>
      </c>
      <c r="D43" s="304"/>
      <c r="E43" s="35"/>
      <c r="M43" s="171"/>
      <c r="N43" s="171"/>
      <c r="O43" s="171"/>
      <c r="AD43" s="171"/>
      <c r="AE43" s="171"/>
      <c r="AF43" s="171"/>
      <c r="AG43" s="171"/>
      <c r="AH43" s="171"/>
      <c r="AI43" s="171"/>
      <c r="AJ43" s="171"/>
      <c r="AK43" s="171"/>
      <c r="AL43" s="171"/>
    </row>
    <row r="44" spans="1:38" x14ac:dyDescent="0.35">
      <c r="A44" s="35"/>
      <c r="B44" s="303">
        <v>44531</v>
      </c>
      <c r="C44" s="142">
        <v>3.9</v>
      </c>
      <c r="D44" s="304"/>
      <c r="E44" s="35"/>
      <c r="M44" s="171"/>
      <c r="N44" s="171"/>
      <c r="O44" s="171"/>
      <c r="AD44" s="171"/>
      <c r="AE44" s="171"/>
      <c r="AF44" s="171"/>
      <c r="AG44" s="171"/>
      <c r="AH44" s="171"/>
      <c r="AI44" s="171"/>
      <c r="AJ44" s="171"/>
      <c r="AK44" s="171"/>
      <c r="AL44" s="171"/>
    </row>
    <row r="45" spans="1:38" x14ac:dyDescent="0.35">
      <c r="A45" s="35"/>
      <c r="B45" s="303">
        <v>44562</v>
      </c>
      <c r="C45" s="142">
        <v>4</v>
      </c>
      <c r="D45" s="142">
        <f>AVERAGE(C45:C47)</f>
        <v>3.8000000000000003</v>
      </c>
      <c r="E45" s="35"/>
      <c r="M45" s="171"/>
      <c r="N45" s="171"/>
      <c r="O45" s="171"/>
    </row>
    <row r="46" spans="1:38" x14ac:dyDescent="0.35">
      <c r="A46" s="35"/>
      <c r="B46" s="303">
        <v>44593</v>
      </c>
      <c r="C46" s="142">
        <v>3.8</v>
      </c>
      <c r="D46" s="142"/>
      <c r="E46" s="35"/>
    </row>
    <row r="47" spans="1:38" x14ac:dyDescent="0.35">
      <c r="A47" s="35"/>
      <c r="B47" s="303">
        <v>44621</v>
      </c>
      <c r="C47" s="142">
        <v>3.6</v>
      </c>
      <c r="D47" s="142"/>
      <c r="E47" s="35"/>
    </row>
    <row r="48" spans="1:38" x14ac:dyDescent="0.35">
      <c r="A48" s="35"/>
      <c r="B48" s="303">
        <v>44652</v>
      </c>
      <c r="C48" s="142">
        <v>3.6</v>
      </c>
      <c r="D48" s="142">
        <f>AVERAGE(C48:C50)</f>
        <v>3.6</v>
      </c>
      <c r="E48" s="35"/>
    </row>
    <row r="49" spans="1:5" x14ac:dyDescent="0.35">
      <c r="A49" s="35"/>
      <c r="B49" s="303">
        <v>44682</v>
      </c>
      <c r="C49" s="142">
        <v>3.6</v>
      </c>
      <c r="D49" s="142"/>
      <c r="E49" s="35"/>
    </row>
    <row r="50" spans="1:5" x14ac:dyDescent="0.35">
      <c r="A50" s="35"/>
      <c r="B50" s="303">
        <v>44713</v>
      </c>
      <c r="C50" s="142">
        <v>3.6</v>
      </c>
      <c r="D50" s="142"/>
      <c r="E50" s="35"/>
    </row>
    <row r="51" spans="1:5" x14ac:dyDescent="0.35">
      <c r="A51" s="35"/>
      <c r="B51" s="303">
        <v>44743</v>
      </c>
      <c r="C51" s="142">
        <v>3.5</v>
      </c>
      <c r="D51" s="142">
        <f>AVERAGE(C51:C53)</f>
        <v>3.5666666666666664</v>
      </c>
      <c r="E51" s="35"/>
    </row>
    <row r="52" spans="1:5" x14ac:dyDescent="0.35">
      <c r="A52" s="35"/>
      <c r="B52" s="303">
        <v>44774</v>
      </c>
      <c r="C52" s="142">
        <v>3.7</v>
      </c>
      <c r="D52" s="142"/>
      <c r="E52" s="35"/>
    </row>
    <row r="53" spans="1:5" x14ac:dyDescent="0.35">
      <c r="B53" s="303">
        <v>44805</v>
      </c>
      <c r="C53" s="142">
        <v>3.5</v>
      </c>
      <c r="D53" s="142"/>
    </row>
    <row r="54" spans="1:5" x14ac:dyDescent="0.35">
      <c r="B54" s="303">
        <v>44835</v>
      </c>
      <c r="C54" s="142">
        <v>3.7</v>
      </c>
      <c r="D54" s="142">
        <f>AVERAGE(C54:C56)</f>
        <v>3.6</v>
      </c>
    </row>
    <row r="55" spans="1:5" x14ac:dyDescent="0.35">
      <c r="B55" s="303">
        <v>44866</v>
      </c>
      <c r="C55" s="142">
        <v>3.6</v>
      </c>
      <c r="D55" s="142"/>
    </row>
    <row r="56" spans="1:5" x14ac:dyDescent="0.35">
      <c r="B56" s="305">
        <v>44896</v>
      </c>
      <c r="C56" s="144">
        <v>3.5</v>
      </c>
      <c r="D56" s="144"/>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02"/>
  <sheetViews>
    <sheetView topLeftCell="A79" zoomScale="89" zoomScaleNormal="89" workbookViewId="0">
      <selection activeCell="E86" sqref="E86"/>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433" t="s">
        <v>192</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61"/>
      <c r="AA1" s="161"/>
      <c r="AB1" s="161"/>
      <c r="AC1" s="161"/>
      <c r="AD1" s="157"/>
      <c r="AE1" s="157"/>
    </row>
    <row r="2" spans="2:34" ht="14.25" customHeight="1" x14ac:dyDescent="0.35">
      <c r="B2" s="1434" t="s">
        <v>379</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c r="AD2" s="251"/>
      <c r="AE2" s="251"/>
    </row>
    <row r="3" spans="2:34" ht="50.9" customHeight="1"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c r="AD3" s="251"/>
      <c r="AE3" s="251"/>
    </row>
    <row r="4" spans="2:34" ht="5.25" customHeight="1"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c r="AD4" s="251"/>
      <c r="AE4" s="251"/>
    </row>
    <row r="5" spans="2:34" x14ac:dyDescent="0.35">
      <c r="B5" s="377" t="s">
        <v>380</v>
      </c>
    </row>
    <row r="6" spans="2:34" ht="14.9" customHeight="1" x14ac:dyDescent="0.35">
      <c r="B6" s="1437" t="s">
        <v>381</v>
      </c>
      <c r="C6" s="1438"/>
      <c r="D6" s="1447" t="s">
        <v>325</v>
      </c>
      <c r="E6" s="1448"/>
      <c r="F6" s="1448"/>
      <c r="G6" s="1448"/>
      <c r="H6" s="1448"/>
      <c r="I6" s="1448"/>
      <c r="J6" s="1448"/>
      <c r="K6" s="1448"/>
      <c r="L6" s="1448"/>
      <c r="M6" s="1448"/>
      <c r="N6" s="1448"/>
      <c r="O6" s="1448"/>
      <c r="P6" s="1448"/>
      <c r="Q6" s="1448"/>
      <c r="R6" s="1448"/>
      <c r="S6" s="1448"/>
      <c r="T6" s="1449"/>
      <c r="U6" s="1450" t="s">
        <v>326</v>
      </c>
      <c r="V6" s="1451"/>
      <c r="W6" s="1451"/>
      <c r="X6" s="1451"/>
      <c r="Y6" s="1451"/>
      <c r="Z6" s="1451"/>
      <c r="AA6" s="1451"/>
      <c r="AB6" s="1451"/>
      <c r="AC6" s="1452"/>
      <c r="AD6" s="1467" t="s">
        <v>382</v>
      </c>
      <c r="AE6" s="1470" t="s">
        <v>383</v>
      </c>
    </row>
    <row r="7" spans="2:34" ht="24" customHeight="1" x14ac:dyDescent="0.35">
      <c r="B7" s="1439"/>
      <c r="C7" s="1440"/>
      <c r="D7" s="137">
        <v>2018</v>
      </c>
      <c r="E7" s="1465">
        <v>2019</v>
      </c>
      <c r="F7" s="1466"/>
      <c r="G7" s="1466"/>
      <c r="H7" s="1473"/>
      <c r="I7" s="1465">
        <v>2020</v>
      </c>
      <c r="J7" s="1466"/>
      <c r="K7" s="1466"/>
      <c r="L7" s="1466"/>
      <c r="M7" s="1465">
        <v>2021</v>
      </c>
      <c r="N7" s="1466"/>
      <c r="O7" s="1466"/>
      <c r="P7" s="1466"/>
      <c r="Q7" s="1418">
        <v>2022</v>
      </c>
      <c r="R7" s="1419"/>
      <c r="S7" s="1419"/>
      <c r="T7" s="1436"/>
      <c r="U7" s="1441">
        <v>2023</v>
      </c>
      <c r="V7" s="1442"/>
      <c r="W7" s="1442"/>
      <c r="X7" s="1442"/>
      <c r="Y7" s="1444">
        <v>2024</v>
      </c>
      <c r="Z7" s="1442"/>
      <c r="AA7" s="1442"/>
      <c r="AB7" s="1443"/>
      <c r="AC7" s="274">
        <v>2025</v>
      </c>
      <c r="AD7" s="1468"/>
      <c r="AE7" s="1471"/>
    </row>
    <row r="8" spans="2:34" ht="14.25" customHeight="1" x14ac:dyDescent="0.35">
      <c r="B8" s="1454"/>
      <c r="C8" s="1455"/>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0" t="s">
        <v>328</v>
      </c>
      <c r="V8" s="310" t="s">
        <v>329</v>
      </c>
      <c r="W8" s="310" t="s">
        <v>238</v>
      </c>
      <c r="X8" s="310" t="s">
        <v>327</v>
      </c>
      <c r="Y8" s="379" t="s">
        <v>328</v>
      </c>
      <c r="Z8" s="267" t="s">
        <v>329</v>
      </c>
      <c r="AA8" s="310" t="s">
        <v>238</v>
      </c>
      <c r="AB8" s="155" t="s">
        <v>327</v>
      </c>
      <c r="AC8" s="404" t="s">
        <v>328</v>
      </c>
      <c r="AD8" s="1469"/>
      <c r="AE8" s="1472"/>
    </row>
    <row r="9" spans="2:34" ht="23.9" customHeight="1" x14ac:dyDescent="0.35">
      <c r="B9" s="384" t="s">
        <v>384</v>
      </c>
      <c r="C9" s="409" t="s">
        <v>385</v>
      </c>
      <c r="D9" s="314">
        <f>'Haver Pivoted'!GO32</f>
        <v>587.79999999999995</v>
      </c>
      <c r="E9" s="315">
        <f>'Haver Pivoted'!GP32</f>
        <v>592.4</v>
      </c>
      <c r="F9" s="315">
        <f>'Haver Pivoted'!GQ32</f>
        <v>615.5</v>
      </c>
      <c r="G9" s="315">
        <f>'Haver Pivoted'!GR32</f>
        <v>610.4</v>
      </c>
      <c r="H9" s="315">
        <f>'Haver Pivoted'!GS32</f>
        <v>617.5</v>
      </c>
      <c r="I9" s="315">
        <f>'Haver Pivoted'!GT32</f>
        <v>638.6</v>
      </c>
      <c r="J9" s="315">
        <f>'Haver Pivoted'!GU32</f>
        <v>1395</v>
      </c>
      <c r="K9" s="315">
        <f>'Haver Pivoted'!GV32</f>
        <v>737.1</v>
      </c>
      <c r="L9" s="315">
        <f>'Haver Pivoted'!GW32</f>
        <v>744.8</v>
      </c>
      <c r="M9" s="315">
        <f>'Haver Pivoted'!GX32</f>
        <v>785.1</v>
      </c>
      <c r="N9" s="315">
        <f>'Haver Pivoted'!GY32</f>
        <v>1653.7</v>
      </c>
      <c r="O9" s="315">
        <f>'Haver Pivoted'!GZ32</f>
        <v>1085</v>
      </c>
      <c r="P9" s="315">
        <f>'Haver Pivoted'!HA32</f>
        <v>924.7</v>
      </c>
      <c r="Q9" s="315">
        <f>'Haver Pivoted'!HB32</f>
        <v>940</v>
      </c>
      <c r="R9" s="315">
        <f>'Haver Pivoted'!HC32</f>
        <v>960.5</v>
      </c>
      <c r="S9" s="316">
        <f>'Haver Pivoted'!HD32</f>
        <v>953.4</v>
      </c>
      <c r="T9" s="317">
        <f>'Haver Pivoted'!HE32</f>
        <v>918.1</v>
      </c>
      <c r="U9" s="256">
        <f t="shared" ref="U9:AC9" si="0">U10+U11</f>
        <v>912.0280180152979</v>
      </c>
      <c r="V9" s="296">
        <f t="shared" si="0"/>
        <v>888.59334427561043</v>
      </c>
      <c r="W9" s="296">
        <f t="shared" si="0"/>
        <v>879.01604699016411</v>
      </c>
      <c r="X9" s="296">
        <f t="shared" si="0"/>
        <v>848.368960626324</v>
      </c>
      <c r="Y9" s="296">
        <f t="shared" si="0"/>
        <v>818.51407567420028</v>
      </c>
      <c r="Z9" s="296">
        <f t="shared" si="0"/>
        <v>794.76327453693057</v>
      </c>
      <c r="AA9" s="296">
        <f t="shared" si="0"/>
        <v>790.11572309927146</v>
      </c>
      <c r="AB9" s="296">
        <f t="shared" si="0"/>
        <v>768.08195174955642</v>
      </c>
      <c r="AC9" s="272">
        <f t="shared" si="0"/>
        <v>763.68267859557159</v>
      </c>
      <c r="AD9" s="363"/>
      <c r="AE9" s="413"/>
    </row>
    <row r="10" spans="2:34" ht="27.65" customHeight="1" x14ac:dyDescent="0.35">
      <c r="B10" s="420" t="s">
        <v>133</v>
      </c>
      <c r="C10" s="168" t="s">
        <v>386</v>
      </c>
      <c r="D10" s="33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11">
        <f>'Haver Pivoted'!HD40</f>
        <v>605.63699999999994</v>
      </c>
      <c r="T10" s="336">
        <f>'Haver Pivoted'!HE40</f>
        <v>604.79499999999996</v>
      </c>
      <c r="U10" s="341">
        <f>Medicaid!U29</f>
        <v>606.05037285109495</v>
      </c>
      <c r="V10" s="341">
        <f>Medicaid!V29</f>
        <v>580.65323903901697</v>
      </c>
      <c r="W10" s="341">
        <f>Medicaid!W29</f>
        <v>569.0941447642507</v>
      </c>
      <c r="X10" s="341">
        <f>Medicaid!X29</f>
        <v>561.70373395965726</v>
      </c>
      <c r="Y10" s="341">
        <f>Medicaid!Y29</f>
        <v>554.82780470342925</v>
      </c>
      <c r="Z10" s="341">
        <f>Medicaid!Z29</f>
        <v>548.03604509087336</v>
      </c>
      <c r="AA10" s="341">
        <f>Medicaid!AA29</f>
        <v>541.32742478432147</v>
      </c>
      <c r="AB10" s="341">
        <f>Medicaid!AB29</f>
        <v>531.08827601622306</v>
      </c>
      <c r="AC10" s="407">
        <f>Medicaid!AC29</f>
        <v>524.58711678596967</v>
      </c>
      <c r="AD10" s="313"/>
      <c r="AE10" s="392"/>
    </row>
    <row r="11" spans="2:34" ht="17.25" customHeight="1" x14ac:dyDescent="0.35">
      <c r="B11" s="286" t="s">
        <v>387</v>
      </c>
      <c r="C11" s="168"/>
      <c r="D11" s="33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11">
        <f t="shared" si="3"/>
        <v>347.76300000000003</v>
      </c>
      <c r="T11" s="336">
        <f t="shared" si="3"/>
        <v>313.30500000000006</v>
      </c>
      <c r="U11" s="341">
        <f t="shared" ref="U11:AC11" si="4">SUM(U12:U20)</f>
        <v>305.97764516420295</v>
      </c>
      <c r="V11" s="341">
        <f t="shared" si="4"/>
        <v>307.94010523659347</v>
      </c>
      <c r="W11" s="341">
        <f t="shared" si="4"/>
        <v>309.92190222591341</v>
      </c>
      <c r="X11" s="341">
        <f t="shared" si="4"/>
        <v>286.66522666666668</v>
      </c>
      <c r="Y11" s="341">
        <f t="shared" si="4"/>
        <v>263.68627097077103</v>
      </c>
      <c r="Z11" s="341">
        <f t="shared" si="4"/>
        <v>246.72722944605724</v>
      </c>
      <c r="AA11" s="341">
        <f t="shared" si="4"/>
        <v>248.78829831494997</v>
      </c>
      <c r="AB11" s="341">
        <f t="shared" si="4"/>
        <v>236.99367573333333</v>
      </c>
      <c r="AC11" s="407">
        <f t="shared" si="4"/>
        <v>239.09556180960186</v>
      </c>
      <c r="AD11" s="313"/>
      <c r="AE11" s="392"/>
    </row>
    <row r="12" spans="2:34" ht="16.399999999999999" customHeight="1" x14ac:dyDescent="0.35">
      <c r="B12" s="417" t="s">
        <v>149</v>
      </c>
      <c r="C12" s="52" t="s">
        <v>388</v>
      </c>
      <c r="D12" s="429"/>
      <c r="E12" s="52"/>
      <c r="F12" s="52"/>
      <c r="G12" s="52"/>
      <c r="H12" s="68"/>
      <c r="I12" s="68"/>
      <c r="J12" s="68">
        <f>'Haver Pivoted'!GU56</f>
        <v>597.9</v>
      </c>
      <c r="K12" s="68"/>
      <c r="L12" s="68"/>
      <c r="M12" s="68"/>
      <c r="N12" s="68"/>
      <c r="O12" s="50">
        <v>0</v>
      </c>
      <c r="P12" s="50">
        <v>0</v>
      </c>
      <c r="Q12" s="50">
        <v>0</v>
      </c>
      <c r="R12" s="50">
        <v>0</v>
      </c>
      <c r="S12" s="50">
        <v>0</v>
      </c>
      <c r="T12" s="313">
        <v>0</v>
      </c>
      <c r="U12" s="341">
        <v>0</v>
      </c>
      <c r="V12" s="341">
        <v>0</v>
      </c>
      <c r="W12" s="341">
        <v>0</v>
      </c>
      <c r="X12" s="341">
        <v>0</v>
      </c>
      <c r="Y12" s="341">
        <v>0</v>
      </c>
      <c r="Z12" s="341">
        <v>0</v>
      </c>
      <c r="AA12" s="341">
        <v>0</v>
      </c>
      <c r="AB12" s="341">
        <v>0</v>
      </c>
      <c r="AC12" s="407">
        <v>0</v>
      </c>
      <c r="AD12" s="313">
        <f>SUM(I12:Y12)/4</f>
        <v>149.47499999999999</v>
      </c>
      <c r="AE12" s="392">
        <f>AD30</f>
        <v>150</v>
      </c>
    </row>
    <row r="13" spans="2:34" x14ac:dyDescent="0.35">
      <c r="B13" s="417" t="s">
        <v>150</v>
      </c>
      <c r="C13" s="52" t="s">
        <v>389</v>
      </c>
      <c r="D13" s="42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11">
        <f>'Haver Pivoted'!HD57</f>
        <v>68.3</v>
      </c>
      <c r="T13" s="336">
        <f>'Haver Pivoted'!HE57</f>
        <v>64</v>
      </c>
      <c r="U13" s="341">
        <f t="shared" ref="U13:AC13" si="5">U31+U35+U41</f>
        <v>60.929333333333297</v>
      </c>
      <c r="V13" s="341">
        <f t="shared" si="5"/>
        <v>60.929333333333297</v>
      </c>
      <c r="W13" s="341">
        <f t="shared" si="5"/>
        <v>60.929333333333297</v>
      </c>
      <c r="X13" s="341">
        <f t="shared" si="5"/>
        <v>54.244333333333302</v>
      </c>
      <c r="Y13" s="341">
        <f t="shared" si="5"/>
        <v>50.911000000000001</v>
      </c>
      <c r="Z13" s="341">
        <f t="shared" si="5"/>
        <v>31.911000000000001</v>
      </c>
      <c r="AA13" s="341">
        <f t="shared" si="5"/>
        <v>31.911000000000001</v>
      </c>
      <c r="AB13" s="341">
        <f t="shared" si="5"/>
        <v>23.099</v>
      </c>
      <c r="AC13" s="407">
        <f t="shared" si="5"/>
        <v>23.099</v>
      </c>
      <c r="AD13" s="313">
        <f t="shared" ref="AD13:AD19" si="6">SUM(I13:Y13)/4</f>
        <v>225.58583333333326</v>
      </c>
      <c r="AE13" s="392">
        <f>AD31+AD35+AD41</f>
        <v>225.76349999999994</v>
      </c>
      <c r="AF13" s="56">
        <f>SUM(J13:R13)/4</f>
        <v>120.52500000000001</v>
      </c>
    </row>
    <row r="14" spans="2:34" x14ac:dyDescent="0.35">
      <c r="B14" s="417" t="s">
        <v>152</v>
      </c>
      <c r="C14" s="49" t="s">
        <v>354</v>
      </c>
      <c r="D14" s="36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11">
        <f>'Haver Pivoted'!HD58</f>
        <v>7.5</v>
      </c>
      <c r="T14" s="336">
        <f>'Haver Pivoted'!HE58</f>
        <v>6.2</v>
      </c>
      <c r="U14" s="341">
        <f>'Provider Relief (expired)'!U12</f>
        <v>0</v>
      </c>
      <c r="V14" s="341">
        <f>'Provider Relief (expired)'!V12</f>
        <v>0</v>
      </c>
      <c r="W14" s="341">
        <f>'Provider Relief (expired)'!W12</f>
        <v>0</v>
      </c>
      <c r="X14" s="341">
        <f>'Provider Relief (expired)'!X12</f>
        <v>0</v>
      </c>
      <c r="Y14" s="341">
        <f>'Provider Relief (expired)'!Y12</f>
        <v>0</v>
      </c>
      <c r="Z14" s="341">
        <f>'Provider Relief (expired)'!Z12</f>
        <v>0</v>
      </c>
      <c r="AA14" s="341">
        <f>'Provider Relief (expired)'!AA12</f>
        <v>0</v>
      </c>
      <c r="AB14" s="341">
        <f>'Provider Relief (expired)'!AB12</f>
        <v>0</v>
      </c>
      <c r="AC14" s="407">
        <f>'Provider Relief (expired)'!AC12</f>
        <v>0</v>
      </c>
      <c r="AD14" s="313">
        <f>SUM(I14:Y14)/4</f>
        <v>47.375</v>
      </c>
      <c r="AE14" s="392">
        <f>AD32+AD36+AD42</f>
        <v>34.125000000000007</v>
      </c>
    </row>
    <row r="15" spans="2:34" ht="15.75" customHeight="1" x14ac:dyDescent="0.35">
      <c r="B15" s="417" t="s">
        <v>390</v>
      </c>
      <c r="C15" s="49"/>
      <c r="D15" s="362"/>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313">
        <f t="shared" si="7"/>
        <v>9.6666666666666661</v>
      </c>
      <c r="U15" s="341">
        <f t="shared" si="7"/>
        <v>9.6666666666666661</v>
      </c>
      <c r="V15" s="341">
        <f t="shared" si="7"/>
        <v>9.6666666666666661</v>
      </c>
      <c r="W15" s="341">
        <f t="shared" si="7"/>
        <v>9.6666666666666661</v>
      </c>
      <c r="X15" s="341">
        <f t="shared" si="7"/>
        <v>9.6666666666666661</v>
      </c>
      <c r="Y15" s="341">
        <f t="shared" si="7"/>
        <v>0</v>
      </c>
      <c r="Z15" s="341">
        <f t="shared" si="7"/>
        <v>0</v>
      </c>
      <c r="AA15" s="341">
        <f t="shared" si="7"/>
        <v>0</v>
      </c>
      <c r="AB15" s="341">
        <f t="shared" si="7"/>
        <v>0</v>
      </c>
      <c r="AC15" s="407">
        <f t="shared" si="7"/>
        <v>0</v>
      </c>
      <c r="AD15" s="313">
        <f>SUM(I15:Y15)/4</f>
        <v>29.000000000000004</v>
      </c>
      <c r="AE15" s="393">
        <f>AD34</f>
        <v>29.000000000000004</v>
      </c>
      <c r="AF15" s="346" t="s">
        <v>391</v>
      </c>
      <c r="AG15" s="346"/>
      <c r="AH15" s="346"/>
    </row>
    <row r="16" spans="2:34" ht="31.4" customHeight="1" x14ac:dyDescent="0.35">
      <c r="B16" s="417" t="s">
        <v>392</v>
      </c>
      <c r="C16" s="49"/>
      <c r="D16" s="362"/>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313">
        <f t="shared" si="8"/>
        <v>12</v>
      </c>
      <c r="U16" s="341">
        <f t="shared" si="8"/>
        <v>12</v>
      </c>
      <c r="V16" s="341">
        <f t="shared" si="8"/>
        <v>12</v>
      </c>
      <c r="W16" s="341">
        <f t="shared" si="8"/>
        <v>12</v>
      </c>
      <c r="X16" s="341">
        <f t="shared" si="8"/>
        <v>12</v>
      </c>
      <c r="Y16" s="341">
        <f t="shared" si="8"/>
        <v>0</v>
      </c>
      <c r="Z16" s="341">
        <f t="shared" si="8"/>
        <v>0</v>
      </c>
      <c r="AA16" s="341">
        <f t="shared" si="8"/>
        <v>0</v>
      </c>
      <c r="AB16" s="341">
        <f t="shared" si="8"/>
        <v>0</v>
      </c>
      <c r="AC16" s="407">
        <f t="shared" si="8"/>
        <v>0</v>
      </c>
      <c r="AD16" s="313">
        <f>SUM(I16:Y16)/4</f>
        <v>36</v>
      </c>
      <c r="AE16" s="392">
        <f>SUM(AD37:AD38)+AD43</f>
        <v>130.3365</v>
      </c>
      <c r="AF16" s="346" t="s">
        <v>393</v>
      </c>
      <c r="AG16" s="346"/>
      <c r="AH16" s="346"/>
    </row>
    <row r="17" spans="1:34" x14ac:dyDescent="0.35">
      <c r="B17" s="417" t="s">
        <v>394</v>
      </c>
      <c r="C17" s="49"/>
      <c r="D17" s="362"/>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313">
        <f t="shared" si="9"/>
        <v>24.216000000000001</v>
      </c>
      <c r="U17" s="341">
        <f t="shared" si="9"/>
        <v>24.216000000000001</v>
      </c>
      <c r="V17" s="341">
        <f t="shared" si="9"/>
        <v>24.216000000000001</v>
      </c>
      <c r="W17" s="341">
        <f t="shared" si="9"/>
        <v>24.216000000000001</v>
      </c>
      <c r="X17" s="341">
        <f t="shared" si="9"/>
        <v>9.6430000000000007</v>
      </c>
      <c r="Y17" s="341">
        <f t="shared" si="9"/>
        <v>9.6430000000000007</v>
      </c>
      <c r="Z17" s="341">
        <f t="shared" si="9"/>
        <v>9.6430000000000007</v>
      </c>
      <c r="AA17" s="341">
        <f t="shared" si="9"/>
        <v>9.6430000000000007</v>
      </c>
      <c r="AB17" s="341">
        <f t="shared" si="9"/>
        <v>4.5789999999999997</v>
      </c>
      <c r="AC17" s="407">
        <f t="shared" si="9"/>
        <v>4.5789999999999997</v>
      </c>
      <c r="AD17" s="313">
        <f>SUM(I17:Y17)/4</f>
        <v>94.336500000000001</v>
      </c>
      <c r="AE17" s="392"/>
      <c r="AF17" s="346"/>
      <c r="AG17" s="346"/>
      <c r="AH17" s="346"/>
    </row>
    <row r="18" spans="1:34" ht="54" customHeight="1" x14ac:dyDescent="0.35">
      <c r="B18" s="400" t="s">
        <v>835</v>
      </c>
      <c r="C18" s="49"/>
      <c r="D18" s="362"/>
      <c r="E18" s="49"/>
      <c r="F18" s="49"/>
      <c r="G18" s="49"/>
      <c r="H18" s="68"/>
      <c r="I18" s="68"/>
      <c r="J18" s="68"/>
      <c r="K18" s="68"/>
      <c r="L18" s="68"/>
      <c r="M18" s="68"/>
      <c r="N18" s="50">
        <v>-40</v>
      </c>
      <c r="O18" s="50">
        <v>-40</v>
      </c>
      <c r="P18" s="50">
        <f>-51</f>
        <v>-51</v>
      </c>
      <c r="Q18" s="50">
        <f>-51</f>
        <v>-51</v>
      </c>
      <c r="R18" s="50">
        <v>-51</v>
      </c>
      <c r="S18" s="50">
        <f>-51</f>
        <v>-51</v>
      </c>
      <c r="T18" s="313">
        <v>0</v>
      </c>
      <c r="U18" s="341">
        <v>0</v>
      </c>
      <c r="V18" s="341">
        <v>0</v>
      </c>
      <c r="W18" s="341">
        <v>0</v>
      </c>
      <c r="X18" s="341">
        <v>-4</v>
      </c>
      <c r="Y18" s="341">
        <v>-4</v>
      </c>
      <c r="Z18" s="341">
        <v>-4</v>
      </c>
      <c r="AA18" s="341">
        <v>-4</v>
      </c>
      <c r="AB18" s="341">
        <v>-4</v>
      </c>
      <c r="AC18" s="407">
        <v>-4</v>
      </c>
      <c r="AD18" s="313"/>
      <c r="AE18" s="392"/>
      <c r="AF18" s="346"/>
      <c r="AG18" s="346"/>
      <c r="AH18" s="346"/>
    </row>
    <row r="19" spans="1:34" ht="15.75" customHeight="1" x14ac:dyDescent="0.35">
      <c r="B19" s="417" t="s">
        <v>395</v>
      </c>
      <c r="C19" s="52" t="s">
        <v>396</v>
      </c>
      <c r="D19" s="36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11">
        <f>'Haver Pivoted'!HD56</f>
        <v>0</v>
      </c>
      <c r="T19" s="336">
        <f>'Haver Pivoted'!HE56</f>
        <v>0</v>
      </c>
      <c r="U19" s="342">
        <f t="shared" ref="U19:AC19" si="10">U40</f>
        <v>0</v>
      </c>
      <c r="V19" s="342">
        <f t="shared" si="10"/>
        <v>0</v>
      </c>
      <c r="W19" s="342">
        <f t="shared" si="10"/>
        <v>0</v>
      </c>
      <c r="X19" s="342">
        <f t="shared" si="10"/>
        <v>0</v>
      </c>
      <c r="Y19" s="342">
        <f t="shared" si="10"/>
        <v>0</v>
      </c>
      <c r="Z19" s="342">
        <f t="shared" si="10"/>
        <v>0</v>
      </c>
      <c r="AA19" s="342">
        <f t="shared" si="10"/>
        <v>0</v>
      </c>
      <c r="AB19" s="342">
        <f t="shared" si="10"/>
        <v>0</v>
      </c>
      <c r="AC19" s="406">
        <f t="shared" si="10"/>
        <v>0</v>
      </c>
      <c r="AD19" s="313">
        <f t="shared" si="6"/>
        <v>245.9</v>
      </c>
      <c r="AE19" s="392">
        <f>AD40</f>
        <v>362.04999999999995</v>
      </c>
      <c r="AF19" s="374"/>
      <c r="AH19" s="346"/>
    </row>
    <row r="20" spans="1:34" ht="15.75" customHeight="1" x14ac:dyDescent="0.35">
      <c r="A20" s="349"/>
      <c r="B20" s="347" t="s">
        <v>397</v>
      </c>
      <c r="C20" s="366"/>
      <c r="D20" s="364">
        <f t="shared" ref="D20:T20" si="11">D11-SUM(D12:D19)</f>
        <v>197.26499999999993</v>
      </c>
      <c r="E20" s="366">
        <f t="shared" si="11"/>
        <v>184.779</v>
      </c>
      <c r="F20" s="366">
        <f t="shared" si="11"/>
        <v>199.041</v>
      </c>
      <c r="G20" s="366">
        <f t="shared" si="11"/>
        <v>191.73899999999998</v>
      </c>
      <c r="H20" s="366">
        <f t="shared" si="11"/>
        <v>205.80500000000001</v>
      </c>
      <c r="I20" s="366">
        <f t="shared" si="11"/>
        <v>210.29200000000003</v>
      </c>
      <c r="J20" s="366">
        <f t="shared" si="11"/>
        <v>197.48400000000004</v>
      </c>
      <c r="K20" s="366">
        <f t="shared" si="11"/>
        <v>213.12000000000006</v>
      </c>
      <c r="L20" s="366">
        <f t="shared" si="11"/>
        <v>215.54199999999997</v>
      </c>
      <c r="M20" s="366">
        <f t="shared" si="11"/>
        <v>213.11233333333337</v>
      </c>
      <c r="N20" s="366">
        <f t="shared" si="11"/>
        <v>224.76033333333339</v>
      </c>
      <c r="O20" s="366">
        <f t="shared" si="11"/>
        <v>222.12433333333337</v>
      </c>
      <c r="P20" s="366">
        <f t="shared" si="11"/>
        <v>250.09733333333338</v>
      </c>
      <c r="Q20" s="366">
        <f t="shared" si="11"/>
        <v>253.39533333333327</v>
      </c>
      <c r="R20" s="366">
        <f t="shared" si="11"/>
        <v>266.9323333333333</v>
      </c>
      <c r="S20" s="312">
        <f t="shared" si="11"/>
        <v>265.62533333333334</v>
      </c>
      <c r="T20" s="337">
        <f t="shared" si="11"/>
        <v>197.22233333333338</v>
      </c>
      <c r="U20" s="285">
        <f t="shared" ref="U20:AC20" si="12">T20*(1.04)^0.25</f>
        <v>199.16564516420297</v>
      </c>
      <c r="V20" s="285">
        <f t="shared" si="12"/>
        <v>201.12810523659354</v>
      </c>
      <c r="W20" s="285">
        <f t="shared" si="12"/>
        <v>203.10990222591349</v>
      </c>
      <c r="X20" s="285">
        <f t="shared" si="12"/>
        <v>205.11122666666671</v>
      </c>
      <c r="Y20" s="285">
        <f t="shared" si="12"/>
        <v>207.13227097077106</v>
      </c>
      <c r="Z20" s="285">
        <f t="shared" si="12"/>
        <v>209.17322944605723</v>
      </c>
      <c r="AA20" s="285">
        <f t="shared" si="12"/>
        <v>211.23429831494997</v>
      </c>
      <c r="AB20" s="285">
        <f t="shared" si="12"/>
        <v>213.31567573333334</v>
      </c>
      <c r="AC20" s="426">
        <f t="shared" si="12"/>
        <v>215.41756180960186</v>
      </c>
      <c r="AD20" s="398"/>
      <c r="AE20" s="394"/>
      <c r="AF20" s="346" t="s">
        <v>398</v>
      </c>
      <c r="AG20" s="346"/>
      <c r="AH20" s="346"/>
    </row>
    <row r="21" spans="1:34" ht="15.75" customHeight="1" x14ac:dyDescent="0.35">
      <c r="A21" s="10"/>
      <c r="B21" s="348"/>
      <c r="C21" s="49"/>
      <c r="D21" s="49"/>
      <c r="E21" s="49"/>
      <c r="F21" s="49"/>
      <c r="G21" s="49"/>
      <c r="H21" s="49"/>
      <c r="I21" s="49"/>
      <c r="J21" s="49"/>
      <c r="K21" s="49"/>
      <c r="L21" s="49"/>
      <c r="M21" s="49"/>
      <c r="N21" s="49"/>
      <c r="O21" s="360"/>
      <c r="P21" s="49"/>
      <c r="Q21" s="174"/>
      <c r="R21" s="174"/>
      <c r="S21" s="174"/>
      <c r="T21" s="174"/>
      <c r="U21" s="174"/>
      <c r="V21" s="174"/>
      <c r="W21" s="174"/>
      <c r="X21" s="174"/>
      <c r="Y21" s="174"/>
      <c r="Z21" s="174"/>
      <c r="AA21" s="174"/>
      <c r="AB21" s="174"/>
      <c r="AC21" s="174"/>
      <c r="AD21" s="174"/>
      <c r="AE21" s="352"/>
      <c r="AF21" s="346"/>
      <c r="AG21" s="346"/>
      <c r="AH21" s="346"/>
    </row>
    <row r="22" spans="1:34" ht="15.75" customHeight="1" x14ac:dyDescent="0.35">
      <c r="A22" s="10"/>
      <c r="B22" s="348"/>
      <c r="C22" s="49"/>
      <c r="D22" s="49"/>
      <c r="E22" s="49"/>
      <c r="F22" s="49"/>
      <c r="G22" s="49"/>
      <c r="H22" s="49"/>
      <c r="I22" s="49"/>
      <c r="J22" s="49"/>
      <c r="K22" s="49"/>
      <c r="L22" s="49"/>
      <c r="M22" s="49"/>
      <c r="N22" s="49"/>
      <c r="O22" s="360"/>
      <c r="P22" s="49"/>
      <c r="Q22" s="174"/>
      <c r="R22" s="174"/>
      <c r="AD22" s="174"/>
      <c r="AE22" s="352"/>
      <c r="AF22" s="346"/>
      <c r="AG22" s="346"/>
      <c r="AH22" s="346"/>
    </row>
    <row r="23" spans="1:34" ht="15.75" customHeight="1" x14ac:dyDescent="0.35">
      <c r="A23" s="10"/>
      <c r="B23" s="348"/>
      <c r="C23" s="49"/>
      <c r="D23" s="49"/>
      <c r="E23" s="49"/>
      <c r="F23" s="49"/>
      <c r="G23" s="49"/>
      <c r="H23" s="49"/>
      <c r="I23" s="49"/>
      <c r="J23" s="49"/>
      <c r="K23" s="49"/>
      <c r="L23" s="49"/>
      <c r="M23" s="49"/>
      <c r="N23" s="49"/>
      <c r="O23" s="360"/>
      <c r="P23" s="49"/>
      <c r="Q23" s="174"/>
      <c r="R23" s="174"/>
      <c r="AD23" s="174"/>
      <c r="AE23" s="352"/>
      <c r="AF23" s="346"/>
      <c r="AG23" s="346"/>
      <c r="AH23" s="346"/>
    </row>
    <row r="24" spans="1:34" ht="15.75" customHeight="1" x14ac:dyDescent="0.35">
      <c r="A24" s="10"/>
      <c r="B24" s="348"/>
      <c r="C24" s="49"/>
      <c r="D24" s="49"/>
      <c r="E24" s="49"/>
      <c r="F24" s="49"/>
      <c r="G24" s="49"/>
      <c r="H24" s="49"/>
      <c r="I24" s="49"/>
      <c r="J24" s="49"/>
      <c r="K24" s="49"/>
      <c r="L24" s="49"/>
      <c r="M24" s="49"/>
      <c r="N24" s="49"/>
      <c r="O24" s="360"/>
      <c r="P24" s="49"/>
      <c r="Q24" s="174"/>
      <c r="R24" s="174"/>
      <c r="S24" s="174"/>
      <c r="T24" s="174"/>
      <c r="U24" s="174"/>
      <c r="V24" s="174"/>
      <c r="W24" s="174"/>
      <c r="X24" s="174"/>
      <c r="Y24" s="174"/>
      <c r="Z24" s="174"/>
      <c r="AA24" s="174"/>
      <c r="AB24" s="174"/>
      <c r="AC24" s="174"/>
      <c r="AD24" s="174"/>
      <c r="AE24" s="352"/>
      <c r="AF24" s="346"/>
      <c r="AG24" s="346"/>
      <c r="AH24" s="346"/>
    </row>
    <row r="25" spans="1:34" ht="15.75" customHeight="1" x14ac:dyDescent="0.35">
      <c r="A25" s="10"/>
      <c r="B25" s="348"/>
      <c r="C25" s="49"/>
      <c r="D25" s="49"/>
      <c r="E25" s="49"/>
      <c r="F25" s="49"/>
      <c r="G25" s="49"/>
      <c r="H25" s="49"/>
      <c r="I25" s="49"/>
      <c r="J25" s="49"/>
      <c r="K25" s="49"/>
      <c r="L25" s="49"/>
      <c r="M25" s="49"/>
      <c r="N25" s="49"/>
      <c r="O25" s="360"/>
      <c r="P25" s="49"/>
      <c r="Q25" s="174"/>
      <c r="R25" s="174"/>
      <c r="S25" s="174"/>
      <c r="T25" s="174"/>
      <c r="U25" s="174"/>
      <c r="V25" s="174"/>
      <c r="W25" s="174"/>
      <c r="X25" s="174"/>
      <c r="Y25" s="174"/>
      <c r="Z25" s="174"/>
      <c r="AA25" s="174"/>
      <c r="AB25" s="174"/>
      <c r="AC25" s="174"/>
      <c r="AD25" s="174"/>
      <c r="AE25" s="352"/>
      <c r="AF25" s="346"/>
      <c r="AG25" s="346"/>
      <c r="AH25" s="346"/>
    </row>
    <row r="26" spans="1:34" x14ac:dyDescent="0.35">
      <c r="C26" s="49"/>
      <c r="D26" s="49"/>
      <c r="E26" s="353"/>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85"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459" t="s">
        <v>400</v>
      </c>
      <c r="C28" s="1460"/>
      <c r="D28" s="1461"/>
      <c r="E28" s="1461"/>
      <c r="F28" s="1461"/>
      <c r="G28" s="1461"/>
      <c r="H28" s="1461"/>
      <c r="I28" s="1461"/>
      <c r="J28" s="1461"/>
      <c r="K28" s="1461"/>
      <c r="L28" s="1461"/>
      <c r="M28" s="1461"/>
      <c r="N28" s="1461"/>
      <c r="O28" s="1461"/>
      <c r="P28" s="1461"/>
      <c r="Q28" s="1461"/>
      <c r="R28" s="1461"/>
      <c r="S28" s="1461"/>
      <c r="T28" s="1461"/>
      <c r="U28" s="1461"/>
      <c r="V28" s="1461"/>
      <c r="W28" s="1461"/>
      <c r="X28" s="1461"/>
      <c r="Y28" s="1461"/>
      <c r="Z28" s="1461"/>
      <c r="AA28" s="1461"/>
      <c r="AB28" s="1461"/>
      <c r="AC28" s="1462"/>
      <c r="AD28" s="396" t="s">
        <v>382</v>
      </c>
      <c r="AE28" s="395"/>
    </row>
    <row r="29" spans="1:34" ht="17.899999999999999" customHeight="1" x14ac:dyDescent="0.35">
      <c r="B29" s="405" t="s">
        <v>401</v>
      </c>
      <c r="C29" s="49"/>
      <c r="D29" s="422"/>
      <c r="E29" s="408"/>
      <c r="F29" s="408"/>
      <c r="G29" s="408"/>
      <c r="H29" s="401"/>
      <c r="I29" s="401"/>
      <c r="J29" s="339">
        <f>SUM(J30:J32)</f>
        <v>692.8</v>
      </c>
      <c r="K29" s="339">
        <f t="shared" ref="K29:P29" si="13">SUM(K30:K32)</f>
        <v>39.200000000000003</v>
      </c>
      <c r="L29" s="339">
        <f t="shared" si="13"/>
        <v>29</v>
      </c>
      <c r="M29" s="339">
        <f t="shared" si="13"/>
        <v>27</v>
      </c>
      <c r="N29" s="339">
        <f t="shared" si="13"/>
        <v>18</v>
      </c>
      <c r="O29" s="339">
        <f t="shared" si="13"/>
        <v>0</v>
      </c>
      <c r="P29" s="423">
        <f t="shared" si="13"/>
        <v>0</v>
      </c>
      <c r="Q29" s="339"/>
      <c r="R29" s="339"/>
      <c r="S29" s="339"/>
      <c r="T29" s="399"/>
      <c r="U29" s="399"/>
      <c r="V29" s="399"/>
      <c r="W29" s="399"/>
      <c r="X29" s="399"/>
      <c r="Y29" s="399"/>
      <c r="Z29" s="399"/>
      <c r="AA29" s="399"/>
      <c r="AB29" s="399"/>
      <c r="AC29" s="380"/>
      <c r="AD29" s="313">
        <f t="shared" ref="AD29:AD43" si="14">SUM(I29:Y29)/4</f>
        <v>201.5</v>
      </c>
      <c r="AE29" s="1457" t="s">
        <v>402</v>
      </c>
      <c r="AF29" s="1458"/>
    </row>
    <row r="30" spans="1:34" x14ac:dyDescent="0.35">
      <c r="B30" s="350" t="s">
        <v>149</v>
      </c>
      <c r="C30" s="49"/>
      <c r="D30" s="362"/>
      <c r="E30" s="49"/>
      <c r="F30" s="49"/>
      <c r="G30" s="49"/>
      <c r="H30" s="50"/>
      <c r="I30" s="50"/>
      <c r="J30" s="320">
        <f>C50*4</f>
        <v>600</v>
      </c>
      <c r="K30" s="320"/>
      <c r="L30" s="320"/>
      <c r="M30" s="320"/>
      <c r="N30" s="320"/>
      <c r="O30" s="320"/>
      <c r="P30" s="323"/>
      <c r="Q30" s="320"/>
      <c r="R30" s="320"/>
      <c r="S30" s="320"/>
      <c r="T30" s="342"/>
      <c r="U30" s="342"/>
      <c r="V30" s="342"/>
      <c r="W30" s="342"/>
      <c r="X30" s="342"/>
      <c r="Y30" s="342"/>
      <c r="Z30" s="342"/>
      <c r="AA30" s="342"/>
      <c r="AB30" s="342"/>
      <c r="AC30" s="406"/>
      <c r="AD30" s="313">
        <f t="shared" si="14"/>
        <v>150</v>
      </c>
      <c r="AE30" s="320"/>
    </row>
    <row r="31" spans="1:34" ht="15" customHeight="1" x14ac:dyDescent="0.35">
      <c r="B31" s="350" t="s">
        <v>150</v>
      </c>
      <c r="C31" s="49"/>
      <c r="D31" s="362"/>
      <c r="E31" s="49"/>
      <c r="F31" s="49"/>
      <c r="G31" s="49"/>
      <c r="H31" s="50"/>
      <c r="I31" s="50"/>
      <c r="J31" s="320">
        <v>28.4</v>
      </c>
      <c r="K31" s="320">
        <v>15.8</v>
      </c>
      <c r="L31" s="320">
        <v>15.2</v>
      </c>
      <c r="M31" s="320">
        <v>10.9</v>
      </c>
      <c r="N31" s="320">
        <v>18</v>
      </c>
      <c r="O31" s="320"/>
      <c r="P31" s="323"/>
      <c r="Q31" s="320"/>
      <c r="R31" s="320"/>
      <c r="S31" s="320">
        <v>20</v>
      </c>
      <c r="T31" s="340">
        <v>10</v>
      </c>
      <c r="U31" s="342"/>
      <c r="V31" s="342"/>
      <c r="W31" s="342"/>
      <c r="X31" s="342"/>
      <c r="Y31" s="342"/>
      <c r="Z31" s="342"/>
      <c r="AA31" s="342"/>
      <c r="AB31" s="342"/>
      <c r="AC31" s="406"/>
      <c r="AD31" s="313">
        <f t="shared" si="14"/>
        <v>29.575000000000003</v>
      </c>
      <c r="AE31" s="320"/>
    </row>
    <row r="32" spans="1:34" x14ac:dyDescent="0.35">
      <c r="B32" s="350" t="s">
        <v>152</v>
      </c>
      <c r="C32" s="49"/>
      <c r="D32" s="362"/>
      <c r="E32" s="49"/>
      <c r="F32" s="49"/>
      <c r="G32" s="49"/>
      <c r="H32" s="50"/>
      <c r="I32" s="50"/>
      <c r="J32" s="168">
        <v>64.400000000000006</v>
      </c>
      <c r="K32" s="168">
        <v>23.4</v>
      </c>
      <c r="L32" s="168">
        <v>13.8</v>
      </c>
      <c r="M32" s="168">
        <v>16.100000000000001</v>
      </c>
      <c r="N32" s="320"/>
      <c r="O32" s="320"/>
      <c r="P32" s="323"/>
      <c r="Q32" s="320"/>
      <c r="R32" s="320"/>
      <c r="S32" s="320"/>
      <c r="T32" s="342"/>
      <c r="U32" s="342"/>
      <c r="V32" s="342"/>
      <c r="W32" s="342"/>
      <c r="X32" s="342"/>
      <c r="Y32" s="342"/>
      <c r="Z32" s="342"/>
      <c r="AA32" s="342"/>
      <c r="AB32" s="342"/>
      <c r="AC32" s="406"/>
      <c r="AD32" s="313">
        <f t="shared" si="14"/>
        <v>29.425000000000004</v>
      </c>
      <c r="AE32" s="320"/>
    </row>
    <row r="33" spans="1:88" ht="16.5" customHeight="1" x14ac:dyDescent="0.35">
      <c r="B33" s="405" t="s">
        <v>403</v>
      </c>
      <c r="C33" s="49"/>
      <c r="D33" s="362"/>
      <c r="E33" s="49"/>
      <c r="F33" s="49"/>
      <c r="G33" s="49"/>
      <c r="H33" s="50"/>
      <c r="I33" s="50"/>
      <c r="J33" s="50"/>
      <c r="K33" s="50"/>
      <c r="L33" s="50"/>
      <c r="M33" s="320">
        <f>SUM(M34:M38)</f>
        <v>43</v>
      </c>
      <c r="N33" s="320">
        <f t="shared" ref="N33:AC33" si="15">SUM(N34:N38)</f>
        <v>70</v>
      </c>
      <c r="O33" s="320">
        <f t="shared" si="15"/>
        <v>59.999999999999964</v>
      </c>
      <c r="P33" s="323">
        <f t="shared" si="15"/>
        <v>50</v>
      </c>
      <c r="Q33" s="320">
        <f t="shared" si="15"/>
        <v>44.999999999999964</v>
      </c>
      <c r="R33" s="320">
        <f t="shared" si="15"/>
        <v>44.999999999999964</v>
      </c>
      <c r="S33" s="320">
        <f t="shared" si="15"/>
        <v>44.999999999999964</v>
      </c>
      <c r="T33" s="342">
        <f t="shared" si="15"/>
        <v>44.999999999999964</v>
      </c>
      <c r="U33" s="342">
        <f t="shared" si="15"/>
        <v>44.999999999999964</v>
      </c>
      <c r="V33" s="342">
        <f t="shared" si="15"/>
        <v>44.999999999999964</v>
      </c>
      <c r="W33" s="342">
        <f t="shared" si="15"/>
        <v>44.999999999999964</v>
      </c>
      <c r="X33" s="342">
        <f t="shared" si="15"/>
        <v>44.999999999999964</v>
      </c>
      <c r="Y33" s="342">
        <f t="shared" si="15"/>
        <v>19</v>
      </c>
      <c r="Z33" s="342">
        <f t="shared" si="15"/>
        <v>0</v>
      </c>
      <c r="AA33" s="342">
        <f t="shared" si="15"/>
        <v>0</v>
      </c>
      <c r="AB33" s="342">
        <f t="shared" si="15"/>
        <v>0</v>
      </c>
      <c r="AC33" s="406">
        <f t="shared" si="15"/>
        <v>0</v>
      </c>
      <c r="AD33" s="313">
        <f t="shared" si="14"/>
        <v>150.49999999999991</v>
      </c>
      <c r="AE33" s="1457" t="s">
        <v>404</v>
      </c>
      <c r="AF33" s="1458"/>
    </row>
    <row r="34" spans="1:88" x14ac:dyDescent="0.35">
      <c r="B34" s="350" t="s">
        <v>390</v>
      </c>
      <c r="C34" s="49"/>
      <c r="D34" s="362"/>
      <c r="E34" s="49"/>
      <c r="F34" s="49"/>
      <c r="G34" s="49"/>
      <c r="H34" s="50"/>
      <c r="I34" s="50"/>
      <c r="J34" s="50"/>
      <c r="K34" s="50"/>
      <c r="L34" s="50"/>
      <c r="M34" s="320">
        <f>C53/12*4</f>
        <v>9.6666666666666661</v>
      </c>
      <c r="N34" s="320">
        <f>M34</f>
        <v>9.6666666666666661</v>
      </c>
      <c r="O34" s="320">
        <f t="shared" ref="O34:X34" si="16">N34</f>
        <v>9.6666666666666661</v>
      </c>
      <c r="P34" s="323">
        <f t="shared" si="16"/>
        <v>9.6666666666666661</v>
      </c>
      <c r="Q34" s="320">
        <f t="shared" si="16"/>
        <v>9.6666666666666661</v>
      </c>
      <c r="R34" s="320">
        <f t="shared" si="16"/>
        <v>9.6666666666666661</v>
      </c>
      <c r="S34" s="320">
        <f t="shared" si="16"/>
        <v>9.6666666666666661</v>
      </c>
      <c r="T34" s="342">
        <f t="shared" si="16"/>
        <v>9.6666666666666661</v>
      </c>
      <c r="U34" s="342">
        <f t="shared" si="16"/>
        <v>9.6666666666666661</v>
      </c>
      <c r="V34" s="342">
        <f t="shared" si="16"/>
        <v>9.6666666666666661</v>
      </c>
      <c r="W34" s="342">
        <f t="shared" si="16"/>
        <v>9.6666666666666661</v>
      </c>
      <c r="X34" s="342">
        <f t="shared" si="16"/>
        <v>9.6666666666666661</v>
      </c>
      <c r="Y34" s="341"/>
      <c r="Z34" s="341"/>
      <c r="AA34" s="341"/>
      <c r="AB34" s="341"/>
      <c r="AC34" s="407"/>
      <c r="AD34" s="313">
        <f t="shared" si="14"/>
        <v>29.000000000000004</v>
      </c>
      <c r="AE34" s="1457"/>
      <c r="AF34" s="1458"/>
    </row>
    <row r="35" spans="1:88" ht="41.9" customHeight="1" x14ac:dyDescent="0.35">
      <c r="B35" s="350" t="s">
        <v>150</v>
      </c>
      <c r="C35" s="49"/>
      <c r="D35" s="362"/>
      <c r="E35" s="49"/>
      <c r="F35" s="49"/>
      <c r="G35" s="49"/>
      <c r="H35" s="50"/>
      <c r="I35" s="50"/>
      <c r="J35" s="50"/>
      <c r="K35" s="50"/>
      <c r="L35" s="50"/>
      <c r="M35" s="381">
        <f>C64/12*4 - 7</f>
        <v>20.333333333333332</v>
      </c>
      <c r="N35" s="381">
        <f>C64/12*4 + 20</f>
        <v>47.333333333333329</v>
      </c>
      <c r="O35" s="381">
        <v>37.3333333333333</v>
      </c>
      <c r="P35" s="424">
        <v>27.333333333333332</v>
      </c>
      <c r="Q35" s="381">
        <v>22.3333333333333</v>
      </c>
      <c r="R35" s="381">
        <v>22.3333333333333</v>
      </c>
      <c r="S35" s="381">
        <v>22.3333333333333</v>
      </c>
      <c r="T35" s="411">
        <v>22.3333333333333</v>
      </c>
      <c r="U35" s="411">
        <v>22.3333333333333</v>
      </c>
      <c r="V35" s="411">
        <v>22.3333333333333</v>
      </c>
      <c r="W35" s="411">
        <v>22.3333333333333</v>
      </c>
      <c r="X35" s="411">
        <v>22.3333333333333</v>
      </c>
      <c r="Y35" s="411">
        <v>19</v>
      </c>
      <c r="Z35" s="411"/>
      <c r="AA35" s="411"/>
      <c r="AB35" s="411"/>
      <c r="AC35" s="412"/>
      <c r="AD35" s="313">
        <f>SUM(I35:Y35)/4</f>
        <v>82.499999999999943</v>
      </c>
      <c r="AE35" s="418" t="s">
        <v>405</v>
      </c>
    </row>
    <row r="36" spans="1:88" x14ac:dyDescent="0.35">
      <c r="B36" s="350" t="s">
        <v>152</v>
      </c>
      <c r="C36" s="49"/>
      <c r="D36" s="362"/>
      <c r="E36" s="49"/>
      <c r="F36" s="49"/>
      <c r="G36" s="49"/>
      <c r="H36" s="50"/>
      <c r="I36" s="50"/>
      <c r="J36" s="50"/>
      <c r="K36" s="50"/>
      <c r="L36" s="50"/>
      <c r="M36" s="320">
        <f>C65/12*4</f>
        <v>1</v>
      </c>
      <c r="N36" s="320">
        <f>C65/12*4</f>
        <v>1</v>
      </c>
      <c r="O36" s="320">
        <f t="shared" ref="O36:X36" si="17">$C$65/12*4</f>
        <v>1</v>
      </c>
      <c r="P36" s="323">
        <f t="shared" si="17"/>
        <v>1</v>
      </c>
      <c r="Q36" s="320">
        <f t="shared" si="17"/>
        <v>1</v>
      </c>
      <c r="R36" s="320">
        <f t="shared" si="17"/>
        <v>1</v>
      </c>
      <c r="S36" s="320">
        <f t="shared" si="17"/>
        <v>1</v>
      </c>
      <c r="T36" s="342">
        <f t="shared" si="17"/>
        <v>1</v>
      </c>
      <c r="U36" s="342">
        <f t="shared" si="17"/>
        <v>1</v>
      </c>
      <c r="V36" s="342">
        <f t="shared" si="17"/>
        <v>1</v>
      </c>
      <c r="W36" s="342">
        <f t="shared" si="17"/>
        <v>1</v>
      </c>
      <c r="X36" s="342">
        <f t="shared" si="17"/>
        <v>1</v>
      </c>
      <c r="Y36" s="341"/>
      <c r="Z36" s="341"/>
      <c r="AA36" s="341"/>
      <c r="AB36" s="341"/>
      <c r="AC36" s="407"/>
      <c r="AD36" s="313">
        <f t="shared" si="14"/>
        <v>3</v>
      </c>
      <c r="AE36" s="50"/>
    </row>
    <row r="37" spans="1:88" ht="13.4" customHeight="1" x14ac:dyDescent="0.35">
      <c r="B37" s="350" t="s">
        <v>406</v>
      </c>
      <c r="C37" s="49"/>
      <c r="D37" s="362"/>
      <c r="E37" s="49"/>
      <c r="F37" s="49"/>
      <c r="G37" s="49"/>
      <c r="H37" s="50"/>
      <c r="I37" s="50"/>
      <c r="J37" s="50"/>
      <c r="K37" s="50"/>
      <c r="L37" s="50"/>
      <c r="M37" s="320">
        <f t="shared" ref="M37:X37" si="18">$C$66/12*4</f>
        <v>11.333333333333334</v>
      </c>
      <c r="N37" s="320">
        <f t="shared" si="18"/>
        <v>11.333333333333334</v>
      </c>
      <c r="O37" s="320">
        <f t="shared" si="18"/>
        <v>11.333333333333334</v>
      </c>
      <c r="P37" s="323">
        <f t="shared" si="18"/>
        <v>11.333333333333334</v>
      </c>
      <c r="Q37" s="320">
        <f t="shared" si="18"/>
        <v>11.333333333333334</v>
      </c>
      <c r="R37" s="320">
        <f t="shared" si="18"/>
        <v>11.333333333333334</v>
      </c>
      <c r="S37" s="320">
        <f t="shared" si="18"/>
        <v>11.333333333333334</v>
      </c>
      <c r="T37" s="342">
        <f t="shared" si="18"/>
        <v>11.333333333333334</v>
      </c>
      <c r="U37" s="342">
        <f t="shared" si="18"/>
        <v>11.333333333333334</v>
      </c>
      <c r="V37" s="342">
        <f t="shared" si="18"/>
        <v>11.333333333333334</v>
      </c>
      <c r="W37" s="342">
        <f t="shared" si="18"/>
        <v>11.333333333333334</v>
      </c>
      <c r="X37" s="342">
        <f t="shared" si="18"/>
        <v>11.333333333333334</v>
      </c>
      <c r="Y37" s="341"/>
      <c r="Z37" s="341"/>
      <c r="AA37" s="341"/>
      <c r="AB37" s="341"/>
      <c r="AC37" s="407"/>
      <c r="AD37" s="313">
        <f t="shared" si="14"/>
        <v>33.999999999999993</v>
      </c>
      <c r="AE37" s="50"/>
    </row>
    <row r="38" spans="1:88" ht="29.25" customHeight="1" x14ac:dyDescent="0.35">
      <c r="B38" s="350" t="s">
        <v>407</v>
      </c>
      <c r="C38" s="49"/>
      <c r="D38" s="362"/>
      <c r="E38" s="49"/>
      <c r="F38" s="49"/>
      <c r="G38" s="49"/>
      <c r="H38" s="50"/>
      <c r="I38" s="50"/>
      <c r="J38" s="50"/>
      <c r="K38" s="50"/>
      <c r="L38" s="50"/>
      <c r="M38" s="320">
        <f t="shared" ref="M38:X38" si="19">$C$67/12*4</f>
        <v>0.66666666666666663</v>
      </c>
      <c r="N38" s="320">
        <f t="shared" si="19"/>
        <v>0.66666666666666663</v>
      </c>
      <c r="O38" s="320">
        <f t="shared" si="19"/>
        <v>0.66666666666666663</v>
      </c>
      <c r="P38" s="323">
        <f t="shared" si="19"/>
        <v>0.66666666666666663</v>
      </c>
      <c r="Q38" s="320">
        <f t="shared" si="19"/>
        <v>0.66666666666666663</v>
      </c>
      <c r="R38" s="320">
        <f t="shared" si="19"/>
        <v>0.66666666666666663</v>
      </c>
      <c r="S38" s="320">
        <f t="shared" si="19"/>
        <v>0.66666666666666663</v>
      </c>
      <c r="T38" s="342">
        <f t="shared" si="19"/>
        <v>0.66666666666666663</v>
      </c>
      <c r="U38" s="342">
        <f t="shared" si="19"/>
        <v>0.66666666666666663</v>
      </c>
      <c r="V38" s="342">
        <f t="shared" si="19"/>
        <v>0.66666666666666663</v>
      </c>
      <c r="W38" s="342">
        <f t="shared" si="19"/>
        <v>0.66666666666666663</v>
      </c>
      <c r="X38" s="342">
        <f t="shared" si="19"/>
        <v>0.66666666666666663</v>
      </c>
      <c r="Y38" s="341"/>
      <c r="Z38" s="341"/>
      <c r="AA38" s="341"/>
      <c r="AB38" s="341"/>
      <c r="AC38" s="407"/>
      <c r="AD38" s="313">
        <f t="shared" si="14"/>
        <v>2</v>
      </c>
      <c r="AE38" s="50"/>
    </row>
    <row r="39" spans="1:88" ht="44.25" customHeight="1" x14ac:dyDescent="0.35">
      <c r="B39" s="405" t="s">
        <v>408</v>
      </c>
      <c r="C39" s="49"/>
      <c r="D39" s="362"/>
      <c r="E39" s="49"/>
      <c r="F39" s="49"/>
      <c r="G39" s="49"/>
      <c r="H39" s="50"/>
      <c r="I39" s="50"/>
      <c r="J39" s="50"/>
      <c r="K39" s="50"/>
      <c r="L39" s="50"/>
      <c r="M39" s="320"/>
      <c r="N39" s="320">
        <f t="shared" ref="N39:AC39" si="20">SUM(N40:N44)</f>
        <v>954.03959999999972</v>
      </c>
      <c r="O39" s="320">
        <f t="shared" si="20"/>
        <v>85.500399999999999</v>
      </c>
      <c r="P39" s="323">
        <f t="shared" si="20"/>
        <v>83.481000000000009</v>
      </c>
      <c r="Q39" s="320">
        <f t="shared" si="20"/>
        <v>662.76099999999997</v>
      </c>
      <c r="R39" s="320">
        <f t="shared" si="20"/>
        <v>83.481000000000009</v>
      </c>
      <c r="S39" s="320">
        <f t="shared" si="20"/>
        <v>83.481000000000009</v>
      </c>
      <c r="T39" s="342">
        <f t="shared" si="20"/>
        <v>62.811999999999998</v>
      </c>
      <c r="U39" s="342">
        <f t="shared" si="20"/>
        <v>62.811999999999998</v>
      </c>
      <c r="V39" s="342">
        <f t="shared" si="20"/>
        <v>62.811999999999998</v>
      </c>
      <c r="W39" s="342">
        <f t="shared" si="20"/>
        <v>62.811999999999998</v>
      </c>
      <c r="X39" s="342">
        <f t="shared" si="20"/>
        <v>41.554000000000002</v>
      </c>
      <c r="Y39" s="342">
        <f t="shared" si="20"/>
        <v>41.554000000000002</v>
      </c>
      <c r="Z39" s="342">
        <f t="shared" si="20"/>
        <v>41.554000000000002</v>
      </c>
      <c r="AA39" s="342">
        <f t="shared" si="20"/>
        <v>41.554000000000002</v>
      </c>
      <c r="AB39" s="342">
        <f t="shared" si="20"/>
        <v>27.678000000000001</v>
      </c>
      <c r="AC39" s="406">
        <f t="shared" si="20"/>
        <v>27.678000000000001</v>
      </c>
      <c r="AD39" s="313">
        <f t="shared" si="14"/>
        <v>571.77499999999986</v>
      </c>
      <c r="AE39" s="1457" t="s">
        <v>409</v>
      </c>
      <c r="AF39" s="1458"/>
    </row>
    <row r="40" spans="1:88" ht="17.899999999999999" customHeight="1" x14ac:dyDescent="0.35">
      <c r="B40" s="350" t="s">
        <v>395</v>
      </c>
      <c r="C40" s="49"/>
      <c r="D40" s="362"/>
      <c r="E40" s="49"/>
      <c r="F40" s="49"/>
      <c r="G40" s="49"/>
      <c r="H40" s="50"/>
      <c r="I40" s="50"/>
      <c r="J40" s="50"/>
      <c r="K40" s="50"/>
      <c r="L40" s="50"/>
      <c r="M40" s="320"/>
      <c r="N40" s="320">
        <f>0.6*C69*4</f>
        <v>868.91999999999985</v>
      </c>
      <c r="O40" s="320"/>
      <c r="P40" s="323"/>
      <c r="Q40" s="320">
        <f>0.4*C69*4</f>
        <v>579.28</v>
      </c>
      <c r="R40" s="320"/>
      <c r="S40" s="320"/>
      <c r="T40" s="342"/>
      <c r="U40" s="342"/>
      <c r="V40" s="342"/>
      <c r="W40" s="342"/>
      <c r="X40" s="342"/>
      <c r="Y40" s="342"/>
      <c r="Z40" s="342"/>
      <c r="AA40" s="342"/>
      <c r="AB40" s="342"/>
      <c r="AC40" s="406"/>
      <c r="AD40" s="313">
        <f t="shared" si="14"/>
        <v>362.04999999999995</v>
      </c>
      <c r="AE40" s="374" t="s">
        <v>410</v>
      </c>
      <c r="AF40" s="374"/>
    </row>
    <row r="41" spans="1:88" x14ac:dyDescent="0.35">
      <c r="B41" s="350" t="s">
        <v>150</v>
      </c>
      <c r="C41" s="49"/>
      <c r="D41" s="362"/>
      <c r="E41" s="49"/>
      <c r="F41" s="49"/>
      <c r="G41" s="49"/>
      <c r="H41" s="50"/>
      <c r="I41" s="50"/>
      <c r="J41" s="50"/>
      <c r="K41" s="50"/>
      <c r="L41" s="50"/>
      <c r="M41" s="320"/>
      <c r="N41" s="320">
        <f>'ARP Quarterly'!D9</f>
        <v>24.693999999999999</v>
      </c>
      <c r="O41" s="320">
        <f>'ARP Quarterly'!E9</f>
        <v>24.693999999999999</v>
      </c>
      <c r="P41" s="323">
        <f>'ARP Quarterly'!F9</f>
        <v>46.79</v>
      </c>
      <c r="Q41" s="320">
        <f>'ARP Quarterly'!G9</f>
        <v>46.79</v>
      </c>
      <c r="R41" s="320">
        <f>'ARP Quarterly'!H9</f>
        <v>46.79</v>
      </c>
      <c r="S41" s="320">
        <f>'ARP Quarterly'!I9</f>
        <v>46.79</v>
      </c>
      <c r="T41" s="342">
        <f>'ARP Quarterly'!J9</f>
        <v>38.595999999999997</v>
      </c>
      <c r="U41" s="342">
        <f>'ARP Quarterly'!K9</f>
        <v>38.595999999999997</v>
      </c>
      <c r="V41" s="342">
        <f>'ARP Quarterly'!L9</f>
        <v>38.595999999999997</v>
      </c>
      <c r="W41" s="342">
        <f>'ARP Quarterly'!M9</f>
        <v>38.595999999999997</v>
      </c>
      <c r="X41" s="342">
        <f>'ARP Quarterly'!N9</f>
        <v>31.911000000000001</v>
      </c>
      <c r="Y41" s="342">
        <f>'ARP Quarterly'!O9</f>
        <v>31.911000000000001</v>
      </c>
      <c r="Z41" s="342">
        <f>'ARP Quarterly'!P9</f>
        <v>31.911000000000001</v>
      </c>
      <c r="AA41" s="342">
        <f>'ARP Quarterly'!Q9</f>
        <v>31.911000000000001</v>
      </c>
      <c r="AB41" s="342">
        <f>'ARP Quarterly'!R9</f>
        <v>23.099</v>
      </c>
      <c r="AC41" s="406">
        <f>'ARP Quarterly'!S9</f>
        <v>23.099</v>
      </c>
      <c r="AD41" s="313">
        <f t="shared" si="14"/>
        <v>113.68849999999999</v>
      </c>
      <c r="AE41" s="320"/>
    </row>
    <row r="42" spans="1:88" x14ac:dyDescent="0.35">
      <c r="B42" s="350" t="s">
        <v>152</v>
      </c>
      <c r="C42" s="49"/>
      <c r="D42" s="362"/>
      <c r="E42" s="49"/>
      <c r="F42" s="49"/>
      <c r="G42" s="49"/>
      <c r="H42" s="50"/>
      <c r="I42" s="50"/>
      <c r="J42" s="50"/>
      <c r="K42" s="50"/>
      <c r="L42" s="50"/>
      <c r="M42" s="320"/>
      <c r="N42" s="320">
        <f>'ARP Quarterly'!D14</f>
        <v>1.1696</v>
      </c>
      <c r="O42" s="320">
        <f>'ARP Quarterly'!E14</f>
        <v>1.5503999999999998</v>
      </c>
      <c r="P42" s="323">
        <f>'ARP Quarterly'!F14</f>
        <v>1.02</v>
      </c>
      <c r="Q42" s="320">
        <f>'ARP Quarterly'!G14</f>
        <v>1.02</v>
      </c>
      <c r="R42" s="320">
        <f>'ARP Quarterly'!H14</f>
        <v>1.02</v>
      </c>
      <c r="S42" s="320">
        <f>'ARP Quarterly'!I14</f>
        <v>1.02</v>
      </c>
      <c r="T42" s="342">
        <f>'ARP Quarterly'!J14</f>
        <v>0</v>
      </c>
      <c r="U42" s="342">
        <f>'ARP Quarterly'!K14</f>
        <v>0</v>
      </c>
      <c r="V42" s="342">
        <f>'ARP Quarterly'!L14</f>
        <v>0</v>
      </c>
      <c r="W42" s="342">
        <f>'ARP Quarterly'!M14</f>
        <v>0</v>
      </c>
      <c r="X42" s="342">
        <f>'ARP Quarterly'!N14</f>
        <v>0</v>
      </c>
      <c r="Y42" s="342">
        <f>'ARP Quarterly'!O14</f>
        <v>0</v>
      </c>
      <c r="Z42" s="342">
        <f>'ARP Quarterly'!P14</f>
        <v>0</v>
      </c>
      <c r="AA42" s="342">
        <f>'ARP Quarterly'!Q14</f>
        <v>0</v>
      </c>
      <c r="AB42" s="342">
        <f>'ARP Quarterly'!R14</f>
        <v>0</v>
      </c>
      <c r="AC42" s="406">
        <f>'ARP Quarterly'!S14</f>
        <v>0</v>
      </c>
      <c r="AD42" s="313">
        <f t="shared" si="14"/>
        <v>1.6999999999999997</v>
      </c>
      <c r="AE42" s="320"/>
    </row>
    <row r="43" spans="1:88" x14ac:dyDescent="0.35">
      <c r="B43" s="350" t="s">
        <v>411</v>
      </c>
      <c r="C43" s="49"/>
      <c r="D43" s="362"/>
      <c r="E43" s="49"/>
      <c r="F43" s="49"/>
      <c r="G43" s="49"/>
      <c r="H43" s="50"/>
      <c r="I43" s="50"/>
      <c r="J43" s="50"/>
      <c r="K43" s="50"/>
      <c r="L43" s="50"/>
      <c r="M43" s="320"/>
      <c r="N43" s="320">
        <f>'ARP Quarterly'!D10</f>
        <v>59.256</v>
      </c>
      <c r="O43" s="320">
        <f>'ARP Quarterly'!E10</f>
        <v>59.256</v>
      </c>
      <c r="P43" s="323">
        <f>'ARP Quarterly'!F10</f>
        <v>35.671000000000006</v>
      </c>
      <c r="Q43" s="320">
        <f>'ARP Quarterly'!G10</f>
        <v>35.671000000000006</v>
      </c>
      <c r="R43" s="320">
        <f>'ARP Quarterly'!H10</f>
        <v>35.671000000000006</v>
      </c>
      <c r="S43" s="320">
        <f>'ARP Quarterly'!I10</f>
        <v>35.671000000000006</v>
      </c>
      <c r="T43" s="342">
        <f>'ARP Quarterly'!J10</f>
        <v>24.216000000000001</v>
      </c>
      <c r="U43" s="342">
        <f>'ARP Quarterly'!K10</f>
        <v>24.216000000000001</v>
      </c>
      <c r="V43" s="342">
        <f>'ARP Quarterly'!L10</f>
        <v>24.216000000000001</v>
      </c>
      <c r="W43" s="342">
        <f>'ARP Quarterly'!M10</f>
        <v>24.216000000000001</v>
      </c>
      <c r="X43" s="342">
        <f>'ARP Quarterly'!N10</f>
        <v>9.6430000000000007</v>
      </c>
      <c r="Y43" s="342">
        <f>'ARP Quarterly'!O10</f>
        <v>9.6430000000000007</v>
      </c>
      <c r="Z43" s="342">
        <f>'ARP Quarterly'!P10</f>
        <v>9.6430000000000007</v>
      </c>
      <c r="AA43" s="342">
        <f>'ARP Quarterly'!Q10</f>
        <v>9.6430000000000007</v>
      </c>
      <c r="AB43" s="342">
        <f>'ARP Quarterly'!R10</f>
        <v>4.5789999999999997</v>
      </c>
      <c r="AC43" s="406">
        <f>'ARP Quarterly'!S10</f>
        <v>4.5789999999999997</v>
      </c>
      <c r="AD43" s="313">
        <f t="shared" si="14"/>
        <v>94.336500000000001</v>
      </c>
      <c r="AE43" s="320"/>
    </row>
    <row r="44" spans="1:88" x14ac:dyDescent="0.35">
      <c r="A44" s="10"/>
      <c r="B44" s="369"/>
      <c r="C44" s="366"/>
      <c r="D44" s="364"/>
      <c r="E44" s="366"/>
      <c r="F44" s="366"/>
      <c r="G44" s="366"/>
      <c r="H44" s="371"/>
      <c r="I44" s="371"/>
      <c r="J44" s="371"/>
      <c r="K44" s="371"/>
      <c r="L44" s="371"/>
      <c r="M44" s="382"/>
      <c r="N44" s="382"/>
      <c r="O44" s="382"/>
      <c r="P44" s="397"/>
      <c r="Q44" s="382"/>
      <c r="R44" s="382"/>
      <c r="S44" s="382"/>
      <c r="T44" s="375"/>
      <c r="U44" s="375"/>
      <c r="V44" s="375"/>
      <c r="W44" s="375"/>
      <c r="X44" s="375"/>
      <c r="Y44" s="375"/>
      <c r="Z44" s="375"/>
      <c r="AA44" s="375"/>
      <c r="AB44" s="375"/>
      <c r="AC44" s="376"/>
      <c r="AD44" s="397"/>
      <c r="AE44" s="32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row>
    <row r="45" spans="1:88" x14ac:dyDescent="0.35">
      <c r="B45" s="348"/>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348"/>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77"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414" t="s">
        <v>413</v>
      </c>
      <c r="C48" s="415" t="s">
        <v>414</v>
      </c>
      <c r="D48" s="416" t="s">
        <v>415</v>
      </c>
      <c r="E48" s="390" t="s">
        <v>416</v>
      </c>
      <c r="F48" s="50"/>
      <c r="G48" s="50"/>
      <c r="H48" s="50"/>
      <c r="I48" s="50"/>
      <c r="J48" s="50"/>
      <c r="K48" s="50"/>
      <c r="L48" s="50"/>
      <c r="M48" s="50"/>
      <c r="N48" s="50"/>
      <c r="O48" s="50"/>
      <c r="P48" s="50"/>
      <c r="Q48" s="50"/>
      <c r="R48" s="50"/>
      <c r="S48" s="50"/>
      <c r="T48" s="50"/>
      <c r="U48" s="50"/>
      <c r="V48" s="50"/>
      <c r="W48" s="50"/>
    </row>
    <row r="49" spans="2:34" ht="18.75" customHeight="1" x14ac:dyDescent="0.35">
      <c r="B49" s="421" t="s">
        <v>417</v>
      </c>
      <c r="C49" s="372">
        <f>SUM(C50:C55)</f>
        <v>898.11599999999999</v>
      </c>
      <c r="D49" s="50">
        <f>SUM(D50:D54)</f>
        <v>202.36666666666667</v>
      </c>
      <c r="E49" s="169">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420" t="s">
        <v>149</v>
      </c>
      <c r="C50" s="372">
        <f>C59</f>
        <v>150</v>
      </c>
      <c r="D50" s="50">
        <f>SUM(H12:M12)/4</f>
        <v>149.47499999999999</v>
      </c>
      <c r="E50" s="313">
        <f>C50-D50</f>
        <v>0.52500000000000568</v>
      </c>
      <c r="F50" s="50"/>
      <c r="G50" s="50"/>
      <c r="H50" s="50"/>
      <c r="I50" s="361"/>
      <c r="J50" s="361"/>
      <c r="K50" s="361"/>
      <c r="L50" s="361"/>
      <c r="M50" s="361"/>
      <c r="N50" s="361"/>
      <c r="O50" s="361"/>
      <c r="P50" s="361"/>
      <c r="Q50" s="50"/>
      <c r="R50" s="50"/>
      <c r="S50" s="50"/>
      <c r="T50" s="50"/>
      <c r="U50" s="50"/>
      <c r="V50" s="50"/>
      <c r="W50" s="50"/>
    </row>
    <row r="51" spans="2:34" x14ac:dyDescent="0.35">
      <c r="B51" s="420" t="s">
        <v>150</v>
      </c>
      <c r="C51" s="425">
        <f>C60+C64+C70</f>
        <v>273.16899999999998</v>
      </c>
      <c r="D51" s="50">
        <f>SUM(H13:M13)/4</f>
        <v>22.075000000000003</v>
      </c>
      <c r="E51" s="313">
        <f>C51-D51</f>
        <v>251.09399999999999</v>
      </c>
      <c r="F51" s="50"/>
      <c r="G51" s="50"/>
      <c r="H51" s="50"/>
      <c r="I51" s="361"/>
      <c r="J51" s="361"/>
      <c r="K51" s="361"/>
      <c r="L51" s="361"/>
      <c r="M51" s="361"/>
      <c r="N51" s="361"/>
      <c r="O51" s="361"/>
      <c r="P51" s="361"/>
      <c r="Q51" s="50"/>
      <c r="R51" s="50"/>
      <c r="S51" s="50"/>
      <c r="T51" s="50"/>
      <c r="U51" s="50"/>
      <c r="V51" s="50"/>
      <c r="W51" s="50"/>
    </row>
    <row r="52" spans="2:34" x14ac:dyDescent="0.35">
      <c r="B52" s="420" t="s">
        <v>152</v>
      </c>
      <c r="C52" s="297">
        <f>C61+C71+C65</f>
        <v>38.5</v>
      </c>
      <c r="D52" s="50">
        <f>SUM(H14:M14)/4</f>
        <v>28.400000000000002</v>
      </c>
      <c r="E52" s="313">
        <f>C52-D52</f>
        <v>10.099999999999998</v>
      </c>
      <c r="F52" s="50"/>
      <c r="G52" s="50"/>
      <c r="H52" s="50"/>
      <c r="I52" s="361"/>
      <c r="J52" s="361"/>
      <c r="K52" s="361"/>
      <c r="L52" s="361"/>
      <c r="M52" s="361"/>
      <c r="N52" s="361"/>
      <c r="O52" s="361"/>
      <c r="P52" s="361"/>
      <c r="Q52" s="1463"/>
      <c r="R52" s="1463"/>
      <c r="S52" s="1463"/>
      <c r="T52" s="1463"/>
      <c r="U52" s="1463"/>
      <c r="V52" s="1463"/>
      <c r="W52" s="1463"/>
      <c r="X52" s="1463"/>
      <c r="Y52" s="1463"/>
      <c r="Z52" s="1463"/>
      <c r="AA52" s="1463"/>
      <c r="AB52" s="1463"/>
      <c r="AC52" s="1463"/>
      <c r="AD52" s="1463"/>
      <c r="AE52" s="1463"/>
      <c r="AF52" s="1463"/>
      <c r="AG52" s="1463"/>
      <c r="AH52" s="1463"/>
    </row>
    <row r="53" spans="2:34" ht="17.25" customHeight="1" x14ac:dyDescent="0.35">
      <c r="B53" s="420" t="s">
        <v>418</v>
      </c>
      <c r="C53" s="297">
        <f>C63</f>
        <v>29</v>
      </c>
      <c r="D53" s="50">
        <f>SUM(H15:M15)/4</f>
        <v>2.4166666666666665</v>
      </c>
      <c r="E53" s="313">
        <f>C53-D53</f>
        <v>26.583333333333332</v>
      </c>
      <c r="F53" s="50"/>
      <c r="G53" s="50"/>
      <c r="H53" s="50"/>
      <c r="I53" s="361"/>
      <c r="J53" s="361"/>
      <c r="K53" s="361"/>
      <c r="L53" s="361"/>
      <c r="M53" s="361"/>
      <c r="N53" s="361"/>
      <c r="O53" s="361"/>
      <c r="P53" s="361"/>
      <c r="Q53" s="1464"/>
      <c r="R53" s="1464"/>
      <c r="S53" s="1464"/>
      <c r="T53" s="1464"/>
      <c r="U53" s="1464"/>
      <c r="V53" s="1464"/>
      <c r="W53" s="1464"/>
      <c r="X53" s="1464"/>
      <c r="Y53" s="1464"/>
      <c r="Z53" s="159"/>
      <c r="AA53" s="159"/>
      <c r="AB53" s="159"/>
      <c r="AC53" s="159"/>
      <c r="AD53" s="1464"/>
      <c r="AE53" s="1464"/>
      <c r="AF53" s="1464"/>
      <c r="AG53" s="1464"/>
      <c r="AH53" s="159"/>
    </row>
    <row r="54" spans="2:34" ht="15.75" customHeight="1" x14ac:dyDescent="0.35">
      <c r="B54" s="420" t="s">
        <v>395</v>
      </c>
      <c r="C54" s="297">
        <f>C69</f>
        <v>362.04999999999995</v>
      </c>
      <c r="D54" s="50">
        <v>0</v>
      </c>
      <c r="E54" s="313">
        <f>C54-D54</f>
        <v>362.04999999999995</v>
      </c>
      <c r="F54" s="50"/>
      <c r="G54" s="50"/>
      <c r="H54" s="50"/>
      <c r="I54" s="361"/>
      <c r="J54" s="361"/>
      <c r="K54" s="361"/>
      <c r="L54" s="361"/>
      <c r="M54" s="361"/>
      <c r="N54" s="361"/>
      <c r="O54" s="361"/>
      <c r="P54" s="361"/>
      <c r="Q54" s="159"/>
      <c r="R54" s="159"/>
      <c r="S54" s="159"/>
      <c r="T54" s="159"/>
      <c r="U54" s="159"/>
      <c r="V54" s="159"/>
      <c r="W54" s="159"/>
      <c r="X54" s="159"/>
      <c r="Y54" s="159"/>
      <c r="Z54" s="159"/>
      <c r="AA54" s="159"/>
      <c r="AB54" s="159"/>
      <c r="AC54" s="159"/>
      <c r="AD54" s="159"/>
      <c r="AE54" s="159"/>
      <c r="AF54" s="159"/>
      <c r="AG54" s="159"/>
      <c r="AH54" s="159"/>
    </row>
    <row r="55" spans="2:34" ht="15" customHeight="1" x14ac:dyDescent="0.35">
      <c r="B55" s="419" t="s">
        <v>419</v>
      </c>
      <c r="C55" s="372">
        <f>C72+C73+C66+C67</f>
        <v>45.396999999999998</v>
      </c>
      <c r="D55" s="50"/>
      <c r="E55" s="313"/>
      <c r="F55" s="50"/>
      <c r="G55" s="50"/>
      <c r="H55" s="50"/>
      <c r="I55" s="361"/>
      <c r="J55" s="361"/>
      <c r="K55" s="361"/>
      <c r="L55" s="361"/>
      <c r="M55" s="361"/>
      <c r="N55" s="361"/>
      <c r="O55" s="361"/>
      <c r="P55" s="361"/>
      <c r="Q55" s="50"/>
      <c r="R55" s="50"/>
      <c r="S55" s="50"/>
      <c r="T55" s="50"/>
      <c r="U55" s="50"/>
      <c r="V55" s="50"/>
      <c r="W55" s="50"/>
    </row>
    <row r="56" spans="2:34" ht="5.25" customHeight="1" x14ac:dyDescent="0.35">
      <c r="B56" s="419"/>
      <c r="C56" s="372"/>
      <c r="D56" s="50"/>
      <c r="E56" s="313"/>
      <c r="F56" s="50"/>
      <c r="G56" s="50"/>
      <c r="H56" s="50"/>
      <c r="I56" s="361"/>
      <c r="J56" s="361"/>
      <c r="K56" s="361"/>
      <c r="L56" s="361"/>
      <c r="M56" s="361"/>
      <c r="N56" s="361"/>
      <c r="O56" s="361"/>
      <c r="P56" s="361"/>
      <c r="Q56" s="50"/>
      <c r="R56" s="50"/>
      <c r="S56" s="50"/>
      <c r="T56" s="50"/>
      <c r="U56" s="50"/>
      <c r="V56" s="50"/>
      <c r="W56" s="50"/>
    </row>
    <row r="57" spans="2:34" ht="18.75" customHeight="1" x14ac:dyDescent="0.35">
      <c r="B57" s="421" t="s">
        <v>420</v>
      </c>
      <c r="C57" s="297">
        <f>C58+C62+C68</f>
        <v>898.11599999999999</v>
      </c>
      <c r="D57" s="50"/>
      <c r="E57" s="313"/>
      <c r="F57" s="50"/>
      <c r="G57" s="50"/>
      <c r="H57" s="50"/>
      <c r="I57" s="361"/>
      <c r="J57" s="361"/>
      <c r="K57" s="361"/>
      <c r="L57" s="361"/>
      <c r="M57" s="361"/>
      <c r="N57" s="361"/>
      <c r="O57" s="361"/>
      <c r="P57" s="361"/>
      <c r="Q57" s="50"/>
      <c r="R57" s="50"/>
      <c r="S57" s="50"/>
      <c r="T57" s="50"/>
      <c r="U57" s="50"/>
      <c r="V57" s="50"/>
      <c r="W57" s="50"/>
    </row>
    <row r="58" spans="2:34" ht="16.399999999999999" customHeight="1" x14ac:dyDescent="0.35">
      <c r="B58" s="405" t="s">
        <v>401</v>
      </c>
      <c r="C58" s="297">
        <f>SUM(C59:C61)</f>
        <v>199</v>
      </c>
      <c r="D58" s="50"/>
      <c r="E58" s="313"/>
      <c r="F58" s="50"/>
      <c r="G58" s="50"/>
      <c r="H58" s="50"/>
      <c r="I58" s="361"/>
      <c r="J58" s="361"/>
      <c r="K58" s="361"/>
      <c r="L58" s="361"/>
      <c r="M58" s="361"/>
      <c r="N58" s="361"/>
      <c r="O58" s="361"/>
      <c r="P58" s="361"/>
      <c r="Q58" s="50"/>
      <c r="R58" s="50"/>
      <c r="S58" s="50"/>
      <c r="T58" s="50"/>
      <c r="U58" s="50"/>
      <c r="V58" s="50"/>
      <c r="W58" s="50"/>
    </row>
    <row r="59" spans="2:34" ht="20.9" customHeight="1" x14ac:dyDescent="0.35">
      <c r="B59" s="350" t="s">
        <v>149</v>
      </c>
      <c r="C59" s="297">
        <v>150</v>
      </c>
      <c r="D59" s="50"/>
      <c r="E59" s="313"/>
      <c r="F59" s="50"/>
      <c r="G59" s="50"/>
      <c r="H59" s="50"/>
      <c r="I59" s="361"/>
      <c r="J59" s="361"/>
      <c r="K59" s="361"/>
      <c r="L59" s="361"/>
      <c r="M59" s="361"/>
      <c r="N59" s="361"/>
      <c r="O59" s="361"/>
      <c r="P59" s="361"/>
      <c r="Q59" s="50"/>
      <c r="R59" s="50"/>
      <c r="S59" s="50"/>
      <c r="T59" s="50"/>
      <c r="U59" s="50"/>
      <c r="V59" s="50"/>
      <c r="W59" s="50"/>
    </row>
    <row r="60" spans="2:34" ht="16.5" customHeight="1" x14ac:dyDescent="0.35">
      <c r="B60" s="350" t="s">
        <v>150</v>
      </c>
      <c r="C60" s="425">
        <v>22</v>
      </c>
      <c r="D60" s="168"/>
      <c r="E60" s="313"/>
      <c r="F60" s="50"/>
      <c r="G60" s="50"/>
      <c r="H60" s="50"/>
      <c r="I60" s="361"/>
      <c r="J60" s="361"/>
      <c r="K60" s="361"/>
      <c r="L60" s="361"/>
      <c r="M60" s="361"/>
      <c r="N60" s="361"/>
      <c r="O60" s="361"/>
      <c r="P60" s="361"/>
      <c r="Q60" s="50"/>
      <c r="R60" s="50"/>
      <c r="S60" s="50"/>
      <c r="T60" s="50"/>
      <c r="U60" s="50"/>
      <c r="V60" s="50"/>
      <c r="W60" s="50"/>
    </row>
    <row r="61" spans="2:34" x14ac:dyDescent="0.35">
      <c r="B61" s="350" t="s">
        <v>152</v>
      </c>
      <c r="C61" s="297">
        <v>27</v>
      </c>
      <c r="D61" s="50"/>
      <c r="E61" s="313"/>
      <c r="F61" s="49"/>
      <c r="G61" s="50"/>
      <c r="H61" s="50"/>
      <c r="I61" s="361"/>
      <c r="J61" s="361"/>
      <c r="K61" s="361"/>
      <c r="L61" s="361"/>
      <c r="M61" s="361"/>
      <c r="N61" s="361"/>
      <c r="P61" s="361"/>
      <c r="Q61" s="50"/>
      <c r="R61" s="50"/>
      <c r="S61" s="50"/>
      <c r="T61" s="50"/>
      <c r="U61" s="50"/>
      <c r="V61" s="50"/>
      <c r="W61" s="50"/>
    </row>
    <row r="62" spans="2:34" ht="15" customHeight="1" x14ac:dyDescent="0.35">
      <c r="B62" s="405" t="s">
        <v>403</v>
      </c>
      <c r="C62" s="297">
        <f>SUM(C63:C67)</f>
        <v>150</v>
      </c>
      <c r="D62" s="50"/>
      <c r="E62" s="313"/>
      <c r="F62" s="50"/>
      <c r="G62" s="50"/>
      <c r="H62" s="50"/>
      <c r="I62" s="50"/>
      <c r="J62" s="50"/>
      <c r="K62" s="50"/>
      <c r="L62" s="50"/>
      <c r="M62" s="50"/>
      <c r="N62" s="50"/>
      <c r="P62" s="50"/>
      <c r="Q62" s="50"/>
      <c r="R62" s="50"/>
      <c r="S62" s="50"/>
      <c r="T62" s="50"/>
      <c r="U62" s="50"/>
      <c r="V62" s="50"/>
      <c r="W62" s="50"/>
    </row>
    <row r="63" spans="2:34" ht="17.25" customHeight="1" x14ac:dyDescent="0.35">
      <c r="B63" s="350" t="s">
        <v>390</v>
      </c>
      <c r="C63" s="297">
        <f>'Response and Relief Act Score'!F7</f>
        <v>29</v>
      </c>
      <c r="D63" s="50"/>
      <c r="E63" s="313"/>
      <c r="F63" s="50"/>
      <c r="G63" s="50"/>
      <c r="H63" s="50"/>
      <c r="I63" s="50"/>
    </row>
    <row r="64" spans="2:34" x14ac:dyDescent="0.35">
      <c r="B64" s="350" t="s">
        <v>150</v>
      </c>
      <c r="C64" s="297">
        <f>'Response and Relief Act Score'!F5</f>
        <v>82</v>
      </c>
      <c r="D64" s="50"/>
      <c r="E64" s="313"/>
      <c r="F64" s="50"/>
      <c r="G64" s="50"/>
      <c r="H64" s="50"/>
      <c r="I64" s="50"/>
      <c r="J64" s="50"/>
      <c r="K64" s="50"/>
      <c r="L64" s="50"/>
      <c r="M64" s="50"/>
      <c r="N64" s="50"/>
      <c r="P64" s="50"/>
      <c r="Q64" s="50"/>
      <c r="R64" s="50"/>
      <c r="S64" s="50"/>
      <c r="T64" s="50"/>
      <c r="U64" s="50"/>
      <c r="V64" s="50"/>
      <c r="W64" s="50"/>
    </row>
    <row r="65" spans="1:31" x14ac:dyDescent="0.35">
      <c r="B65" s="350" t="s">
        <v>152</v>
      </c>
      <c r="C65" s="297">
        <f>'Response and Relief Act Score'!F6</f>
        <v>3</v>
      </c>
      <c r="D65" s="50"/>
      <c r="E65" s="313"/>
      <c r="F65" s="50"/>
      <c r="G65" s="50"/>
      <c r="H65" s="50"/>
      <c r="I65" s="50"/>
      <c r="J65" s="50"/>
      <c r="K65" s="50"/>
      <c r="L65" s="50"/>
      <c r="M65" s="50"/>
      <c r="N65" s="50"/>
      <c r="P65" s="50"/>
      <c r="Q65" s="50"/>
      <c r="R65" s="50"/>
      <c r="S65" s="50"/>
      <c r="T65" s="50"/>
      <c r="U65" s="50"/>
      <c r="V65" s="50"/>
      <c r="W65" s="50"/>
    </row>
    <row r="66" spans="1:31" ht="29.25" customHeight="1" x14ac:dyDescent="0.35">
      <c r="B66" s="350" t="s">
        <v>406</v>
      </c>
      <c r="C66" s="297">
        <f>'Response and Relief Act Score'!F9</f>
        <v>34</v>
      </c>
      <c r="D66" s="50"/>
      <c r="E66" s="313"/>
      <c r="F66" s="50"/>
      <c r="G66" s="50"/>
      <c r="H66" s="50"/>
      <c r="I66" s="378"/>
      <c r="J66" s="50"/>
      <c r="K66" s="50"/>
      <c r="L66" s="50"/>
      <c r="M66" s="50"/>
      <c r="N66" s="50"/>
      <c r="O66" s="361"/>
      <c r="P66" s="50"/>
      <c r="Q66" s="50"/>
      <c r="R66" s="50"/>
      <c r="S66" s="50"/>
      <c r="T66" s="50"/>
      <c r="U66" s="50"/>
      <c r="V66" s="50"/>
      <c r="W66" s="50"/>
    </row>
    <row r="67" spans="1:31" ht="12.75" customHeight="1" x14ac:dyDescent="0.35">
      <c r="B67" s="350" t="s">
        <v>407</v>
      </c>
      <c r="C67" s="297">
        <f>'Response and Relief Act Score'!F8</f>
        <v>2</v>
      </c>
      <c r="D67" s="50"/>
      <c r="E67" s="313"/>
      <c r="F67" s="50"/>
      <c r="G67" s="50"/>
      <c r="H67" s="50"/>
      <c r="I67" s="50"/>
      <c r="J67" s="50"/>
      <c r="K67" s="50"/>
      <c r="L67" s="50"/>
      <c r="M67" s="50"/>
      <c r="N67" s="50"/>
      <c r="O67" s="50"/>
      <c r="P67" s="50"/>
      <c r="Q67" s="50"/>
      <c r="R67" s="50"/>
      <c r="S67" s="50"/>
      <c r="T67" s="50"/>
      <c r="U67" s="50"/>
      <c r="V67" s="50"/>
      <c r="W67" s="50"/>
    </row>
    <row r="68" spans="1:31" x14ac:dyDescent="0.35">
      <c r="A68" s="368"/>
      <c r="B68" s="365" t="s">
        <v>408</v>
      </c>
      <c r="C68" s="372">
        <f>SUM(C69:C73)</f>
        <v>549.11599999999999</v>
      </c>
      <c r="D68" s="50"/>
      <c r="E68" s="313"/>
      <c r="F68" s="50"/>
      <c r="G68" s="50"/>
      <c r="H68" s="50"/>
      <c r="I68" s="50"/>
      <c r="J68" s="50"/>
      <c r="K68" s="50"/>
      <c r="L68" s="50"/>
      <c r="M68" s="50"/>
      <c r="N68" s="50"/>
      <c r="P68" s="50"/>
      <c r="Q68" s="50"/>
      <c r="R68" s="50"/>
      <c r="S68" s="50"/>
      <c r="T68" s="50"/>
      <c r="U68" s="50"/>
      <c r="V68" s="50"/>
      <c r="W68" s="50"/>
    </row>
    <row r="69" spans="1:31" ht="16.399999999999999" customHeight="1" x14ac:dyDescent="0.35">
      <c r="A69" s="368"/>
      <c r="B69" s="367" t="s">
        <v>395</v>
      </c>
      <c r="C69" s="372">
        <f>'ARP Score'!AJ16</f>
        <v>362.04999999999995</v>
      </c>
      <c r="D69" s="50"/>
      <c r="E69" s="313"/>
      <c r="F69" s="50"/>
      <c r="G69" s="50"/>
      <c r="H69" s="50"/>
      <c r="I69" s="50"/>
      <c r="J69" s="50"/>
      <c r="K69" s="50"/>
      <c r="L69" s="50"/>
      <c r="M69" s="50"/>
      <c r="N69" s="50"/>
      <c r="O69" s="50"/>
      <c r="P69" s="50"/>
      <c r="Q69" s="50"/>
      <c r="R69" s="50"/>
      <c r="S69" s="50"/>
      <c r="T69" s="50"/>
      <c r="U69" s="50"/>
      <c r="V69" s="50"/>
      <c r="W69" s="50"/>
    </row>
    <row r="70" spans="1:31" ht="15" customHeight="1" x14ac:dyDescent="0.35">
      <c r="A70" s="1453"/>
      <c r="B70" s="367" t="s">
        <v>150</v>
      </c>
      <c r="C70" s="372">
        <f>'ARP Score'!AL16</f>
        <v>169.16899999999998</v>
      </c>
      <c r="D70" s="50"/>
      <c r="E70" s="313"/>
      <c r="F70" s="50"/>
      <c r="G70" s="50"/>
      <c r="H70" s="50"/>
      <c r="I70" s="50"/>
      <c r="J70" s="50"/>
      <c r="K70" s="50"/>
      <c r="L70" s="50"/>
      <c r="M70" s="50"/>
      <c r="N70" s="50"/>
      <c r="O70" s="50"/>
      <c r="P70" s="50"/>
      <c r="Q70" s="370"/>
      <c r="R70" s="50"/>
      <c r="S70" s="50"/>
      <c r="T70" s="50"/>
      <c r="U70" s="50"/>
      <c r="V70" s="50"/>
      <c r="W70" s="50"/>
    </row>
    <row r="71" spans="1:31" x14ac:dyDescent="0.35">
      <c r="A71" s="1453"/>
      <c r="B71" s="367" t="s">
        <v>152</v>
      </c>
      <c r="C71" s="372">
        <f>'ARP Score'!AK16</f>
        <v>8.5</v>
      </c>
      <c r="D71" s="50"/>
      <c r="E71" s="313"/>
      <c r="F71" s="50"/>
      <c r="G71" s="50"/>
      <c r="H71" s="50"/>
      <c r="I71" s="50"/>
      <c r="J71" s="50"/>
      <c r="K71" s="50"/>
      <c r="L71" s="50"/>
      <c r="M71" s="50"/>
      <c r="N71" s="50"/>
      <c r="O71" s="50"/>
      <c r="P71" s="50"/>
      <c r="Q71" s="50"/>
      <c r="R71" s="50"/>
      <c r="S71" s="50"/>
      <c r="T71" s="50"/>
      <c r="U71" s="50"/>
      <c r="V71" s="50"/>
      <c r="W71" s="50"/>
    </row>
    <row r="72" spans="1:31" ht="17.25" customHeight="1" x14ac:dyDescent="0.35">
      <c r="A72" s="368"/>
      <c r="B72" s="367" t="s">
        <v>411</v>
      </c>
      <c r="C72" s="372">
        <f>'ARP Score'!AM16</f>
        <v>0.79700000000000004</v>
      </c>
      <c r="D72" s="50"/>
      <c r="E72" s="313"/>
      <c r="F72" s="50"/>
      <c r="G72" s="50"/>
      <c r="H72" s="50"/>
      <c r="I72" s="50"/>
      <c r="J72" s="50"/>
      <c r="K72" s="50"/>
      <c r="L72" s="50"/>
      <c r="M72" s="50"/>
      <c r="N72" s="50"/>
      <c r="O72" s="50"/>
      <c r="P72" s="50"/>
      <c r="Q72" s="50"/>
      <c r="R72" s="50"/>
      <c r="S72" s="50"/>
      <c r="T72" s="50"/>
      <c r="U72" s="50"/>
      <c r="V72" s="50"/>
      <c r="W72" s="50"/>
    </row>
    <row r="73" spans="1:31" ht="17.25" customHeight="1" x14ac:dyDescent="0.35">
      <c r="A73" s="368"/>
      <c r="B73" s="369" t="s">
        <v>421</v>
      </c>
      <c r="C73" s="373">
        <f>'ARP Score'!AN16</f>
        <v>8.6</v>
      </c>
      <c r="D73" s="371"/>
      <c r="E73" s="354"/>
      <c r="F73" s="50"/>
      <c r="G73" s="50"/>
      <c r="H73" s="50"/>
      <c r="I73" s="50"/>
      <c r="J73" s="50"/>
      <c r="K73" s="50"/>
      <c r="L73" s="50"/>
      <c r="M73" s="50"/>
      <c r="N73" s="50"/>
      <c r="O73" s="50"/>
      <c r="P73" s="50"/>
      <c r="Q73" s="50"/>
      <c r="R73" s="50"/>
      <c r="S73" s="50"/>
      <c r="T73" s="50"/>
      <c r="U73" s="50"/>
      <c r="V73" s="50"/>
      <c r="W73" s="50"/>
    </row>
    <row r="74" spans="1:31" ht="17.25" customHeight="1" x14ac:dyDescent="0.35">
      <c r="B74" s="367"/>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351"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437" t="s">
        <v>423</v>
      </c>
      <c r="C76" s="1438"/>
      <c r="D76" s="1447" t="s">
        <v>325</v>
      </c>
      <c r="E76" s="1448"/>
      <c r="F76" s="1448"/>
      <c r="G76" s="1448"/>
      <c r="H76" s="1448"/>
      <c r="I76" s="1448"/>
      <c r="J76" s="1448"/>
      <c r="K76" s="1448"/>
      <c r="L76" s="1448"/>
      <c r="M76" s="1448"/>
      <c r="N76" s="1448"/>
      <c r="O76" s="1448"/>
      <c r="P76" s="1448"/>
      <c r="Q76" s="1448"/>
      <c r="R76" s="1448"/>
      <c r="S76" s="1448"/>
      <c r="T76" s="1449"/>
      <c r="U76" s="1450" t="s">
        <v>326</v>
      </c>
      <c r="V76" s="1451"/>
      <c r="W76" s="1451"/>
      <c r="X76" s="1451"/>
      <c r="Y76" s="1451"/>
      <c r="Z76" s="1451"/>
      <c r="AA76" s="1451"/>
      <c r="AB76" s="1451"/>
      <c r="AC76" s="1452"/>
      <c r="AD76" s="157"/>
      <c r="AE76" s="157"/>
    </row>
    <row r="77" spans="1:31" x14ac:dyDescent="0.35">
      <c r="B77" s="1439"/>
      <c r="C77" s="1440"/>
      <c r="D77" s="133">
        <v>2018</v>
      </c>
      <c r="E77" s="1418">
        <v>2019</v>
      </c>
      <c r="F77" s="1435"/>
      <c r="G77" s="1435"/>
      <c r="H77" s="1436"/>
      <c r="I77" s="1418">
        <v>2020</v>
      </c>
      <c r="J77" s="1435"/>
      <c r="K77" s="1435"/>
      <c r="L77" s="1435"/>
      <c r="M77" s="1418">
        <v>2021</v>
      </c>
      <c r="N77" s="1435"/>
      <c r="O77" s="1435"/>
      <c r="P77" s="1435"/>
      <c r="Q77" s="1445">
        <v>2022</v>
      </c>
      <c r="R77" s="1446"/>
      <c r="S77" s="151"/>
      <c r="T77" s="260"/>
      <c r="U77" s="1441">
        <v>2023</v>
      </c>
      <c r="V77" s="1442"/>
      <c r="W77" s="1442"/>
      <c r="X77" s="1442"/>
      <c r="Y77" s="1444">
        <v>2024</v>
      </c>
      <c r="Z77" s="1442"/>
      <c r="AA77" s="1442"/>
      <c r="AB77" s="1443"/>
      <c r="AC77" s="274">
        <v>2025</v>
      </c>
      <c r="AD77" s="159"/>
      <c r="AE77" s="159"/>
    </row>
    <row r="78" spans="1:31" x14ac:dyDescent="0.35">
      <c r="B78" s="1454"/>
      <c r="C78" s="1455"/>
      <c r="D78" s="137" t="s">
        <v>327</v>
      </c>
      <c r="E78" s="137" t="s">
        <v>328</v>
      </c>
      <c r="F78" s="150" t="s">
        <v>329</v>
      </c>
      <c r="G78" s="150" t="s">
        <v>238</v>
      </c>
      <c r="H78" s="226" t="s">
        <v>327</v>
      </c>
      <c r="I78" s="150" t="s">
        <v>328</v>
      </c>
      <c r="J78" s="150" t="s">
        <v>329</v>
      </c>
      <c r="K78" s="150" t="s">
        <v>238</v>
      </c>
      <c r="L78" s="150" t="s">
        <v>327</v>
      </c>
      <c r="M78" s="137" t="s">
        <v>328</v>
      </c>
      <c r="N78" s="150" t="s">
        <v>329</v>
      </c>
      <c r="O78" s="150" t="s">
        <v>238</v>
      </c>
      <c r="P78" s="150" t="s">
        <v>327</v>
      </c>
      <c r="Q78" s="137" t="s">
        <v>328</v>
      </c>
      <c r="R78" s="150" t="s">
        <v>329</v>
      </c>
      <c r="S78" s="150" t="s">
        <v>238</v>
      </c>
      <c r="T78" s="226" t="s">
        <v>327</v>
      </c>
      <c r="U78" s="310" t="s">
        <v>328</v>
      </c>
      <c r="V78" s="310" t="s">
        <v>329</v>
      </c>
      <c r="W78" s="310" t="s">
        <v>238</v>
      </c>
      <c r="X78" s="310" t="s">
        <v>327</v>
      </c>
      <c r="Y78" s="379" t="s">
        <v>328</v>
      </c>
      <c r="Z78" s="267" t="s">
        <v>329</v>
      </c>
      <c r="AA78" s="310" t="s">
        <v>238</v>
      </c>
      <c r="AB78" s="155" t="s">
        <v>327</v>
      </c>
      <c r="AC78" s="404" t="s">
        <v>328</v>
      </c>
      <c r="AD78" s="159"/>
      <c r="AE78" s="159"/>
    </row>
    <row r="79" spans="1:31" ht="29.25" customHeight="1" x14ac:dyDescent="0.35">
      <c r="B79" s="391" t="s">
        <v>424</v>
      </c>
      <c r="C79" s="410"/>
      <c r="D79" s="333"/>
      <c r="E79" s="334"/>
      <c r="F79" s="334"/>
      <c r="G79" s="334"/>
      <c r="H79" s="325">
        <f t="shared" ref="H79:O79" si="21">SUM(H81:H89)</f>
        <v>205.80500000000001</v>
      </c>
      <c r="I79" s="325">
        <f t="shared" si="21"/>
        <v>210.29200000000003</v>
      </c>
      <c r="J79" s="325">
        <f t="shared" si="21"/>
        <v>325.28399999999999</v>
      </c>
      <c r="K79" s="325">
        <f t="shared" si="21"/>
        <v>297.32000000000005</v>
      </c>
      <c r="L79" s="325">
        <f t="shared" si="21"/>
        <v>289.54199999999997</v>
      </c>
      <c r="M79" s="325">
        <f t="shared" si="21"/>
        <v>315.67900000000003</v>
      </c>
      <c r="N79" s="325">
        <f t="shared" si="21"/>
        <v>361.52700000000004</v>
      </c>
      <c r="O79" s="325">
        <f t="shared" si="21"/>
        <v>374.99100000000004</v>
      </c>
      <c r="P79" s="325">
        <f>SUM(P81:P90)</f>
        <v>401.58485200000007</v>
      </c>
      <c r="Q79" s="325">
        <f>SUM(Q81:Q90)</f>
        <v>438.45827479999997</v>
      </c>
      <c r="R79" s="325">
        <f>SUM(R81:R90)</f>
        <v>505.04903199999995</v>
      </c>
      <c r="S79" s="325">
        <f>SUM(S81:S90)</f>
        <v>492.38786800000003</v>
      </c>
      <c r="T79" s="326">
        <f t="shared" ref="T79:AC79" si="22">SUM(T81:T90)</f>
        <v>419.69592800000004</v>
      </c>
      <c r="U79" s="318">
        <f t="shared" si="22"/>
        <v>396.53932436420291</v>
      </c>
      <c r="V79" s="355">
        <f t="shared" si="22"/>
        <v>400.37374923659348</v>
      </c>
      <c r="W79" s="355">
        <f t="shared" si="22"/>
        <v>398.73055822591346</v>
      </c>
      <c r="X79" s="355">
        <f t="shared" si="22"/>
        <v>398.6166106666667</v>
      </c>
      <c r="Y79" s="355">
        <f t="shared" si="22"/>
        <v>386.72738297077103</v>
      </c>
      <c r="Z79" s="355">
        <f t="shared" si="22"/>
        <v>366.38133844605721</v>
      </c>
      <c r="AA79" s="355">
        <f t="shared" si="22"/>
        <v>370.35262831494998</v>
      </c>
      <c r="AB79" s="355">
        <f t="shared" si="22"/>
        <v>374.61000143333331</v>
      </c>
      <c r="AC79" s="356">
        <f t="shared" si="22"/>
        <v>357.28055880960187</v>
      </c>
      <c r="AD79" s="319"/>
      <c r="AE79" s="319"/>
    </row>
    <row r="80" spans="1:31" ht="19.399999999999999" customHeight="1" x14ac:dyDescent="0.35">
      <c r="B80" s="421" t="s">
        <v>425</v>
      </c>
      <c r="C80" s="332"/>
      <c r="D80" s="428"/>
      <c r="E80" s="332"/>
      <c r="F80" s="332"/>
      <c r="G80" s="332"/>
      <c r="H80" s="319"/>
      <c r="I80" s="319"/>
      <c r="J80" s="319"/>
      <c r="K80" s="319"/>
      <c r="L80" s="319"/>
      <c r="M80" s="319"/>
      <c r="N80" s="319"/>
      <c r="O80" s="319"/>
      <c r="P80" s="319"/>
      <c r="Q80" s="319"/>
      <c r="R80" s="319"/>
      <c r="S80" s="319"/>
      <c r="T80" s="322"/>
      <c r="U80" s="343"/>
      <c r="V80" s="343"/>
      <c r="W80" s="343"/>
      <c r="X80" s="343"/>
      <c r="Y80" s="343"/>
      <c r="Z80" s="343"/>
      <c r="AA80" s="343"/>
      <c r="AB80" s="343"/>
      <c r="AC80" s="386"/>
      <c r="AD80" s="319"/>
      <c r="AE80" s="319"/>
    </row>
    <row r="81" spans="2:31" x14ac:dyDescent="0.35">
      <c r="B81" s="417" t="s">
        <v>152</v>
      </c>
      <c r="C81" s="49"/>
      <c r="D81" s="362"/>
      <c r="E81" s="49"/>
      <c r="F81" s="49"/>
      <c r="G81" s="49"/>
      <c r="H81" s="320"/>
      <c r="I81" s="320"/>
      <c r="J81" s="320">
        <f t="shared" ref="J81:AC81" si="23">J14</f>
        <v>64.400000000000006</v>
      </c>
      <c r="K81" s="320">
        <f t="shared" si="23"/>
        <v>23.4</v>
      </c>
      <c r="L81" s="320">
        <f t="shared" si="23"/>
        <v>13.8</v>
      </c>
      <c r="M81" s="320">
        <f t="shared" si="23"/>
        <v>12</v>
      </c>
      <c r="N81" s="320">
        <f t="shared" si="23"/>
        <v>7.5</v>
      </c>
      <c r="O81" s="320">
        <f t="shared" si="23"/>
        <v>10.5</v>
      </c>
      <c r="P81" s="320">
        <f t="shared" si="23"/>
        <v>18</v>
      </c>
      <c r="Q81" s="320">
        <f t="shared" si="23"/>
        <v>15</v>
      </c>
      <c r="R81" s="320">
        <f t="shared" si="23"/>
        <v>11.2</v>
      </c>
      <c r="S81" s="320">
        <f t="shared" si="23"/>
        <v>7.5</v>
      </c>
      <c r="T81" s="323">
        <f t="shared" si="23"/>
        <v>6.2</v>
      </c>
      <c r="U81" s="344">
        <f t="shared" si="23"/>
        <v>0</v>
      </c>
      <c r="V81" s="344">
        <f t="shared" si="23"/>
        <v>0</v>
      </c>
      <c r="W81" s="344">
        <f t="shared" si="23"/>
        <v>0</v>
      </c>
      <c r="X81" s="344">
        <f t="shared" si="23"/>
        <v>0</v>
      </c>
      <c r="Y81" s="344">
        <f t="shared" si="23"/>
        <v>0</v>
      </c>
      <c r="Z81" s="344">
        <f t="shared" si="23"/>
        <v>0</v>
      </c>
      <c r="AA81" s="344">
        <f t="shared" si="23"/>
        <v>0</v>
      </c>
      <c r="AB81" s="344">
        <f t="shared" si="23"/>
        <v>0</v>
      </c>
      <c r="AC81" s="389">
        <f t="shared" si="23"/>
        <v>0</v>
      </c>
      <c r="AD81" s="320"/>
      <c r="AE81" s="320"/>
    </row>
    <row r="82" spans="2:31" x14ac:dyDescent="0.35">
      <c r="B82" s="417" t="s">
        <v>390</v>
      </c>
      <c r="C82" s="49"/>
      <c r="D82" s="362"/>
      <c r="E82" s="49"/>
      <c r="F82" s="49"/>
      <c r="G82" s="49"/>
      <c r="H82" s="320"/>
      <c r="I82" s="320"/>
      <c r="J82" s="320"/>
      <c r="K82" s="320"/>
      <c r="L82" s="320"/>
      <c r="M82" s="320">
        <f>M34</f>
        <v>9.6666666666666661</v>
      </c>
      <c r="N82" s="320">
        <f t="shared" ref="N82:AC82" si="24">N34</f>
        <v>9.6666666666666661</v>
      </c>
      <c r="O82" s="320">
        <f t="shared" si="24"/>
        <v>9.6666666666666661</v>
      </c>
      <c r="P82" s="320">
        <f t="shared" si="24"/>
        <v>9.6666666666666661</v>
      </c>
      <c r="Q82" s="320">
        <f>Q34</f>
        <v>9.6666666666666661</v>
      </c>
      <c r="R82" s="320">
        <f>R34</f>
        <v>9.6666666666666661</v>
      </c>
      <c r="S82" s="320">
        <f>S34</f>
        <v>9.6666666666666661</v>
      </c>
      <c r="T82" s="323">
        <f t="shared" si="24"/>
        <v>9.6666666666666661</v>
      </c>
      <c r="U82" s="344">
        <f t="shared" si="24"/>
        <v>9.6666666666666661</v>
      </c>
      <c r="V82" s="344">
        <f t="shared" si="24"/>
        <v>9.6666666666666661</v>
      </c>
      <c r="W82" s="344">
        <f t="shared" si="24"/>
        <v>9.6666666666666661</v>
      </c>
      <c r="X82" s="344">
        <f t="shared" si="24"/>
        <v>9.6666666666666661</v>
      </c>
      <c r="Y82" s="344">
        <f t="shared" si="24"/>
        <v>0</v>
      </c>
      <c r="Z82" s="344">
        <f t="shared" si="24"/>
        <v>0</v>
      </c>
      <c r="AA82" s="344">
        <f t="shared" si="24"/>
        <v>0</v>
      </c>
      <c r="AB82" s="344">
        <f t="shared" si="24"/>
        <v>0</v>
      </c>
      <c r="AC82" s="389">
        <f t="shared" si="24"/>
        <v>0</v>
      </c>
      <c r="AD82" s="320"/>
      <c r="AE82" s="320"/>
    </row>
    <row r="83" spans="2:31" x14ac:dyDescent="0.35">
      <c r="B83" s="417" t="s">
        <v>426</v>
      </c>
      <c r="C83" s="49"/>
      <c r="D83" s="362"/>
      <c r="E83" s="49"/>
      <c r="F83" s="49"/>
      <c r="G83" s="49"/>
      <c r="H83" s="320"/>
      <c r="I83" s="320"/>
      <c r="J83" s="320"/>
      <c r="K83" s="320"/>
      <c r="L83" s="320"/>
      <c r="M83" s="320">
        <f t="shared" ref="M83:AC83" si="25">M16</f>
        <v>12</v>
      </c>
      <c r="N83" s="320">
        <f t="shared" si="25"/>
        <v>12</v>
      </c>
      <c r="O83" s="320">
        <f t="shared" si="25"/>
        <v>12</v>
      </c>
      <c r="P83" s="320">
        <f t="shared" si="25"/>
        <v>12</v>
      </c>
      <c r="Q83" s="320">
        <f t="shared" si="25"/>
        <v>12</v>
      </c>
      <c r="R83" s="320">
        <f t="shared" si="25"/>
        <v>12</v>
      </c>
      <c r="S83" s="320">
        <f t="shared" si="25"/>
        <v>12</v>
      </c>
      <c r="T83" s="323">
        <f t="shared" si="25"/>
        <v>12</v>
      </c>
      <c r="U83" s="344">
        <f t="shared" si="25"/>
        <v>12</v>
      </c>
      <c r="V83" s="344">
        <f t="shared" si="25"/>
        <v>12</v>
      </c>
      <c r="W83" s="344">
        <f t="shared" si="25"/>
        <v>12</v>
      </c>
      <c r="X83" s="344">
        <f t="shared" si="25"/>
        <v>12</v>
      </c>
      <c r="Y83" s="344">
        <f t="shared" si="25"/>
        <v>0</v>
      </c>
      <c r="Z83" s="344">
        <f t="shared" si="25"/>
        <v>0</v>
      </c>
      <c r="AA83" s="344">
        <f t="shared" si="25"/>
        <v>0</v>
      </c>
      <c r="AB83" s="344">
        <f t="shared" si="25"/>
        <v>0</v>
      </c>
      <c r="AC83" s="389">
        <f t="shared" si="25"/>
        <v>0</v>
      </c>
      <c r="AD83" s="320"/>
      <c r="AE83" s="320"/>
    </row>
    <row r="84" spans="2:31" x14ac:dyDescent="0.35">
      <c r="B84" s="417" t="s">
        <v>427</v>
      </c>
      <c r="C84" s="49"/>
      <c r="D84" s="362"/>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324">
        <f t="shared" si="26"/>
        <v>197.22233333333338</v>
      </c>
      <c r="U84" s="345">
        <f t="shared" si="26"/>
        <v>199.16564516420297</v>
      </c>
      <c r="V84" s="345">
        <f t="shared" si="26"/>
        <v>201.12810523659354</v>
      </c>
      <c r="W84" s="345">
        <f t="shared" si="26"/>
        <v>203.10990222591349</v>
      </c>
      <c r="X84" s="345">
        <f t="shared" si="26"/>
        <v>205.11122666666671</v>
      </c>
      <c r="Y84" s="345">
        <f t="shared" si="26"/>
        <v>207.13227097077106</v>
      </c>
      <c r="Z84" s="345">
        <f t="shared" si="26"/>
        <v>209.17322944605723</v>
      </c>
      <c r="AA84" s="345">
        <f t="shared" si="26"/>
        <v>211.23429831494997</v>
      </c>
      <c r="AB84" s="345">
        <f t="shared" si="26"/>
        <v>213.31567573333334</v>
      </c>
      <c r="AC84" s="387">
        <f t="shared" si="26"/>
        <v>215.41756180960186</v>
      </c>
      <c r="AD84" s="52"/>
      <c r="AE84" s="52"/>
    </row>
    <row r="85" spans="2:31" s="1174" customFormat="1" x14ac:dyDescent="0.35">
      <c r="B85" s="1361" t="s">
        <v>1268</v>
      </c>
      <c r="C85" s="1243"/>
      <c r="D85" s="1244"/>
      <c r="E85" s="1243"/>
      <c r="F85" s="1243"/>
      <c r="G85" s="1243"/>
      <c r="H85" s="1261"/>
      <c r="I85" s="1261"/>
      <c r="J85" s="1261"/>
      <c r="K85" s="1261"/>
      <c r="L85" s="1261"/>
      <c r="M85" s="1261"/>
      <c r="N85" s="1261"/>
      <c r="O85" s="1261"/>
      <c r="P85" s="1261"/>
      <c r="Q85" s="1261"/>
      <c r="R85" s="1261"/>
      <c r="S85" s="1333">
        <f>'IRA and CHIPS'!E184</f>
        <v>0</v>
      </c>
      <c r="T85" s="1334">
        <f>'IRA and CHIPS'!F184</f>
        <v>6.8000000000000005E-2</v>
      </c>
      <c r="U85" s="1335">
        <f>'IRA and CHIPS'!G184</f>
        <v>6.8000000000000005E-2</v>
      </c>
      <c r="V85" s="1335">
        <f>'IRA and CHIPS'!H184</f>
        <v>6.8000000000000005E-2</v>
      </c>
      <c r="W85" s="1335">
        <f>'IRA and CHIPS'!I184</f>
        <v>6.8000000000000005E-2</v>
      </c>
      <c r="X85" s="1335">
        <f>'IRA and CHIPS'!J184</f>
        <v>1.363</v>
      </c>
      <c r="Y85" s="1335">
        <f>'IRA and CHIPS'!K184</f>
        <v>1.363</v>
      </c>
      <c r="Z85" s="1335">
        <f>'IRA and CHIPS'!L184</f>
        <v>1.363</v>
      </c>
      <c r="AA85" s="1335">
        <f>'IRA and CHIPS'!M184</f>
        <v>1.363</v>
      </c>
      <c r="AB85" s="1335">
        <f>'IRA and CHIPS'!N184</f>
        <v>2.4329999999999998</v>
      </c>
      <c r="AC85" s="1335">
        <f>'IRA and CHIPS'!O184</f>
        <v>2.4329999999999998</v>
      </c>
      <c r="AD85" s="1261"/>
      <c r="AE85" s="1261"/>
    </row>
    <row r="86" spans="2:31" ht="14.9" customHeight="1" x14ac:dyDescent="0.35">
      <c r="B86" s="388" t="s">
        <v>428</v>
      </c>
      <c r="C86" s="49"/>
      <c r="D86" s="362"/>
      <c r="E86" s="49"/>
      <c r="F86" s="49"/>
      <c r="G86" s="49"/>
      <c r="H86" s="320"/>
      <c r="I86" s="320"/>
      <c r="J86" s="320"/>
      <c r="K86" s="320"/>
      <c r="L86" s="320"/>
      <c r="M86" s="320"/>
      <c r="N86" s="320"/>
      <c r="O86" s="320"/>
      <c r="P86" s="320"/>
      <c r="Q86" s="320"/>
      <c r="R86" s="320"/>
      <c r="S86" s="320"/>
      <c r="T86" s="323"/>
      <c r="U86" s="344"/>
      <c r="V86" s="344"/>
      <c r="W86" s="344"/>
      <c r="X86" s="344"/>
      <c r="Y86" s="344"/>
      <c r="Z86" s="344"/>
      <c r="AA86" s="344"/>
      <c r="AB86" s="344"/>
      <c r="AC86" s="389"/>
      <c r="AD86" s="320"/>
      <c r="AE86" s="320"/>
    </row>
    <row r="87" spans="2:31" ht="14.9" customHeight="1" x14ac:dyDescent="0.35">
      <c r="B87" s="417" t="s">
        <v>150</v>
      </c>
      <c r="C87" s="49"/>
      <c r="D87" s="362"/>
      <c r="E87" s="49"/>
      <c r="F87" s="49"/>
      <c r="G87" s="49"/>
      <c r="H87" s="320"/>
      <c r="I87" s="320"/>
      <c r="J87" s="320">
        <f t="shared" ref="J87:T87" si="27">J13</f>
        <v>28.4</v>
      </c>
      <c r="K87" s="320">
        <f t="shared" si="27"/>
        <v>15.8</v>
      </c>
      <c r="L87" s="320">
        <f t="shared" si="27"/>
        <v>15.2</v>
      </c>
      <c r="M87" s="320">
        <f t="shared" si="27"/>
        <v>28.9</v>
      </c>
      <c r="N87" s="320">
        <f t="shared" si="27"/>
        <v>67.599999999999994</v>
      </c>
      <c r="O87" s="320">
        <f t="shared" si="27"/>
        <v>80.7</v>
      </c>
      <c r="P87" s="320">
        <f t="shared" si="27"/>
        <v>87.2</v>
      </c>
      <c r="Q87" s="320">
        <f t="shared" si="27"/>
        <v>72.400000000000006</v>
      </c>
      <c r="R87" s="320">
        <f t="shared" si="27"/>
        <v>85.9</v>
      </c>
      <c r="S87" s="321">
        <f t="shared" si="27"/>
        <v>68.3</v>
      </c>
      <c r="T87" s="335">
        <f t="shared" si="27"/>
        <v>64</v>
      </c>
      <c r="U87" s="344">
        <f>U31+U35+'ARP Quarterly'!K28</f>
        <v>55.516469333333305</v>
      </c>
      <c r="V87" s="344">
        <f>V31+V35+'ARP Quarterly'!L28</f>
        <v>58.594257333333303</v>
      </c>
      <c r="W87" s="344">
        <f>W31+W35+'ARP Quarterly'!M28</f>
        <v>61.672045333333294</v>
      </c>
      <c r="X87" s="344">
        <f>X31+X35+'ARP Quarterly'!N28</f>
        <v>63.261773333333295</v>
      </c>
      <c r="Y87" s="344">
        <f>Y31+Y35+'ARP Quarterly'!O28</f>
        <v>61.518167999999996</v>
      </c>
      <c r="Z87" s="344">
        <f>Z31+Z35+'ARP Quarterly'!P28</f>
        <v>44.428388999999996</v>
      </c>
      <c r="AA87" s="344">
        <f>AA31+AA35+'ARP Quarterly'!Q28</f>
        <v>46.338610000000003</v>
      </c>
      <c r="AB87" s="344">
        <f>AB31+AB35+'ARP Quarterly'!R28</f>
        <v>47.279744500000007</v>
      </c>
      <c r="AC87" s="389">
        <f>AC31+AC35+'ARP Quarterly'!S28</f>
        <v>46.283419000000009</v>
      </c>
      <c r="AD87" s="320"/>
      <c r="AE87" s="320"/>
    </row>
    <row r="88" spans="2:31" x14ac:dyDescent="0.35">
      <c r="B88" s="417" t="s">
        <v>149</v>
      </c>
      <c r="C88" s="52"/>
      <c r="D88" s="429"/>
      <c r="E88" s="52"/>
      <c r="F88" s="52"/>
      <c r="G88" s="52"/>
      <c r="H88" s="320"/>
      <c r="I88" s="320"/>
      <c r="J88" s="320">
        <v>35</v>
      </c>
      <c r="K88" s="320">
        <v>45</v>
      </c>
      <c r="L88" s="320">
        <v>45</v>
      </c>
      <c r="M88" s="320">
        <v>40</v>
      </c>
      <c r="N88" s="320">
        <v>40</v>
      </c>
      <c r="O88" s="320">
        <v>40</v>
      </c>
      <c r="P88" s="320">
        <v>40</v>
      </c>
      <c r="Q88" s="320">
        <v>50</v>
      </c>
      <c r="R88" s="320">
        <v>50</v>
      </c>
      <c r="S88" s="320">
        <v>50</v>
      </c>
      <c r="T88" s="323">
        <v>50</v>
      </c>
      <c r="U88" s="344">
        <v>40</v>
      </c>
      <c r="V88" s="344">
        <v>30</v>
      </c>
      <c r="W88" s="344">
        <v>20</v>
      </c>
      <c r="X88" s="344">
        <v>15</v>
      </c>
      <c r="Y88" s="344">
        <v>10</v>
      </c>
      <c r="Z88" s="344"/>
      <c r="AA88" s="344"/>
      <c r="AB88" s="344"/>
      <c r="AC88" s="389"/>
      <c r="AD88" s="225">
        <f>SUM(O88:AC88)</f>
        <v>395</v>
      </c>
    </row>
    <row r="89" spans="2:31" ht="28.5" customHeight="1" x14ac:dyDescent="0.35">
      <c r="B89" s="347" t="s">
        <v>429</v>
      </c>
      <c r="C89" s="366"/>
      <c r="D89" s="362"/>
      <c r="E89" s="49"/>
      <c r="F89" s="49"/>
      <c r="G89" s="49"/>
      <c r="H89" s="320"/>
      <c r="I89" s="320"/>
      <c r="J89" s="320"/>
      <c r="K89" s="320"/>
      <c r="L89" s="320"/>
      <c r="M89" s="320"/>
      <c r="N89" s="320">
        <f>'ARP Quarterly'!D47</f>
        <v>0</v>
      </c>
      <c r="O89" s="320">
        <f>'ARP Quarterly'!E47</f>
        <v>0</v>
      </c>
      <c r="P89" s="320">
        <f>'ARP Quarterly'!F47</f>
        <v>34.620851999999999</v>
      </c>
      <c r="Q89" s="320">
        <f>'ARP Quarterly'!G47</f>
        <v>50.996274799999995</v>
      </c>
      <c r="R89" s="320">
        <f>'ARP Quarterly'!H47</f>
        <v>69.350031999999999</v>
      </c>
      <c r="S89" s="320">
        <f>'ARP Quarterly'!I47</f>
        <v>79.295867999999999</v>
      </c>
      <c r="T89" s="323">
        <f>'ARP Quarterly'!J47</f>
        <v>80.538927999999999</v>
      </c>
      <c r="U89" s="402">
        <f>'ARP Quarterly'!K47</f>
        <v>80.122543199999996</v>
      </c>
      <c r="V89" s="402">
        <f>'ARP Quarterly'!L47</f>
        <v>88.916719999999998</v>
      </c>
      <c r="W89" s="402">
        <f>'ARP Quarterly'!M47</f>
        <v>92.213943999999998</v>
      </c>
      <c r="X89" s="402">
        <f>'ARP Quarterly'!N47</f>
        <v>92.213943999999998</v>
      </c>
      <c r="Y89" s="402">
        <f>'ARP Quarterly'!O47</f>
        <v>94.213943999999998</v>
      </c>
      <c r="Z89" s="402">
        <f>'ARP Quarterly'!P47</f>
        <v>98.916719999999998</v>
      </c>
      <c r="AA89" s="402">
        <f>'ARP Quarterly'!Q47</f>
        <v>98.916719999999998</v>
      </c>
      <c r="AB89" s="402">
        <f>'ARP Quarterly'!R47</f>
        <v>99.081581199999988</v>
      </c>
      <c r="AC89" s="403">
        <f>'ARP Quarterly'!S47</f>
        <v>93.146578000000005</v>
      </c>
      <c r="AD89" s="383"/>
    </row>
    <row r="90" spans="2:31" ht="55.4" customHeight="1" x14ac:dyDescent="0.35">
      <c r="B90" s="357" t="s">
        <v>887</v>
      </c>
      <c r="C90" s="358"/>
      <c r="D90" s="167"/>
      <c r="E90" s="280"/>
      <c r="F90" s="280"/>
      <c r="G90" s="280"/>
      <c r="H90" s="280"/>
      <c r="I90" s="280"/>
      <c r="J90" s="280"/>
      <c r="K90" s="280"/>
      <c r="L90" s="280"/>
      <c r="M90" s="280"/>
      <c r="N90" s="280"/>
      <c r="O90" s="280"/>
      <c r="P90" s="280">
        <v>-50</v>
      </c>
      <c r="Q90" s="280">
        <v>-25</v>
      </c>
      <c r="R90" s="280"/>
      <c r="S90" s="280"/>
      <c r="T90" s="430"/>
      <c r="U90" s="358"/>
      <c r="V90" s="358"/>
      <c r="W90" s="358"/>
      <c r="X90" s="358"/>
      <c r="Y90" s="358">
        <v>12.5</v>
      </c>
      <c r="Z90" s="358">
        <v>12.5</v>
      </c>
      <c r="AA90" s="358">
        <v>12.5</v>
      </c>
      <c r="AB90" s="358">
        <v>12.5</v>
      </c>
      <c r="AC90" s="359"/>
    </row>
    <row r="91" spans="2:31" ht="12.75" customHeight="1" x14ac:dyDescent="0.35"/>
    <row r="93" spans="2:31" x14ac:dyDescent="0.35">
      <c r="B93" s="1433" t="s">
        <v>134</v>
      </c>
      <c r="C93" s="1433"/>
      <c r="D93" s="1433"/>
      <c r="E93" s="1433"/>
      <c r="F93" s="1433"/>
      <c r="G93" s="1433"/>
      <c r="H93" s="1433"/>
      <c r="I93" s="1433"/>
      <c r="J93" s="1433"/>
      <c r="K93" s="1433"/>
      <c r="L93" s="1433"/>
      <c r="M93" s="1433"/>
      <c r="N93" s="1433"/>
      <c r="O93" s="1433"/>
      <c r="P93" s="1433"/>
      <c r="Q93" s="1433"/>
      <c r="R93" s="1433"/>
      <c r="S93" s="1433"/>
      <c r="T93" s="1433"/>
      <c r="U93" s="1433"/>
      <c r="V93" s="1433"/>
      <c r="W93" s="1433"/>
      <c r="X93" s="1433"/>
      <c r="Y93" s="1433"/>
      <c r="Z93" s="161"/>
      <c r="AA93" s="161"/>
      <c r="AB93" s="161"/>
      <c r="AC93" s="161"/>
      <c r="AD93" s="157"/>
      <c r="AE93" s="157"/>
    </row>
    <row r="94" spans="2:31" ht="19.399999999999999" customHeight="1" x14ac:dyDescent="0.35">
      <c r="B94" s="1434" t="s">
        <v>430</v>
      </c>
      <c r="C94" s="1434"/>
      <c r="D94" s="1434"/>
      <c r="E94" s="1434"/>
      <c r="F94" s="1434"/>
      <c r="G94" s="1434"/>
      <c r="H94" s="1434"/>
      <c r="I94" s="1434"/>
      <c r="J94" s="1434"/>
      <c r="K94" s="1434"/>
      <c r="L94" s="1434"/>
      <c r="M94" s="1434"/>
      <c r="N94" s="1434"/>
      <c r="O94" s="1434"/>
      <c r="P94" s="1434"/>
      <c r="Q94" s="1434"/>
      <c r="R94" s="1434"/>
      <c r="S94" s="1434"/>
      <c r="T94" s="1434"/>
      <c r="U94" s="1434"/>
      <c r="V94" s="1434"/>
      <c r="W94" s="1434"/>
      <c r="X94" s="1434"/>
      <c r="Y94" s="1434"/>
      <c r="Z94" s="1434"/>
      <c r="AA94" s="1434"/>
      <c r="AB94" s="1434"/>
      <c r="AC94" s="1434"/>
      <c r="AD94" s="251"/>
      <c r="AE94" s="251"/>
    </row>
    <row r="95" spans="2:31" ht="11.9" customHeight="1" x14ac:dyDescent="0.35">
      <c r="B95" s="160"/>
      <c r="C95" s="160"/>
      <c r="D95" s="160"/>
      <c r="E95" s="160"/>
      <c r="F95" s="160"/>
      <c r="G95" s="160"/>
      <c r="H95" s="160"/>
      <c r="I95" s="160"/>
      <c r="J95" s="160"/>
      <c r="K95" s="160"/>
      <c r="L95" s="160"/>
      <c r="M95" s="160"/>
      <c r="V95" s="159"/>
      <c r="W95" s="159"/>
      <c r="X95" s="159"/>
      <c r="Y95" s="159"/>
      <c r="Z95" s="159"/>
      <c r="AA95" s="159"/>
      <c r="AB95" s="159"/>
      <c r="AC95" s="159"/>
      <c r="AD95" s="159"/>
      <c r="AE95" s="159"/>
    </row>
    <row r="96" spans="2:31" ht="14.9" customHeight="1" x14ac:dyDescent="0.35">
      <c r="B96" s="1437" t="s">
        <v>324</v>
      </c>
      <c r="C96" s="1438"/>
      <c r="D96" s="1447" t="s">
        <v>325</v>
      </c>
      <c r="E96" s="1448"/>
      <c r="F96" s="1448"/>
      <c r="G96" s="1448"/>
      <c r="H96" s="1448"/>
      <c r="I96" s="1448"/>
      <c r="J96" s="1448"/>
      <c r="K96" s="1448"/>
      <c r="L96" s="1448"/>
      <c r="M96" s="1448"/>
      <c r="N96" s="1448"/>
      <c r="O96" s="1448"/>
      <c r="P96" s="1448"/>
      <c r="Q96" s="1456"/>
      <c r="R96" s="1456"/>
      <c r="S96" s="1456"/>
      <c r="T96" s="1438"/>
      <c r="U96" s="1451" t="s">
        <v>326</v>
      </c>
      <c r="V96" s="1451"/>
      <c r="W96" s="1451"/>
      <c r="X96" s="1451"/>
      <c r="Y96" s="1451"/>
      <c r="Z96" s="1451"/>
      <c r="AA96" s="1451"/>
      <c r="AB96" s="1451"/>
      <c r="AC96" s="1452"/>
      <c r="AD96" s="157"/>
      <c r="AE96" s="157"/>
    </row>
    <row r="97" spans="2:31" x14ac:dyDescent="0.35">
      <c r="B97" s="1439"/>
      <c r="C97" s="1440"/>
      <c r="D97" s="162">
        <v>2018</v>
      </c>
      <c r="E97" s="1418">
        <v>2019</v>
      </c>
      <c r="F97" s="1435"/>
      <c r="G97" s="1435"/>
      <c r="H97" s="1436"/>
      <c r="I97" s="1418">
        <v>2020</v>
      </c>
      <c r="J97" s="1435"/>
      <c r="K97" s="1435"/>
      <c r="L97" s="1435"/>
      <c r="M97" s="1418">
        <v>2021</v>
      </c>
      <c r="N97" s="1435"/>
      <c r="O97" s="1435"/>
      <c r="P97" s="1435"/>
      <c r="Q97" s="1418">
        <v>2022</v>
      </c>
      <c r="R97" s="1419"/>
      <c r="S97" s="1419"/>
      <c r="T97" s="1436"/>
      <c r="U97" s="1441">
        <v>2023</v>
      </c>
      <c r="V97" s="1442"/>
      <c r="W97" s="1442"/>
      <c r="X97" s="1442"/>
      <c r="Y97" s="1444">
        <v>2024</v>
      </c>
      <c r="Z97" s="1442"/>
      <c r="AA97" s="1442"/>
      <c r="AB97" s="1443"/>
      <c r="AC97" s="274">
        <v>2025</v>
      </c>
      <c r="AD97" s="159"/>
      <c r="AE97" s="159"/>
    </row>
    <row r="98" spans="2:31" x14ac:dyDescent="0.35">
      <c r="B98" s="1439"/>
      <c r="C98" s="1440"/>
      <c r="D98" s="150" t="s">
        <v>327</v>
      </c>
      <c r="E98" s="137" t="s">
        <v>328</v>
      </c>
      <c r="F98" s="150" t="s">
        <v>329</v>
      </c>
      <c r="G98" s="150" t="s">
        <v>238</v>
      </c>
      <c r="H98" s="226" t="s">
        <v>327</v>
      </c>
      <c r="I98" s="150" t="s">
        <v>328</v>
      </c>
      <c r="J98" s="150" t="s">
        <v>329</v>
      </c>
      <c r="K98" s="150" t="s">
        <v>238</v>
      </c>
      <c r="L98" s="150" t="s">
        <v>327</v>
      </c>
      <c r="M98" s="137" t="s">
        <v>328</v>
      </c>
      <c r="N98" s="150" t="s">
        <v>329</v>
      </c>
      <c r="O98" s="150" t="s">
        <v>238</v>
      </c>
      <c r="P98" s="150" t="s">
        <v>327</v>
      </c>
      <c r="Q98" s="137" t="s">
        <v>328</v>
      </c>
      <c r="R98" s="150" t="s">
        <v>329</v>
      </c>
      <c r="S98" s="150" t="s">
        <v>238</v>
      </c>
      <c r="T98" s="226" t="s">
        <v>327</v>
      </c>
      <c r="U98" s="290" t="s">
        <v>328</v>
      </c>
      <c r="V98" s="290" t="s">
        <v>329</v>
      </c>
      <c r="W98" s="290" t="s">
        <v>238</v>
      </c>
      <c r="X98" s="290" t="s">
        <v>327</v>
      </c>
      <c r="Y98" s="289" t="s">
        <v>328</v>
      </c>
      <c r="Z98" s="285" t="s">
        <v>329</v>
      </c>
      <c r="AA98" s="290" t="s">
        <v>238</v>
      </c>
      <c r="AB98" s="291" t="s">
        <v>327</v>
      </c>
      <c r="AC98" s="293" t="s">
        <v>328</v>
      </c>
      <c r="AD98" s="159"/>
      <c r="AE98" s="159"/>
    </row>
    <row r="99" spans="2:31" ht="14.9" customHeight="1" x14ac:dyDescent="0.35">
      <c r="B99" s="427" t="s">
        <v>431</v>
      </c>
      <c r="C99" s="327" t="s">
        <v>432</v>
      </c>
      <c r="D99" s="328"/>
      <c r="E99" s="329"/>
      <c r="F99" s="329"/>
      <c r="G99" s="329"/>
      <c r="H99" s="330">
        <f>'Haver Pivoted'!GS41</f>
        <v>72.367000000000004</v>
      </c>
      <c r="I99" s="330">
        <f>'Haver Pivoted'!GT41</f>
        <v>75.578999999999994</v>
      </c>
      <c r="J99" s="330">
        <f>'Haver Pivoted'!GU41</f>
        <v>76.015000000000001</v>
      </c>
      <c r="K99" s="330">
        <f>'Haver Pivoted'!GV41</f>
        <v>78.872</v>
      </c>
      <c r="L99" s="330">
        <f>'Haver Pivoted'!GW41</f>
        <v>75.819000000000003</v>
      </c>
      <c r="M99" s="330">
        <f>'Haver Pivoted'!GX41</f>
        <v>73.662000000000006</v>
      </c>
      <c r="N99" s="330">
        <f>'Haver Pivoted'!GY41</f>
        <v>75.066000000000003</v>
      </c>
      <c r="O99" s="330">
        <f>'Haver Pivoted'!GZ41</f>
        <v>69.344999999999999</v>
      </c>
      <c r="P99" s="330">
        <f>'Haver Pivoted'!HA41</f>
        <v>72.477000000000004</v>
      </c>
      <c r="Q99" s="330">
        <f>'Haver Pivoted'!HB41</f>
        <v>72.528999999999996</v>
      </c>
      <c r="R99" s="330">
        <f t="shared" ref="R99:S99" si="28">AVERAGE($H$99:$N$99)</f>
        <v>75.340000000000018</v>
      </c>
      <c r="S99" s="330">
        <f t="shared" si="28"/>
        <v>75.340000000000018</v>
      </c>
      <c r="T99" s="331">
        <f t="shared" ref="T99:AC99" si="29">AVERAGE($H$99:$N$99)+T100</f>
        <v>76.15900000000002</v>
      </c>
      <c r="U99" s="1341">
        <f t="shared" si="29"/>
        <v>76.15900000000002</v>
      </c>
      <c r="V99" s="1342">
        <f t="shared" si="29"/>
        <v>76.15900000000002</v>
      </c>
      <c r="W99" s="1342">
        <f t="shared" si="29"/>
        <v>76.15900000000002</v>
      </c>
      <c r="X99" s="1342">
        <f t="shared" si="29"/>
        <v>77.818000000000012</v>
      </c>
      <c r="Y99" s="1342">
        <f t="shared" si="29"/>
        <v>77.818000000000012</v>
      </c>
      <c r="Z99" s="1342">
        <f t="shared" si="29"/>
        <v>77.818000000000012</v>
      </c>
      <c r="AA99" s="1342">
        <f t="shared" si="29"/>
        <v>77.818000000000012</v>
      </c>
      <c r="AB99" s="1342">
        <f t="shared" si="29"/>
        <v>79.41200000000002</v>
      </c>
      <c r="AC99" s="1343">
        <f t="shared" si="29"/>
        <v>79.41200000000002</v>
      </c>
      <c r="AD99" s="262"/>
      <c r="AE99" s="262"/>
    </row>
    <row r="100" spans="2:31" s="1174" customFormat="1" x14ac:dyDescent="0.35">
      <c r="B100" s="1336" t="s">
        <v>1267</v>
      </c>
      <c r="C100" s="1337"/>
      <c r="D100" s="1336"/>
      <c r="E100" s="1337"/>
      <c r="F100" s="1337"/>
      <c r="G100" s="1337"/>
      <c r="H100" s="1337"/>
      <c r="I100" s="1337"/>
      <c r="J100" s="1337"/>
      <c r="K100" s="1337"/>
      <c r="L100" s="1337"/>
      <c r="M100" s="1337"/>
      <c r="N100" s="1337"/>
      <c r="O100" s="1337"/>
      <c r="P100" s="1337"/>
      <c r="Q100" s="1337"/>
      <c r="R100" s="1337"/>
      <c r="S100" s="1338">
        <f>'IRA and CHIPS'!E185</f>
        <v>0</v>
      </c>
      <c r="T100" s="1339">
        <f>'IRA and CHIPS'!F185</f>
        <v>0.81899999999999995</v>
      </c>
      <c r="U100" s="1344">
        <f>'IRA and CHIPS'!G185</f>
        <v>0.81899999999999995</v>
      </c>
      <c r="V100" s="1340">
        <f>'IRA and CHIPS'!H185</f>
        <v>0.81899999999999995</v>
      </c>
      <c r="W100" s="1340">
        <f>'IRA and CHIPS'!I185</f>
        <v>0.81899999999999995</v>
      </c>
      <c r="X100" s="1340">
        <f>'IRA and CHIPS'!J185</f>
        <v>2.4780000000000002</v>
      </c>
      <c r="Y100" s="1340">
        <f>'IRA and CHIPS'!K185</f>
        <v>2.4780000000000002</v>
      </c>
      <c r="Z100" s="1340">
        <f>'IRA and CHIPS'!L185</f>
        <v>2.4780000000000002</v>
      </c>
      <c r="AA100" s="1340">
        <f>'IRA and CHIPS'!M185</f>
        <v>2.4780000000000002</v>
      </c>
      <c r="AB100" s="1340">
        <f>'IRA and CHIPS'!N185</f>
        <v>4.0720000000000001</v>
      </c>
      <c r="AC100" s="1345">
        <f>'IRA and CHIPS'!O185</f>
        <v>4.0720000000000001</v>
      </c>
    </row>
    <row r="101" spans="2:31" ht="18.75" customHeight="1" x14ac:dyDescent="0.35"/>
    <row r="102"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96:AC96"/>
    <mergeCell ref="Q97:T97"/>
    <mergeCell ref="AE29:AF29"/>
    <mergeCell ref="AE33:AF34"/>
    <mergeCell ref="AE39:AF39"/>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66"/>
  <sheetViews>
    <sheetView zoomScale="85" zoomScaleNormal="85" workbookViewId="0">
      <selection activeCell="B15" sqref="B15"/>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433" t="s">
        <v>433</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9" ht="14.25" customHeight="1" x14ac:dyDescent="0.35">
      <c r="B2" s="1458" t="s">
        <v>434</v>
      </c>
      <c r="C2" s="1458"/>
      <c r="D2" s="1458"/>
      <c r="E2" s="1458"/>
      <c r="F2" s="1458"/>
      <c r="G2" s="1458"/>
      <c r="H2" s="1458"/>
      <c r="I2" s="1458"/>
      <c r="J2" s="1458"/>
      <c r="K2" s="1458"/>
      <c r="L2" s="1458"/>
      <c r="M2" s="1458"/>
      <c r="N2" s="1458"/>
      <c r="O2" s="1458"/>
      <c r="P2" s="1458"/>
      <c r="Q2" s="1458"/>
      <c r="R2" s="1458"/>
      <c r="S2" s="1458"/>
      <c r="T2" s="1458"/>
      <c r="U2" s="1458"/>
      <c r="V2" s="1458"/>
      <c r="W2" s="1458"/>
      <c r="X2" s="1458"/>
      <c r="Y2" s="1458"/>
      <c r="Z2" s="1458"/>
      <c r="AA2" s="1458"/>
      <c r="AB2" s="1458"/>
      <c r="AC2" s="1458"/>
    </row>
    <row r="3" spans="2:39" ht="9" customHeight="1" x14ac:dyDescent="0.35">
      <c r="B3" s="1458"/>
      <c r="C3" s="1458"/>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row>
    <row r="4" spans="2:39" ht="27" customHeight="1" x14ac:dyDescent="0.35">
      <c r="B4" s="1458"/>
      <c r="C4" s="1458"/>
      <c r="D4" s="1458"/>
      <c r="E4" s="1458"/>
      <c r="F4" s="1458"/>
      <c r="G4" s="1458"/>
      <c r="H4" s="1458"/>
      <c r="I4" s="1458"/>
      <c r="J4" s="1458"/>
      <c r="K4" s="1458"/>
      <c r="L4" s="1458"/>
      <c r="M4" s="1458"/>
      <c r="N4" s="1458"/>
      <c r="O4" s="1458"/>
      <c r="P4" s="1458"/>
      <c r="Q4" s="1458"/>
      <c r="R4" s="1458"/>
      <c r="S4" s="1458"/>
      <c r="T4" s="1458"/>
      <c r="U4" s="1458"/>
      <c r="V4" s="1458"/>
      <c r="W4" s="1458"/>
      <c r="X4" s="1458"/>
      <c r="Y4" s="1458"/>
      <c r="Z4" s="1458"/>
      <c r="AA4" s="1458"/>
      <c r="AB4" s="1458"/>
      <c r="AC4" s="1458"/>
      <c r="AE4" s="464"/>
      <c r="AF4" s="464"/>
      <c r="AG4" s="464"/>
      <c r="AH4" s="464"/>
      <c r="AI4" s="464"/>
      <c r="AJ4" s="464"/>
      <c r="AK4" s="464"/>
      <c r="AL4" s="464"/>
      <c r="AM4" s="464"/>
    </row>
    <row r="5" spans="2:39" x14ac:dyDescent="0.35">
      <c r="B5" s="193"/>
      <c r="AC5" s="288"/>
      <c r="AD5" s="288"/>
      <c r="AE5" s="288"/>
      <c r="AF5" s="288"/>
    </row>
    <row r="6" spans="2:39" ht="14.9" customHeight="1" x14ac:dyDescent="0.35">
      <c r="B6" s="1480" t="s">
        <v>324</v>
      </c>
      <c r="C6" s="1481"/>
      <c r="D6" s="1489" t="s">
        <v>325</v>
      </c>
      <c r="E6" s="1490"/>
      <c r="F6" s="1490"/>
      <c r="G6" s="1490"/>
      <c r="H6" s="1490"/>
      <c r="I6" s="1490"/>
      <c r="J6" s="1490"/>
      <c r="K6" s="1490"/>
      <c r="L6" s="1490"/>
      <c r="M6" s="1490"/>
      <c r="N6" s="1490"/>
      <c r="O6" s="1490"/>
      <c r="P6" s="1490"/>
      <c r="Q6" s="1490"/>
      <c r="R6" s="1490"/>
      <c r="S6" s="1490"/>
      <c r="T6" s="1491"/>
      <c r="U6" s="1492" t="s">
        <v>326</v>
      </c>
      <c r="V6" s="1492"/>
      <c r="W6" s="1492"/>
      <c r="X6" s="1492"/>
      <c r="Y6" s="1492"/>
      <c r="Z6" s="1492"/>
      <c r="AA6" s="1492"/>
      <c r="AB6" s="1492"/>
      <c r="AC6" s="1493"/>
    </row>
    <row r="7" spans="2:39" ht="14.9" customHeight="1" x14ac:dyDescent="0.35">
      <c r="B7" s="1482"/>
      <c r="C7" s="1483"/>
      <c r="D7" s="1197">
        <v>2018</v>
      </c>
      <c r="E7" s="1478">
        <v>2019</v>
      </c>
      <c r="F7" s="1479"/>
      <c r="G7" s="1479"/>
      <c r="H7" s="1484"/>
      <c r="I7" s="1478">
        <v>2020</v>
      </c>
      <c r="J7" s="1479"/>
      <c r="K7" s="1479"/>
      <c r="L7" s="1479"/>
      <c r="M7" s="1478">
        <v>2021</v>
      </c>
      <c r="N7" s="1479"/>
      <c r="O7" s="1479"/>
      <c r="P7" s="1479"/>
      <c r="Q7" s="1494">
        <v>2022</v>
      </c>
      <c r="R7" s="1495"/>
      <c r="S7" s="1495"/>
      <c r="T7" s="1496"/>
      <c r="U7" s="1485">
        <v>2023</v>
      </c>
      <c r="V7" s="1486"/>
      <c r="W7" s="1486"/>
      <c r="X7" s="1486"/>
      <c r="Y7" s="1487">
        <v>2024</v>
      </c>
      <c r="Z7" s="1486"/>
      <c r="AA7" s="1486"/>
      <c r="AB7" s="1488"/>
      <c r="AC7" s="1198">
        <v>2025</v>
      </c>
    </row>
    <row r="8" spans="2:39" x14ac:dyDescent="0.35">
      <c r="B8" s="1482"/>
      <c r="C8" s="1483"/>
      <c r="D8" s="1199" t="s">
        <v>327</v>
      </c>
      <c r="E8" s="1199" t="s">
        <v>328</v>
      </c>
      <c r="F8" s="1200" t="s">
        <v>329</v>
      </c>
      <c r="G8" s="1200" t="s">
        <v>238</v>
      </c>
      <c r="H8" s="1201" t="s">
        <v>327</v>
      </c>
      <c r="I8" s="1200" t="s">
        <v>328</v>
      </c>
      <c r="J8" s="1200" t="s">
        <v>329</v>
      </c>
      <c r="K8" s="1200" t="s">
        <v>238</v>
      </c>
      <c r="L8" s="1200" t="s">
        <v>327</v>
      </c>
      <c r="M8" s="1199" t="s">
        <v>328</v>
      </c>
      <c r="N8" s="1200" t="s">
        <v>329</v>
      </c>
      <c r="O8" s="1200" t="s">
        <v>238</v>
      </c>
      <c r="P8" s="1200" t="s">
        <v>327</v>
      </c>
      <c r="Q8" s="1199" t="s">
        <v>328</v>
      </c>
      <c r="R8" s="1202" t="s">
        <v>329</v>
      </c>
      <c r="S8" s="1202" t="s">
        <v>238</v>
      </c>
      <c r="T8" s="1201" t="s">
        <v>327</v>
      </c>
      <c r="U8" s="1203" t="s">
        <v>328</v>
      </c>
      <c r="V8" s="1203" t="s">
        <v>329</v>
      </c>
      <c r="W8" s="1203" t="s">
        <v>238</v>
      </c>
      <c r="X8" s="1203" t="s">
        <v>327</v>
      </c>
      <c r="Y8" s="1204" t="s">
        <v>328</v>
      </c>
      <c r="Z8" s="1205" t="s">
        <v>329</v>
      </c>
      <c r="AA8" s="1203" t="s">
        <v>238</v>
      </c>
      <c r="AB8" s="1206" t="s">
        <v>327</v>
      </c>
      <c r="AC8" s="1207" t="s">
        <v>328</v>
      </c>
    </row>
    <row r="9" spans="2:39" ht="18" customHeight="1" x14ac:dyDescent="0.35">
      <c r="B9" s="1194" t="s">
        <v>2205</v>
      </c>
      <c r="C9" s="1208"/>
      <c r="D9" s="1209"/>
      <c r="E9" s="1210"/>
      <c r="F9" s="1210"/>
      <c r="G9" s="1210"/>
      <c r="H9" s="1210"/>
      <c r="I9" s="1210"/>
      <c r="J9" s="1210"/>
      <c r="K9" s="1210"/>
      <c r="L9" s="1210"/>
      <c r="M9" s="1210"/>
      <c r="N9" s="1210"/>
      <c r="O9" s="1210"/>
      <c r="P9" s="1210"/>
      <c r="Q9" s="1211">
        <v>1613.1</v>
      </c>
      <c r="R9" s="1211">
        <v>1622.7</v>
      </c>
      <c r="S9" s="1211">
        <v>1656.9</v>
      </c>
      <c r="T9" s="1212">
        <v>1665.8</v>
      </c>
      <c r="U9" s="1213">
        <v>1683.2</v>
      </c>
      <c r="V9" s="1213">
        <v>1699</v>
      </c>
      <c r="W9" s="1213">
        <v>1721.1</v>
      </c>
      <c r="X9" s="1213">
        <v>1740.7</v>
      </c>
      <c r="Y9" s="1213">
        <v>1758.2</v>
      </c>
      <c r="Z9" s="1213">
        <v>1774.2</v>
      </c>
      <c r="AA9" s="1213">
        <v>1790.4</v>
      </c>
      <c r="AB9" s="1213">
        <v>1805.5</v>
      </c>
      <c r="AC9" s="1214">
        <v>1819</v>
      </c>
    </row>
    <row r="10" spans="2:39" s="1066" customFormat="1" ht="18" customHeight="1" x14ac:dyDescent="0.35">
      <c r="B10" s="1195" t="s">
        <v>956</v>
      </c>
      <c r="C10" s="1215"/>
      <c r="D10" s="1216"/>
      <c r="E10" s="1217"/>
      <c r="F10" s="1217"/>
      <c r="G10" s="1217"/>
      <c r="H10" s="1217"/>
      <c r="I10" s="1217"/>
      <c r="J10" s="1217"/>
      <c r="K10" s="1217"/>
      <c r="L10" s="1217"/>
      <c r="M10" s="1217"/>
      <c r="N10" s="1217"/>
      <c r="O10" s="1217"/>
      <c r="P10" s="1217"/>
      <c r="Q10" s="1218">
        <v>1575</v>
      </c>
      <c r="R10" s="1218">
        <v>1591.4</v>
      </c>
      <c r="S10" s="1218">
        <v>1607.9</v>
      </c>
      <c r="T10" s="1219">
        <v>1622.9</v>
      </c>
      <c r="U10" s="1220">
        <v>1639</v>
      </c>
      <c r="V10" s="1220">
        <v>1653.9</v>
      </c>
      <c r="W10" s="1220">
        <v>1667.4</v>
      </c>
      <c r="X10" s="1220">
        <v>1679.6</v>
      </c>
      <c r="Y10" s="1220">
        <v>1693.3</v>
      </c>
      <c r="Z10" s="1220">
        <v>1706.4</v>
      </c>
      <c r="AA10" s="1220">
        <v>1719.6</v>
      </c>
      <c r="AB10" s="1220">
        <v>1732.8</v>
      </c>
      <c r="AC10" s="1220">
        <v>1743.7</v>
      </c>
    </row>
    <row r="11" spans="2:39" ht="17.25" customHeight="1" x14ac:dyDescent="0.35">
      <c r="B11" s="1194" t="s">
        <v>2206</v>
      </c>
      <c r="C11" s="1224"/>
      <c r="D11" s="1225"/>
      <c r="E11" s="1224"/>
      <c r="F11" s="1224"/>
      <c r="G11" s="1224"/>
      <c r="H11" s="1226"/>
      <c r="I11" s="1226"/>
      <c r="J11" s="1226"/>
      <c r="K11" s="1226"/>
      <c r="L11" s="1226"/>
      <c r="M11" s="1226"/>
      <c r="N11" s="1226"/>
      <c r="O11" s="1226"/>
      <c r="P11" s="1226"/>
      <c r="Q11" s="1227">
        <v>8.6999999999999994E-2</v>
      </c>
      <c r="R11" s="1227">
        <v>2.3969999999999998</v>
      </c>
      <c r="S11" s="1227">
        <v>8.6859999999999999</v>
      </c>
      <c r="T11" s="1228">
        <v>2.1680000000000001</v>
      </c>
      <c r="U11" s="1229">
        <v>4.2469999999999999</v>
      </c>
      <c r="V11" s="1229">
        <v>3.8140000000000001</v>
      </c>
      <c r="W11" s="1229">
        <v>5.2969999999999997</v>
      </c>
      <c r="X11" s="1229">
        <v>4.6420000000000003</v>
      </c>
      <c r="Y11" s="1229">
        <v>4.077</v>
      </c>
      <c r="Z11" s="1229">
        <v>3.6869999999999998</v>
      </c>
      <c r="AA11" s="1229">
        <v>3.7109999999999999</v>
      </c>
      <c r="AB11" s="1229">
        <v>3.4009999999999998</v>
      </c>
      <c r="AC11" s="1230">
        <v>3.0379999999999998</v>
      </c>
    </row>
    <row r="12" spans="2:39" s="1066" customFormat="1" ht="17.25" customHeight="1" x14ac:dyDescent="0.35">
      <c r="B12" s="1195" t="s">
        <v>957</v>
      </c>
      <c r="C12" s="1231"/>
      <c r="D12" s="1196"/>
      <c r="E12" s="1232"/>
      <c r="F12" s="1232"/>
      <c r="G12" s="1232"/>
      <c r="H12" s="1233"/>
      <c r="I12" s="1233"/>
      <c r="J12" s="1233"/>
      <c r="K12" s="1233"/>
      <c r="L12" s="1233"/>
      <c r="M12" s="1233"/>
      <c r="N12" s="1233"/>
      <c r="O12" s="1233"/>
      <c r="P12" s="1233"/>
      <c r="Q12" s="1221">
        <v>2.298</v>
      </c>
      <c r="R12" s="1221">
        <v>4.2320000000000002</v>
      </c>
      <c r="S12" s="1221">
        <v>4.1929999999999996</v>
      </c>
      <c r="T12" s="1222">
        <v>3.786</v>
      </c>
      <c r="U12" s="1223">
        <v>4.0339999999999998</v>
      </c>
      <c r="V12" s="1223">
        <v>3.6819999999999999</v>
      </c>
      <c r="W12" s="1223">
        <v>3.3159999999999998</v>
      </c>
      <c r="X12" s="1223">
        <v>2.9569999999999999</v>
      </c>
      <c r="Y12" s="1223">
        <v>3.2949999999999999</v>
      </c>
      <c r="Z12" s="1223">
        <v>3.1269999999999998</v>
      </c>
      <c r="AA12" s="1223">
        <v>3.125</v>
      </c>
      <c r="AB12" s="1223">
        <v>3.113</v>
      </c>
      <c r="AC12" s="1223">
        <v>2.5430000000000001</v>
      </c>
    </row>
    <row r="13" spans="2:39" ht="17.25" customHeight="1" x14ac:dyDescent="0.35">
      <c r="B13" s="1332" t="s">
        <v>195</v>
      </c>
      <c r="C13" s="1231" t="s">
        <v>987</v>
      </c>
      <c r="D13" s="1196"/>
      <c r="E13" s="1232"/>
      <c r="F13" s="1232"/>
      <c r="G13" s="1232"/>
      <c r="H13" s="1221">
        <f>'Haver Pivoted'!GS23</f>
        <v>1437.7</v>
      </c>
      <c r="I13" s="1221">
        <f>'Haver Pivoted'!GT23</f>
        <v>1455.6</v>
      </c>
      <c r="J13" s="1221">
        <f>'Haver Pivoted'!GU23</f>
        <v>1560</v>
      </c>
      <c r="K13" s="1221">
        <f>'Haver Pivoted'!GV23</f>
        <v>1525.3</v>
      </c>
      <c r="L13" s="1221">
        <f>'Haver Pivoted'!GW23</f>
        <v>1541.3</v>
      </c>
      <c r="M13" s="1221">
        <f>'Haver Pivoted'!GX23</f>
        <v>1620.3</v>
      </c>
      <c r="N13" s="1221">
        <f>'Haver Pivoted'!GY23</f>
        <v>1608</v>
      </c>
      <c r="O13" s="1221">
        <f>'Haver Pivoted'!GZ23</f>
        <v>1595.5</v>
      </c>
      <c r="P13" s="1221">
        <f>'Haver Pivoted'!HA23</f>
        <v>1612.8</v>
      </c>
      <c r="Q13" s="1221">
        <f>'Haver Pivoted'!HB23</f>
        <v>1613.1</v>
      </c>
      <c r="R13" s="1221">
        <f>'Haver Pivoted'!HC23</f>
        <v>1622.7</v>
      </c>
      <c r="S13" s="1234">
        <f>'Haver Pivoted'!HD23</f>
        <v>1657.1</v>
      </c>
      <c r="T13" s="1235">
        <f>'Haver Pivoted'!HE23</f>
        <v>1693.9</v>
      </c>
      <c r="U13" s="1236">
        <f t="shared" ref="U13:AC13" si="0">(U9/T9)*T13</f>
        <v>1711.593516628647</v>
      </c>
      <c r="V13" s="1236">
        <f t="shared" si="0"/>
        <v>1727.6600432224757</v>
      </c>
      <c r="W13" s="1236">
        <f t="shared" si="0"/>
        <v>1750.1328430784008</v>
      </c>
      <c r="X13" s="1236">
        <f t="shared" si="0"/>
        <v>1770.0634710049226</v>
      </c>
      <c r="Y13" s="1236">
        <f t="shared" si="0"/>
        <v>1787.8586745107455</v>
      </c>
      <c r="Z13" s="1236">
        <f t="shared" si="0"/>
        <v>1804.1285748589264</v>
      </c>
      <c r="AA13" s="1236">
        <f t="shared" si="0"/>
        <v>1820.6018489614596</v>
      </c>
      <c r="AB13" s="1236">
        <f t="shared" si="0"/>
        <v>1835.9565674150556</v>
      </c>
      <c r="AC13" s="1236">
        <f t="shared" si="0"/>
        <v>1849.6842958338334</v>
      </c>
    </row>
    <row r="14" spans="2:39" x14ac:dyDescent="0.35">
      <c r="B14" s="1237" t="s">
        <v>435</v>
      </c>
      <c r="C14" s="1238"/>
      <c r="D14" s="1237"/>
      <c r="E14" s="1238"/>
      <c r="F14" s="1238"/>
      <c r="G14" s="1238"/>
      <c r="H14" s="1300">
        <f t="shared" ref="H14:AC14" si="1">H13+H52</f>
        <v>1715.8720000000001</v>
      </c>
      <c r="I14" s="1300">
        <f t="shared" si="1"/>
        <v>1741.471</v>
      </c>
      <c r="J14" s="1300">
        <f t="shared" si="1"/>
        <v>1961.299</v>
      </c>
      <c r="K14" s="1300">
        <f t="shared" si="1"/>
        <v>1901.492</v>
      </c>
      <c r="L14" s="1300">
        <f t="shared" si="1"/>
        <v>1906.6610000000001</v>
      </c>
      <c r="M14" s="1300">
        <f t="shared" si="1"/>
        <v>2009.6410000000001</v>
      </c>
      <c r="N14" s="1300">
        <f t="shared" si="1"/>
        <v>2044.5930000000001</v>
      </c>
      <c r="O14" s="1300">
        <f t="shared" si="1"/>
        <v>2039.836</v>
      </c>
      <c r="P14" s="1300">
        <f t="shared" si="1"/>
        <v>2086.861852</v>
      </c>
      <c r="Q14" s="1300">
        <f t="shared" si="1"/>
        <v>2124.0872747999997</v>
      </c>
      <c r="R14" s="1300">
        <f t="shared" si="1"/>
        <v>2203.0890319999999</v>
      </c>
      <c r="S14" s="1299">
        <f t="shared" si="1"/>
        <v>2224.8278679999999</v>
      </c>
      <c r="T14" s="1299">
        <f t="shared" si="1"/>
        <v>2189.7549280000003</v>
      </c>
      <c r="U14" s="1239">
        <f t="shared" si="1"/>
        <v>2184.2918409928498</v>
      </c>
      <c r="V14" s="1239">
        <f t="shared" si="1"/>
        <v>2204.1927924590691</v>
      </c>
      <c r="W14" s="1239">
        <f t="shared" si="1"/>
        <v>2225.0224013043144</v>
      </c>
      <c r="X14" s="1239">
        <f t="shared" si="1"/>
        <v>2246.4980816715893</v>
      </c>
      <c r="Y14" s="1239">
        <f t="shared" si="1"/>
        <v>2252.4040574815162</v>
      </c>
      <c r="Z14" s="1239">
        <f t="shared" si="1"/>
        <v>2248.3279133049837</v>
      </c>
      <c r="AA14" s="1239">
        <f t="shared" si="1"/>
        <v>2268.7724772764095</v>
      </c>
      <c r="AB14" s="1239">
        <f t="shared" si="1"/>
        <v>2289.9785688483889</v>
      </c>
      <c r="AC14" s="1239">
        <f t="shared" si="1"/>
        <v>2286.3768546434353</v>
      </c>
      <c r="AD14" s="171" t="s">
        <v>436</v>
      </c>
    </row>
    <row r="15" spans="2:39" ht="15.75" customHeight="1" x14ac:dyDescent="0.35">
      <c r="B15" s="279"/>
      <c r="C15" s="279"/>
      <c r="D15" s="279"/>
      <c r="E15" s="279"/>
      <c r="F15" s="279"/>
      <c r="G15" s="279"/>
      <c r="H15" s="174"/>
      <c r="I15" s="174"/>
      <c r="J15" s="174"/>
      <c r="K15" s="174"/>
      <c r="L15" s="174"/>
      <c r="M15" s="174"/>
      <c r="N15" s="174"/>
      <c r="O15" s="174"/>
      <c r="AD15" s="171"/>
    </row>
    <row r="16" spans="2:39" x14ac:dyDescent="0.35">
      <c r="B16" s="279"/>
      <c r="C16" s="279"/>
      <c r="D16" s="279"/>
      <c r="E16" s="279"/>
      <c r="F16" s="279"/>
      <c r="G16" s="279"/>
      <c r="H16" s="174"/>
      <c r="I16" s="174"/>
      <c r="J16" s="174"/>
      <c r="K16" s="174"/>
      <c r="L16" s="174"/>
      <c r="M16" s="174"/>
      <c r="N16" s="174"/>
      <c r="O16" s="174"/>
      <c r="P16" s="456"/>
      <c r="Q16" s="456"/>
      <c r="R16" s="456"/>
      <c r="S16" s="456"/>
      <c r="T16" s="456"/>
      <c r="U16" s="456"/>
      <c r="V16" s="456"/>
      <c r="W16" s="456"/>
      <c r="X16" s="456"/>
      <c r="Y16" s="456"/>
      <c r="Z16" s="456"/>
      <c r="AA16" s="456"/>
      <c r="AB16" s="456"/>
      <c r="AC16" s="456"/>
    </row>
    <row r="17" spans="2:31" ht="21.75" customHeight="1" x14ac:dyDescent="0.35">
      <c r="B17" s="1433" t="s">
        <v>165</v>
      </c>
      <c r="C17" s="1433"/>
      <c r="D17" s="1433"/>
      <c r="E17" s="1433"/>
      <c r="F17" s="1433"/>
      <c r="G17" s="1433"/>
      <c r="H17" s="1433"/>
      <c r="I17" s="1433"/>
      <c r="J17" s="1433"/>
      <c r="K17" s="1433"/>
      <c r="L17" s="1433"/>
      <c r="M17" s="1433"/>
      <c r="N17" s="1433"/>
      <c r="O17" s="1433"/>
      <c r="P17" s="1433"/>
      <c r="Q17" s="1433"/>
      <c r="R17" s="1433"/>
      <c r="S17" s="1433"/>
      <c r="T17" s="1433"/>
      <c r="U17" s="1433"/>
      <c r="V17" s="1433"/>
      <c r="W17" s="1433"/>
      <c r="X17" s="1433"/>
      <c r="Y17" s="1433"/>
      <c r="Z17" s="1433"/>
      <c r="AA17" s="1433"/>
      <c r="AB17" s="1433"/>
      <c r="AC17" s="1433"/>
      <c r="AE17" s="139"/>
    </row>
    <row r="18" spans="2:31" ht="14.25" customHeight="1" x14ac:dyDescent="0.35">
      <c r="B18" s="1434" t="s">
        <v>437</v>
      </c>
      <c r="C18" s="1434"/>
      <c r="D18" s="1434"/>
      <c r="E18" s="1434"/>
      <c r="F18" s="1434"/>
      <c r="G18" s="1434"/>
      <c r="H18" s="1434"/>
      <c r="I18" s="1434"/>
      <c r="J18" s="1434"/>
      <c r="K18" s="1434"/>
      <c r="L18" s="1434"/>
      <c r="M18" s="1434"/>
      <c r="N18" s="1434"/>
      <c r="O18" s="1434"/>
      <c r="P18" s="1434"/>
      <c r="Q18" s="1434"/>
      <c r="R18" s="1434"/>
      <c r="S18" s="1434"/>
      <c r="T18" s="1434"/>
      <c r="U18" s="1434"/>
      <c r="V18" s="1434"/>
      <c r="W18" s="1434"/>
      <c r="X18" s="1434"/>
      <c r="Y18" s="1434"/>
      <c r="Z18" s="1434"/>
      <c r="AA18" s="1434"/>
      <c r="AB18" s="1434"/>
      <c r="AC18" s="1434"/>
      <c r="AE18" s="139"/>
    </row>
    <row r="19" spans="2:31" x14ac:dyDescent="0.35">
      <c r="B19" s="1434"/>
      <c r="C19" s="1434"/>
      <c r="D19" s="1434"/>
      <c r="E19" s="1434"/>
      <c r="F19" s="1434"/>
      <c r="G19" s="1434"/>
      <c r="H19" s="1434"/>
      <c r="I19" s="1434"/>
      <c r="J19" s="1434"/>
      <c r="K19" s="1434"/>
      <c r="L19" s="1434"/>
      <c r="M19" s="1434"/>
      <c r="N19" s="1434"/>
      <c r="O19" s="1434"/>
      <c r="P19" s="1434"/>
      <c r="Q19" s="1434"/>
      <c r="R19" s="1434"/>
      <c r="S19" s="1434"/>
      <c r="T19" s="1434"/>
      <c r="U19" s="1434"/>
      <c r="V19" s="1434"/>
      <c r="W19" s="1434"/>
      <c r="X19" s="1434"/>
      <c r="Y19" s="1434"/>
      <c r="Z19" s="1434"/>
      <c r="AA19" s="1434"/>
      <c r="AB19" s="1434"/>
      <c r="AC19" s="1434"/>
    </row>
    <row r="20" spans="2:31" x14ac:dyDescent="0.35">
      <c r="B20" s="1434"/>
      <c r="C20" s="1434"/>
      <c r="D20" s="1434"/>
      <c r="E20" s="1434"/>
      <c r="F20" s="1434"/>
      <c r="G20" s="1434"/>
      <c r="H20" s="1434"/>
      <c r="I20" s="1434"/>
      <c r="J20" s="1434"/>
      <c r="K20" s="1434"/>
      <c r="L20" s="1434"/>
      <c r="M20" s="1434"/>
      <c r="N20" s="1434"/>
      <c r="O20" s="1434"/>
      <c r="P20" s="1434"/>
      <c r="Q20" s="1434"/>
      <c r="R20" s="1434"/>
      <c r="S20" s="1434"/>
      <c r="T20" s="1434"/>
      <c r="U20" s="1434"/>
      <c r="V20" s="1434"/>
      <c r="W20" s="1434"/>
      <c r="X20" s="1434"/>
      <c r="Y20" s="1434"/>
      <c r="Z20" s="1434"/>
      <c r="AA20" s="1434"/>
      <c r="AB20" s="1434"/>
      <c r="AC20" s="1434"/>
    </row>
    <row r="22" spans="2:31" x14ac:dyDescent="0.35">
      <c r="B22" s="1437" t="s">
        <v>324</v>
      </c>
      <c r="C22" s="1438"/>
      <c r="D22" s="1447" t="s">
        <v>325</v>
      </c>
      <c r="E22" s="1448"/>
      <c r="F22" s="1448"/>
      <c r="G22" s="1448"/>
      <c r="H22" s="1448"/>
      <c r="I22" s="1448"/>
      <c r="J22" s="1448"/>
      <c r="K22" s="1448"/>
      <c r="L22" s="1448"/>
      <c r="M22" s="1448"/>
      <c r="N22" s="1448"/>
      <c r="O22" s="1448"/>
      <c r="P22" s="1448"/>
      <c r="Q22" s="1456"/>
      <c r="R22" s="1456"/>
      <c r="S22" s="1456"/>
      <c r="T22" s="1438"/>
      <c r="U22" s="1451" t="s">
        <v>326</v>
      </c>
      <c r="V22" s="1451"/>
      <c r="W22" s="1451"/>
      <c r="X22" s="1451"/>
      <c r="Y22" s="1451"/>
      <c r="Z22" s="1451"/>
      <c r="AA22" s="1451"/>
      <c r="AB22" s="1451"/>
      <c r="AC22" s="1452"/>
    </row>
    <row r="23" spans="2:31" x14ac:dyDescent="0.35">
      <c r="B23" s="1439"/>
      <c r="C23" s="1440"/>
      <c r="D23" s="133">
        <v>2018</v>
      </c>
      <c r="E23" s="1418">
        <v>2019</v>
      </c>
      <c r="F23" s="1435"/>
      <c r="G23" s="1435"/>
      <c r="H23" s="1436"/>
      <c r="I23" s="1418">
        <v>2020</v>
      </c>
      <c r="J23" s="1435"/>
      <c r="K23" s="1435"/>
      <c r="L23" s="1435"/>
      <c r="M23" s="1418">
        <v>2021</v>
      </c>
      <c r="N23" s="1435"/>
      <c r="O23" s="1435"/>
      <c r="P23" s="1435"/>
      <c r="Q23" s="1418">
        <v>2022</v>
      </c>
      <c r="R23" s="1419"/>
      <c r="S23" s="1419"/>
      <c r="T23" s="1436"/>
      <c r="U23" s="1441">
        <v>2023</v>
      </c>
      <c r="V23" s="1442"/>
      <c r="W23" s="1442"/>
      <c r="X23" s="1442"/>
      <c r="Y23" s="1444">
        <v>2024</v>
      </c>
      <c r="Z23" s="1442"/>
      <c r="AA23" s="1442"/>
      <c r="AB23" s="1443"/>
      <c r="AC23" s="274">
        <v>2025</v>
      </c>
    </row>
    <row r="24" spans="2:31" x14ac:dyDescent="0.35">
      <c r="B24" s="1454"/>
      <c r="C24" s="1455"/>
      <c r="D24" s="137" t="s">
        <v>327</v>
      </c>
      <c r="E24" s="137" t="s">
        <v>328</v>
      </c>
      <c r="F24" s="150" t="s">
        <v>329</v>
      </c>
      <c r="G24" s="150" t="s">
        <v>238</v>
      </c>
      <c r="H24" s="226" t="s">
        <v>327</v>
      </c>
      <c r="I24" s="150" t="s">
        <v>328</v>
      </c>
      <c r="J24" s="150" t="s">
        <v>329</v>
      </c>
      <c r="K24" s="150" t="s">
        <v>238</v>
      </c>
      <c r="L24" s="150" t="s">
        <v>327</v>
      </c>
      <c r="M24" s="137" t="s">
        <v>328</v>
      </c>
      <c r="N24" s="150" t="s">
        <v>329</v>
      </c>
      <c r="O24" s="150" t="s">
        <v>238</v>
      </c>
      <c r="P24" s="150" t="s">
        <v>327</v>
      </c>
      <c r="Q24" s="137" t="s">
        <v>328</v>
      </c>
      <c r="R24" s="150" t="s">
        <v>329</v>
      </c>
      <c r="S24" s="150" t="s">
        <v>238</v>
      </c>
      <c r="T24" s="226" t="s">
        <v>327</v>
      </c>
      <c r="U24" s="310" t="s">
        <v>328</v>
      </c>
      <c r="V24" s="310" t="s">
        <v>329</v>
      </c>
      <c r="W24" s="310" t="s">
        <v>238</v>
      </c>
      <c r="X24" s="310" t="s">
        <v>327</v>
      </c>
      <c r="Y24" s="379" t="s">
        <v>328</v>
      </c>
      <c r="Z24" s="267" t="s">
        <v>329</v>
      </c>
      <c r="AA24" s="310" t="s">
        <v>238</v>
      </c>
      <c r="AB24" s="155" t="s">
        <v>327</v>
      </c>
      <c r="AC24" s="404" t="s">
        <v>328</v>
      </c>
    </row>
    <row r="25" spans="2:31" x14ac:dyDescent="0.35">
      <c r="B25" s="472" t="s">
        <v>111</v>
      </c>
      <c r="C25" s="295" t="s">
        <v>438</v>
      </c>
      <c r="D25" s="278"/>
      <c r="E25" s="443"/>
      <c r="F25" s="443"/>
      <c r="G25" s="443"/>
      <c r="H25" s="438">
        <f>'Haver Pivoted'!GS24</f>
        <v>2384.1999999999998</v>
      </c>
      <c r="I25" s="438">
        <f>'Haver Pivoted'!GT24</f>
        <v>2427.4</v>
      </c>
      <c r="J25" s="438">
        <f>'Haver Pivoted'!GU24</f>
        <v>2391.8000000000002</v>
      </c>
      <c r="K25" s="438">
        <f>'Haver Pivoted'!GV24</f>
        <v>2397.6</v>
      </c>
      <c r="L25" s="438">
        <f>'Haver Pivoted'!GW24</f>
        <v>2416.5</v>
      </c>
      <c r="M25" s="438">
        <f>'Haver Pivoted'!GX24</f>
        <v>2468.4</v>
      </c>
      <c r="N25" s="438">
        <f>'Haver Pivoted'!GY24</f>
        <v>2516.4</v>
      </c>
      <c r="O25" s="438">
        <f>'Haver Pivoted'!GZ24</f>
        <v>2587.6</v>
      </c>
      <c r="P25" s="438">
        <f>'Haver Pivoted'!HA24</f>
        <v>2633.9</v>
      </c>
      <c r="Q25" s="438">
        <f>'Haver Pivoted'!HB24</f>
        <v>2698.2</v>
      </c>
      <c r="R25" s="438">
        <f>'Haver Pivoted'!HC24</f>
        <v>2790</v>
      </c>
      <c r="S25" s="444">
        <f>'Haver Pivoted'!HD24</f>
        <v>2836</v>
      </c>
      <c r="T25" s="1138">
        <f>'Haver Pivoted'!HE24</f>
        <v>2874.1</v>
      </c>
      <c r="U25" s="1139"/>
      <c r="V25" s="1129"/>
      <c r="W25" s="1129"/>
      <c r="X25" s="1129"/>
      <c r="Y25" s="1129"/>
      <c r="Z25" s="1129"/>
      <c r="AA25" s="1129"/>
      <c r="AB25" s="1129"/>
      <c r="AC25" s="1132"/>
    </row>
    <row r="26" spans="2:31" ht="29.25" customHeight="1" x14ac:dyDescent="0.35">
      <c r="B26" s="1193" t="s">
        <v>2207</v>
      </c>
      <c r="C26" s="1188"/>
      <c r="D26" s="1240"/>
      <c r="E26" s="1188"/>
      <c r="F26" s="1188"/>
      <c r="G26" s="1188"/>
      <c r="H26" s="1189"/>
      <c r="I26" s="1189"/>
      <c r="J26" s="1189"/>
      <c r="K26" s="1189"/>
      <c r="L26" s="1189"/>
      <c r="M26" s="1189"/>
      <c r="N26" s="1189"/>
      <c r="O26" s="1189"/>
      <c r="P26" s="1189"/>
      <c r="Q26" s="1190">
        <v>2698.2</v>
      </c>
      <c r="R26" s="1190">
        <v>2790</v>
      </c>
      <c r="S26" s="1190">
        <v>2829.6</v>
      </c>
      <c r="T26" s="1190">
        <v>2871.1</v>
      </c>
      <c r="U26" s="1241">
        <v>2900.1</v>
      </c>
      <c r="V26" s="1191">
        <v>2932.7</v>
      </c>
      <c r="W26" s="1191">
        <v>2970.6</v>
      </c>
      <c r="X26" s="1191">
        <v>3002.9</v>
      </c>
      <c r="Y26" s="1191">
        <v>3034.4</v>
      </c>
      <c r="Z26" s="1191">
        <v>3062.5</v>
      </c>
      <c r="AA26" s="1191">
        <v>3090.1</v>
      </c>
      <c r="AB26" s="1191">
        <v>3117.6</v>
      </c>
      <c r="AC26" s="1192">
        <v>3146.1</v>
      </c>
    </row>
    <row r="27" spans="2:31" s="1066" customFormat="1" ht="29.25" customHeight="1" x14ac:dyDescent="0.35">
      <c r="B27" s="479" t="s">
        <v>999</v>
      </c>
      <c r="C27" s="197"/>
      <c r="D27" s="462"/>
      <c r="E27" s="197"/>
      <c r="F27" s="197"/>
      <c r="G27" s="197"/>
      <c r="H27" s="174"/>
      <c r="I27" s="174"/>
      <c r="J27" s="174"/>
      <c r="K27" s="174"/>
      <c r="L27" s="174"/>
      <c r="M27" s="174"/>
      <c r="N27" s="174"/>
      <c r="O27" s="174"/>
      <c r="P27" s="174"/>
      <c r="Q27" s="440">
        <v>2625.2</v>
      </c>
      <c r="R27" s="440">
        <v>2687.5</v>
      </c>
      <c r="S27" s="441">
        <v>2737.7</v>
      </c>
      <c r="T27" s="1133">
        <v>2776</v>
      </c>
      <c r="U27" s="1131">
        <v>2809.9</v>
      </c>
      <c r="V27" s="1127">
        <v>2839.2</v>
      </c>
      <c r="W27" s="1127">
        <v>2865.7</v>
      </c>
      <c r="X27" s="1127">
        <v>2891.3</v>
      </c>
      <c r="Y27" s="1127">
        <v>2916.4</v>
      </c>
      <c r="Z27" s="1127">
        <v>2941.4</v>
      </c>
      <c r="AA27" s="1127">
        <v>2967.1</v>
      </c>
      <c r="AB27" s="1127">
        <v>2993.7</v>
      </c>
      <c r="AC27" s="1137">
        <v>3022.3</v>
      </c>
    </row>
    <row r="28" spans="2:31" ht="21" customHeight="1" x14ac:dyDescent="0.35">
      <c r="B28" s="202" t="s">
        <v>439</v>
      </c>
      <c r="C28" s="279"/>
      <c r="D28" s="286"/>
      <c r="E28" s="279"/>
      <c r="F28" s="279"/>
      <c r="G28" s="279"/>
      <c r="H28" s="166"/>
      <c r="I28" s="166"/>
      <c r="J28" s="166"/>
      <c r="K28" s="166"/>
      <c r="L28" s="166"/>
      <c r="M28" s="182">
        <f>((M29/L29)^4-1)*100</f>
        <v>8.8716871433844435</v>
      </c>
      <c r="N28" s="182">
        <f t="shared" ref="N28:Q28" si="2">((N29/M29)^4-1)*100</f>
        <v>8.0081568848658691</v>
      </c>
      <c r="O28" s="182">
        <f t="shared" si="2"/>
        <v>11.807223761379305</v>
      </c>
      <c r="P28" s="182">
        <f t="shared" si="2"/>
        <v>7.3516092986590564</v>
      </c>
      <c r="Q28" s="182">
        <f t="shared" si="2"/>
        <v>10.128423587170188</v>
      </c>
      <c r="R28" s="182">
        <f>((R29/Q29)^4-1)*100</f>
        <v>14.319485516488072</v>
      </c>
      <c r="S28" s="442">
        <f>((S29/R29)^4-1)*100</f>
        <v>6.7598839303983915</v>
      </c>
      <c r="T28" s="1134">
        <f>((T29/S29)^4-1)*100</f>
        <v>5.4830290993985065</v>
      </c>
      <c r="U28" s="452">
        <f t="shared" ref="U28:AB28" si="3">((U26/T26)^4-1)*100</f>
        <v>4.1018905342404821</v>
      </c>
      <c r="V28" s="1128">
        <f t="shared" si="3"/>
        <v>4.5727823733710871</v>
      </c>
      <c r="W28" s="1128">
        <f t="shared" si="3"/>
        <v>5.2703701851707363</v>
      </c>
      <c r="X28" s="1128">
        <f t="shared" si="3"/>
        <v>4.4207415105887327</v>
      </c>
      <c r="Y28" s="1128">
        <f t="shared" si="3"/>
        <v>4.2624291366428535</v>
      </c>
      <c r="Z28" s="1128">
        <f t="shared" si="3"/>
        <v>3.7559642184341602</v>
      </c>
      <c r="AA28" s="1128">
        <f t="shared" si="3"/>
        <v>3.6539237455461615</v>
      </c>
      <c r="AB28" s="1128">
        <f t="shared" si="3"/>
        <v>3.6075573724492882</v>
      </c>
      <c r="AC28" s="281"/>
      <c r="AD28" s="464" t="s">
        <v>440</v>
      </c>
    </row>
    <row r="29" spans="2:31" ht="17.899999999999999" customHeight="1" x14ac:dyDescent="0.35">
      <c r="B29" s="477" t="s">
        <v>441</v>
      </c>
      <c r="C29" s="294"/>
      <c r="D29" s="287"/>
      <c r="E29" s="294"/>
      <c r="F29" s="294"/>
      <c r="G29" s="294"/>
      <c r="H29" s="258">
        <f t="shared" ref="H29:T29" si="4">H25</f>
        <v>2384.1999999999998</v>
      </c>
      <c r="I29" s="258">
        <f t="shared" si="4"/>
        <v>2427.4</v>
      </c>
      <c r="J29" s="258">
        <f t="shared" si="4"/>
        <v>2391.8000000000002</v>
      </c>
      <c r="K29" s="258">
        <f t="shared" si="4"/>
        <v>2397.6</v>
      </c>
      <c r="L29" s="258">
        <f t="shared" si="4"/>
        <v>2416.5</v>
      </c>
      <c r="M29" s="258">
        <f t="shared" si="4"/>
        <v>2468.4</v>
      </c>
      <c r="N29" s="258">
        <f t="shared" si="4"/>
        <v>2516.4</v>
      </c>
      <c r="O29" s="258">
        <f t="shared" si="4"/>
        <v>2587.6</v>
      </c>
      <c r="P29" s="258">
        <f t="shared" si="4"/>
        <v>2633.9</v>
      </c>
      <c r="Q29" s="258">
        <f t="shared" si="4"/>
        <v>2698.2</v>
      </c>
      <c r="R29" s="258">
        <f t="shared" si="4"/>
        <v>2790</v>
      </c>
      <c r="S29" s="254">
        <f t="shared" si="4"/>
        <v>2836</v>
      </c>
      <c r="T29" s="1140">
        <f t="shared" si="4"/>
        <v>2874.1</v>
      </c>
      <c r="U29" s="1130">
        <f t="shared" ref="U29:AB29" si="5">T29*((1+U28/100)^0.25)</f>
        <v>2903.130301974853</v>
      </c>
      <c r="V29" s="1136">
        <f t="shared" si="5"/>
        <v>2935.7643655741699</v>
      </c>
      <c r="W29" s="1136">
        <f t="shared" si="5"/>
        <v>2973.7039671206157</v>
      </c>
      <c r="X29" s="1136">
        <f t="shared" si="5"/>
        <v>3006.0377172512281</v>
      </c>
      <c r="Y29" s="1136">
        <f t="shared" si="5"/>
        <v>3037.5706314652921</v>
      </c>
      <c r="Z29" s="1136">
        <f t="shared" si="5"/>
        <v>3065.6999930340289</v>
      </c>
      <c r="AA29" s="1136">
        <f t="shared" si="5"/>
        <v>3093.328832154923</v>
      </c>
      <c r="AB29" s="1136">
        <f t="shared" si="5"/>
        <v>3120.8575667862492</v>
      </c>
      <c r="AC29" s="271">
        <f>(AC26/$R26)*$R29</f>
        <v>3146.1</v>
      </c>
    </row>
    <row r="30" spans="2:31" x14ac:dyDescent="0.35">
      <c r="B30" s="433" t="s">
        <v>442</v>
      </c>
      <c r="C30" s="434"/>
      <c r="D30" s="433"/>
      <c r="E30" s="434"/>
      <c r="F30" s="434"/>
      <c r="G30" s="434"/>
      <c r="H30" s="463">
        <f t="shared" ref="H30:P30" si="6">H25-H52</f>
        <v>2106.0279999999998</v>
      </c>
      <c r="I30" s="463">
        <f t="shared" si="6"/>
        <v>2141.529</v>
      </c>
      <c r="J30" s="463">
        <f t="shared" si="6"/>
        <v>1990.5010000000002</v>
      </c>
      <c r="K30" s="463">
        <f t="shared" si="6"/>
        <v>2021.4079999999999</v>
      </c>
      <c r="L30" s="463">
        <f t="shared" si="6"/>
        <v>2051.1390000000001</v>
      </c>
      <c r="M30" s="463">
        <f t="shared" si="6"/>
        <v>2079.0590000000002</v>
      </c>
      <c r="N30" s="463">
        <f t="shared" si="6"/>
        <v>2079.8069999999998</v>
      </c>
      <c r="O30" s="463">
        <f t="shared" si="6"/>
        <v>2143.2640000000001</v>
      </c>
      <c r="P30" s="463">
        <f t="shared" si="6"/>
        <v>2159.8381479999998</v>
      </c>
      <c r="Q30" s="463">
        <f t="shared" ref="Q30:AC30" si="7">Q29-Q52</f>
        <v>2187.2127252</v>
      </c>
      <c r="R30" s="463">
        <f t="shared" si="7"/>
        <v>2209.610968</v>
      </c>
      <c r="S30" s="463">
        <f t="shared" si="7"/>
        <v>2268.2721320000001</v>
      </c>
      <c r="T30" s="463">
        <f t="shared" si="7"/>
        <v>2378.2450719999997</v>
      </c>
      <c r="U30" s="468">
        <f t="shared" si="7"/>
        <v>2430.4319776106499</v>
      </c>
      <c r="V30" s="285">
        <f t="shared" si="7"/>
        <v>2459.2316163375763</v>
      </c>
      <c r="W30" s="285">
        <f t="shared" si="7"/>
        <v>2498.8144088947024</v>
      </c>
      <c r="X30" s="285">
        <f t="shared" si="7"/>
        <v>2529.6031065845614</v>
      </c>
      <c r="Y30" s="285">
        <f t="shared" si="7"/>
        <v>2573.0252484945213</v>
      </c>
      <c r="Z30" s="285">
        <f t="shared" si="7"/>
        <v>2621.5006545879714</v>
      </c>
      <c r="AA30" s="285">
        <f t="shared" si="7"/>
        <v>2645.1582038399729</v>
      </c>
      <c r="AB30" s="285">
        <f t="shared" si="7"/>
        <v>2666.8355653529161</v>
      </c>
      <c r="AC30" s="426">
        <f t="shared" si="7"/>
        <v>2709.407441190398</v>
      </c>
      <c r="AD30" s="171" t="s">
        <v>443</v>
      </c>
    </row>
    <row r="31" spans="2:31" x14ac:dyDescent="0.35">
      <c r="B31" s="35"/>
      <c r="C31" s="35"/>
      <c r="D31" s="35"/>
      <c r="E31" s="35"/>
      <c r="F31" s="35"/>
      <c r="G31" s="35"/>
      <c r="H31" s="35"/>
      <c r="I31" s="35"/>
      <c r="J31" s="35"/>
      <c r="K31" s="35"/>
      <c r="L31" s="35"/>
      <c r="M31" s="139"/>
      <c r="N31" s="139"/>
      <c r="O31" s="139"/>
      <c r="P31" s="139"/>
      <c r="Q31" s="139"/>
      <c r="R31" s="139"/>
      <c r="S31" s="454"/>
      <c r="T31" s="454"/>
      <c r="U31" s="454"/>
      <c r="V31" s="454"/>
      <c r="W31" s="454"/>
      <c r="X31" s="454"/>
      <c r="Y31" s="454"/>
      <c r="Z31" s="454"/>
      <c r="AA31" s="454"/>
      <c r="AB31" s="454"/>
      <c r="AC31" s="454"/>
    </row>
    <row r="32" spans="2:31" x14ac:dyDescent="0.35">
      <c r="B32" s="35"/>
      <c r="C32" s="35"/>
      <c r="D32" s="35"/>
      <c r="E32" s="35"/>
      <c r="F32" s="35"/>
      <c r="G32" s="35"/>
      <c r="H32" s="35"/>
      <c r="I32" s="35"/>
      <c r="J32" s="35"/>
      <c r="K32" s="35"/>
      <c r="L32" s="35"/>
      <c r="M32" s="139"/>
      <c r="N32" s="139"/>
      <c r="O32" s="139"/>
      <c r="P32" s="139"/>
      <c r="Q32" s="139"/>
      <c r="R32" s="139"/>
      <c r="S32" s="454"/>
      <c r="T32" s="454"/>
      <c r="U32" s="454"/>
      <c r="V32" s="454"/>
      <c r="W32" s="454"/>
      <c r="X32" s="454"/>
      <c r="Y32" s="454"/>
      <c r="Z32" s="454"/>
      <c r="AA32" s="454"/>
      <c r="AB32" s="454"/>
      <c r="AC32" s="454"/>
    </row>
    <row r="33" spans="2:33" x14ac:dyDescent="0.35">
      <c r="B33" s="35"/>
      <c r="C33" s="35"/>
      <c r="D33" s="35"/>
      <c r="E33" s="35"/>
      <c r="F33" s="35"/>
      <c r="G33" s="35"/>
      <c r="H33" s="35"/>
      <c r="I33" s="35"/>
      <c r="J33" s="35"/>
      <c r="K33" s="35"/>
      <c r="L33" s="35"/>
      <c r="M33" s="139"/>
      <c r="N33" s="139"/>
      <c r="O33" s="139"/>
      <c r="P33" s="139"/>
      <c r="Q33" s="139"/>
      <c r="R33" s="139"/>
      <c r="S33" s="454"/>
      <c r="T33" s="454"/>
      <c r="U33" s="454"/>
      <c r="V33" s="454"/>
      <c r="W33" s="454"/>
      <c r="X33" s="454"/>
      <c r="Y33" s="454"/>
      <c r="Z33" s="454"/>
      <c r="AA33" s="454"/>
      <c r="AB33" s="454"/>
      <c r="AC33" s="454"/>
    </row>
    <row r="34" spans="2:33" x14ac:dyDescent="0.35">
      <c r="B34" s="279"/>
      <c r="C34" s="279"/>
      <c r="D34" s="279"/>
      <c r="E34" s="279"/>
      <c r="F34" s="279"/>
      <c r="G34" s="279"/>
      <c r="H34" s="174"/>
      <c r="I34" s="174"/>
      <c r="J34" s="174"/>
      <c r="K34" s="174"/>
      <c r="L34" s="174"/>
      <c r="M34" s="174"/>
      <c r="N34" s="174"/>
      <c r="O34" s="174"/>
      <c r="P34" s="174"/>
      <c r="Q34" s="457"/>
      <c r="R34" s="174"/>
      <c r="S34" s="174"/>
      <c r="T34" s="174"/>
      <c r="U34" s="174"/>
      <c r="V34" s="174"/>
      <c r="W34" s="174"/>
      <c r="X34" s="174"/>
      <c r="Y34" s="174"/>
      <c r="Z34" s="174"/>
    </row>
    <row r="35" spans="2:33" ht="85.4" customHeight="1" x14ac:dyDescent="0.35">
      <c r="B35" s="469" t="s">
        <v>942</v>
      </c>
      <c r="C35" s="476" t="s">
        <v>941</v>
      </c>
      <c r="D35" s="474">
        <v>44197</v>
      </c>
      <c r="E35" s="475">
        <v>44228</v>
      </c>
      <c r="F35" s="475">
        <v>44256</v>
      </c>
      <c r="G35" s="475">
        <v>44287</v>
      </c>
      <c r="H35" s="475">
        <v>44317</v>
      </c>
      <c r="I35" s="475">
        <v>44348</v>
      </c>
      <c r="J35" s="475">
        <v>44378</v>
      </c>
      <c r="K35" s="475">
        <v>44409</v>
      </c>
      <c r="L35" s="475">
        <v>44440</v>
      </c>
      <c r="M35" s="475">
        <v>44470</v>
      </c>
      <c r="N35" s="475">
        <v>44501</v>
      </c>
      <c r="O35" s="475">
        <v>44531</v>
      </c>
      <c r="P35" s="459">
        <v>44562</v>
      </c>
      <c r="Q35" s="458">
        <v>44593</v>
      </c>
      <c r="R35" s="459">
        <v>44621</v>
      </c>
      <c r="S35" s="459">
        <v>44652</v>
      </c>
      <c r="T35" s="459">
        <v>44682</v>
      </c>
      <c r="U35" s="459">
        <v>44713</v>
      </c>
      <c r="V35" s="459">
        <v>44743</v>
      </c>
      <c r="W35" s="459">
        <v>44774</v>
      </c>
      <c r="X35" s="459">
        <v>44805</v>
      </c>
      <c r="Y35" s="459">
        <v>44835</v>
      </c>
      <c r="Z35" s="174"/>
    </row>
    <row r="36" spans="2:33" ht="19.5" customHeight="1" x14ac:dyDescent="0.35">
      <c r="B36" s="384" t="s">
        <v>444</v>
      </c>
      <c r="C36" s="455" t="s">
        <v>445</v>
      </c>
      <c r="D36" s="35">
        <f>[1]Sheet1!B$2</f>
        <v>5154</v>
      </c>
      <c r="E36" s="35">
        <f>[1]Sheet1!C$2</f>
        <v>5157</v>
      </c>
      <c r="F36" s="35">
        <f>[1]Sheet1!D$2</f>
        <v>5170</v>
      </c>
      <c r="G36" s="35">
        <f>[1]Sheet1!E$2</f>
        <v>5173</v>
      </c>
      <c r="H36" s="35">
        <f>[1]Sheet1!F$2</f>
        <v>5231</v>
      </c>
      <c r="I36" s="35">
        <f>[1]Sheet1!G$2</f>
        <v>5251</v>
      </c>
      <c r="J36" s="35">
        <f>[1]Sheet1!H$2</f>
        <v>5241</v>
      </c>
      <c r="K36" s="35">
        <f>[1]Sheet1!I$2</f>
        <v>5226</v>
      </c>
      <c r="L36" s="35">
        <f>[1]Sheet1!J$2</f>
        <v>5224</v>
      </c>
      <c r="M36" s="35">
        <f>[1]Sheet1!K$2</f>
        <v>5224</v>
      </c>
      <c r="N36" s="35">
        <f>[1]Sheet1!L$2</f>
        <v>5220</v>
      </c>
      <c r="O36" s="35">
        <f>[1]Sheet1!M$2</f>
        <v>5237</v>
      </c>
      <c r="P36" s="35">
        <f>[1]Sheet1!N$2</f>
        <v>5219</v>
      </c>
      <c r="Q36" s="35">
        <f>[1]Sheet1!O$2</f>
        <v>5212</v>
      </c>
      <c r="R36" s="35">
        <f>[1]Sheet1!P$2</f>
        <v>5213</v>
      </c>
      <c r="S36" s="35">
        <f>[1]Sheet1!Q$2</f>
        <v>5218</v>
      </c>
      <c r="T36" s="35">
        <f>[1]Sheet1!R$2</f>
        <v>5258</v>
      </c>
      <c r="U36" s="35">
        <f>[1]Sheet1!S$2</f>
        <v>5238</v>
      </c>
      <c r="V36" s="35">
        <f>[1]Sheet1!T$2</f>
        <v>5246</v>
      </c>
      <c r="W36" s="35">
        <v>5261</v>
      </c>
      <c r="X36" s="35">
        <v>5261</v>
      </c>
      <c r="Y36" s="35">
        <v>5254</v>
      </c>
      <c r="Z36" s="174"/>
    </row>
    <row r="37" spans="2:33" ht="18" customHeight="1" x14ac:dyDescent="0.35">
      <c r="B37" s="286" t="s">
        <v>446</v>
      </c>
      <c r="C37" s="171" t="s">
        <v>447</v>
      </c>
      <c r="D37" s="35">
        <f>[1]Sheet1!B$3</f>
        <v>13748</v>
      </c>
      <c r="E37" s="35">
        <f>[1]Sheet1!C$3</f>
        <v>13760</v>
      </c>
      <c r="F37" s="35">
        <f>[1]Sheet1!D$3</f>
        <v>13801</v>
      </c>
      <c r="G37" s="35">
        <f>[1]Sheet1!E$3</f>
        <v>13842</v>
      </c>
      <c r="H37" s="35">
        <f>[1]Sheet1!F$3</f>
        <v>13856</v>
      </c>
      <c r="I37" s="35">
        <f>[1]Sheet1!G$3</f>
        <v>13889</v>
      </c>
      <c r="J37" s="35">
        <f>[1]Sheet1!H$3</f>
        <v>13948</v>
      </c>
      <c r="K37" s="35">
        <f>[1]Sheet1!I$3</f>
        <v>13984</v>
      </c>
      <c r="L37" s="35">
        <f>[1]Sheet1!J$3</f>
        <v>14002</v>
      </c>
      <c r="M37" s="35">
        <f>[1]Sheet1!K$3</f>
        <v>13990</v>
      </c>
      <c r="N37" s="35">
        <f>[1]Sheet1!L$3</f>
        <v>14010</v>
      </c>
      <c r="O37" s="35">
        <f>[1]Sheet1!M$3</f>
        <v>14028</v>
      </c>
      <c r="P37" s="35">
        <f>[1]Sheet1!N$3</f>
        <v>14055</v>
      </c>
      <c r="Q37" s="35">
        <f>[1]Sheet1!O$3</f>
        <v>14073</v>
      </c>
      <c r="R37" s="35">
        <f>[1]Sheet1!P$3</f>
        <v>14087</v>
      </c>
      <c r="S37" s="35">
        <f>[1]Sheet1!Q$3</f>
        <v>14091</v>
      </c>
      <c r="T37" s="35">
        <f>[1]Sheet1!R$3</f>
        <v>14105</v>
      </c>
      <c r="U37" s="35">
        <f>[1]Sheet1!S$3</f>
        <v>14084</v>
      </c>
      <c r="V37" s="35">
        <f>[1]Sheet1!T$3</f>
        <v>14157</v>
      </c>
      <c r="W37" s="35">
        <v>14201</v>
      </c>
      <c r="X37" s="35">
        <v>14194</v>
      </c>
      <c r="Y37" s="35">
        <v>14223</v>
      </c>
      <c r="Z37" s="174"/>
      <c r="AG37" s="171"/>
    </row>
    <row r="38" spans="2:33" ht="19.5" customHeight="1" x14ac:dyDescent="0.35">
      <c r="B38" s="433" t="s">
        <v>448</v>
      </c>
      <c r="C38" s="280" t="s">
        <v>449</v>
      </c>
      <c r="D38" s="36">
        <f>[1]Sheet1!B$4</f>
        <v>328517</v>
      </c>
      <c r="E38" s="36">
        <f>[1]Sheet1!C$4</f>
        <v>320118</v>
      </c>
      <c r="F38" s="36">
        <f>[1]Sheet1!D$4</f>
        <v>319991</v>
      </c>
      <c r="G38" s="36">
        <f>[1]Sheet1!E$4</f>
        <v>321220</v>
      </c>
      <c r="H38" s="36">
        <f>[1]Sheet1!F$4</f>
        <v>319056</v>
      </c>
      <c r="I38" s="36">
        <f>[1]Sheet1!G$4</f>
        <v>315198</v>
      </c>
      <c r="J38" s="36">
        <f>[1]Sheet1!H$4</f>
        <v>318559</v>
      </c>
      <c r="K38" s="36">
        <f>[1]Sheet1!I$4</f>
        <v>323086</v>
      </c>
      <c r="L38" s="36">
        <f>[1]Sheet1!J$4</f>
        <v>324024</v>
      </c>
      <c r="M38" s="36">
        <f>[1]Sheet1!K$4</f>
        <v>325954</v>
      </c>
      <c r="N38" s="36">
        <f>[1]Sheet1!L$4</f>
        <v>325873</v>
      </c>
      <c r="O38" s="36">
        <f>[1]Sheet1!M$4</f>
        <v>323714</v>
      </c>
      <c r="P38" s="36">
        <f>[1]Sheet1!N$4</f>
        <v>323638</v>
      </c>
      <c r="Q38" s="36">
        <f>[1]Sheet1!O$4</f>
        <v>324761</v>
      </c>
      <c r="R38" s="36">
        <f>[1]Sheet1!P$4</f>
        <v>319759</v>
      </c>
      <c r="S38" s="36">
        <v>323392</v>
      </c>
      <c r="T38" s="36">
        <v>320626</v>
      </c>
      <c r="U38" s="36">
        <f>[1]Sheet1!S$4</f>
        <v>324999</v>
      </c>
      <c r="V38" s="36">
        <v>336811</v>
      </c>
      <c r="W38" s="36">
        <v>337289</v>
      </c>
      <c r="X38" s="36">
        <v>339155</v>
      </c>
      <c r="Y38" s="36">
        <f>[1]Sheet1!W$4</f>
        <v>0</v>
      </c>
      <c r="Z38" s="174"/>
      <c r="AG38" s="171"/>
    </row>
    <row r="39" spans="2:33" ht="15.65" customHeight="1" x14ac:dyDescent="0.35">
      <c r="B39" s="294"/>
      <c r="C39" s="279"/>
      <c r="D39" s="279"/>
      <c r="E39" s="279"/>
      <c r="F39" s="279"/>
      <c r="G39" s="279"/>
      <c r="H39" s="174"/>
      <c r="I39" s="174"/>
      <c r="J39" s="174"/>
      <c r="Q39" s="478"/>
      <c r="R39" s="174"/>
      <c r="S39" s="174"/>
      <c r="T39" s="174"/>
      <c r="U39" s="174"/>
      <c r="V39" s="174"/>
      <c r="W39" s="174"/>
      <c r="X39" s="174"/>
      <c r="Y39" s="174"/>
      <c r="Z39" s="174"/>
      <c r="AG39" s="171"/>
    </row>
    <row r="40" spans="2:33" ht="12.75" customHeight="1" x14ac:dyDescent="0.35">
      <c r="AG40" s="171"/>
    </row>
    <row r="41" spans="2:33" x14ac:dyDescent="0.35">
      <c r="B41" s="1433" t="s">
        <v>450</v>
      </c>
      <c r="C41" s="1433"/>
      <c r="D41" s="1433"/>
      <c r="E41" s="1433"/>
      <c r="F41" s="1433"/>
      <c r="G41" s="1433"/>
      <c r="H41" s="1433"/>
      <c r="I41" s="1433"/>
      <c r="J41" s="1433"/>
      <c r="K41" s="1433"/>
      <c r="L41" s="1433"/>
      <c r="M41" s="1433"/>
      <c r="N41" s="1433"/>
      <c r="O41" s="1433"/>
      <c r="P41" s="1433"/>
      <c r="Q41" s="1433"/>
      <c r="R41" s="1433"/>
      <c r="S41" s="1433"/>
      <c r="T41" s="1433"/>
      <c r="U41" s="1433"/>
      <c r="V41" s="1433"/>
      <c r="W41" s="1433"/>
      <c r="X41" s="1433"/>
      <c r="Y41" s="1433"/>
      <c r="Z41" s="1433"/>
      <c r="AA41" s="1433"/>
      <c r="AB41" s="1433"/>
      <c r="AC41" s="1433"/>
      <c r="AG41" s="171"/>
    </row>
    <row r="42" spans="2:33" ht="9" customHeight="1" x14ac:dyDescent="0.35">
      <c r="B42" s="1433"/>
      <c r="C42" s="1433"/>
      <c r="D42" s="1433"/>
      <c r="E42" s="1433"/>
      <c r="F42" s="1433"/>
      <c r="G42" s="1433"/>
      <c r="H42" s="1433"/>
      <c r="I42" s="1433"/>
      <c r="J42" s="1433"/>
      <c r="K42" s="1433"/>
      <c r="L42" s="1433"/>
      <c r="M42" s="1433"/>
      <c r="N42" s="1433"/>
      <c r="O42" s="1433"/>
      <c r="P42" s="1433"/>
      <c r="Q42" s="1433"/>
      <c r="R42" s="1433"/>
      <c r="S42" s="1433"/>
      <c r="T42" s="1433"/>
      <c r="U42" s="1433"/>
      <c r="V42" s="1433"/>
      <c r="W42" s="1433"/>
      <c r="X42" s="1433"/>
      <c r="Y42" s="1433"/>
      <c r="Z42" s="1433"/>
      <c r="AA42" s="1433"/>
      <c r="AB42" s="1433"/>
      <c r="AC42" s="1433"/>
      <c r="AG42" s="171"/>
    </row>
    <row r="43" spans="2:33" ht="14.25" customHeight="1" x14ac:dyDescent="0.35">
      <c r="B43" s="1474" t="s">
        <v>451</v>
      </c>
      <c r="C43" s="1474"/>
      <c r="D43" s="1474"/>
      <c r="E43" s="1474"/>
      <c r="F43" s="1474"/>
      <c r="G43" s="1474"/>
      <c r="H43" s="1474"/>
      <c r="I43" s="1474"/>
      <c r="J43" s="1474"/>
      <c r="K43" s="1474"/>
      <c r="L43" s="1474"/>
      <c r="M43" s="1474"/>
      <c r="N43" s="1474"/>
      <c r="O43" s="1474"/>
      <c r="P43" s="1474"/>
      <c r="Q43" s="1474"/>
      <c r="R43" s="1474"/>
      <c r="S43" s="1474"/>
      <c r="T43" s="1474"/>
      <c r="U43" s="1474"/>
      <c r="V43" s="1474"/>
      <c r="W43" s="1474"/>
      <c r="X43" s="1474"/>
      <c r="Y43" s="1474"/>
      <c r="Z43" s="1474"/>
      <c r="AA43" s="1474"/>
      <c r="AB43" s="1474"/>
      <c r="AC43" s="1474"/>
      <c r="AG43" s="171"/>
    </row>
    <row r="44" spans="2:33" x14ac:dyDescent="0.35">
      <c r="B44" s="1474"/>
      <c r="C44" s="1474"/>
      <c r="D44" s="1474"/>
      <c r="E44" s="1474"/>
      <c r="F44" s="1474"/>
      <c r="G44" s="1474"/>
      <c r="H44" s="1474"/>
      <c r="I44" s="1474"/>
      <c r="J44" s="1474"/>
      <c r="K44" s="1474"/>
      <c r="L44" s="1474"/>
      <c r="M44" s="1474"/>
      <c r="N44" s="1474"/>
      <c r="O44" s="1474"/>
      <c r="P44" s="1474"/>
      <c r="Q44" s="1474"/>
      <c r="R44" s="1474"/>
      <c r="S44" s="1474"/>
      <c r="T44" s="1474"/>
      <c r="U44" s="1474"/>
      <c r="V44" s="1474"/>
      <c r="W44" s="1474"/>
      <c r="X44" s="1474"/>
      <c r="Y44" s="1474"/>
      <c r="Z44" s="1474"/>
      <c r="AA44" s="1474"/>
      <c r="AB44" s="1474"/>
      <c r="AC44" s="1474"/>
      <c r="AG44" s="171"/>
    </row>
    <row r="45" spans="2:33" ht="8.9" customHeight="1" x14ac:dyDescent="0.35">
      <c r="B45" s="1474"/>
      <c r="C45" s="1474"/>
      <c r="D45" s="1474"/>
      <c r="E45" s="1474"/>
      <c r="F45" s="1474"/>
      <c r="G45" s="1474"/>
      <c r="H45" s="1474"/>
      <c r="I45" s="1474"/>
      <c r="J45" s="1474"/>
      <c r="K45" s="1474"/>
      <c r="L45" s="1474"/>
      <c r="M45" s="1474"/>
      <c r="N45" s="1474"/>
      <c r="O45" s="1474"/>
      <c r="P45" s="1474"/>
      <c r="Q45" s="1474"/>
      <c r="R45" s="1474"/>
      <c r="S45" s="1474"/>
      <c r="T45" s="1474"/>
      <c r="U45" s="1474"/>
      <c r="V45" s="1474"/>
      <c r="W45" s="1474"/>
      <c r="X45" s="1474"/>
      <c r="Y45" s="1474"/>
      <c r="Z45" s="1474"/>
      <c r="AA45" s="1474"/>
      <c r="AB45" s="1474"/>
      <c r="AC45" s="1474"/>
      <c r="AG45" s="171"/>
    </row>
    <row r="46" spans="2:33" ht="12.75" customHeight="1" x14ac:dyDescent="0.35">
      <c r="AG46" s="171"/>
    </row>
    <row r="47" spans="2:33" ht="30.75" customHeight="1" x14ac:dyDescent="0.35">
      <c r="B47" s="1437" t="s">
        <v>324</v>
      </c>
      <c r="C47" s="1475"/>
      <c r="D47" s="1447" t="s">
        <v>325</v>
      </c>
      <c r="E47" s="1448"/>
      <c r="F47" s="1448"/>
      <c r="G47" s="1448"/>
      <c r="H47" s="1448"/>
      <c r="I47" s="1448"/>
      <c r="J47" s="1448"/>
      <c r="K47" s="1448"/>
      <c r="L47" s="1448"/>
      <c r="M47" s="1448"/>
      <c r="N47" s="1448"/>
      <c r="O47" s="1448"/>
      <c r="P47" s="1448"/>
      <c r="Q47" s="1456"/>
      <c r="R47" s="1456"/>
      <c r="S47" s="1456"/>
      <c r="T47" s="1438"/>
      <c r="U47" s="1451" t="s">
        <v>326</v>
      </c>
      <c r="V47" s="1451"/>
      <c r="W47" s="1451"/>
      <c r="X47" s="1451"/>
      <c r="Y47" s="1451"/>
      <c r="Z47" s="1451"/>
      <c r="AA47" s="1451"/>
      <c r="AB47" s="1451"/>
      <c r="AC47" s="1452"/>
      <c r="AG47" s="171"/>
    </row>
    <row r="48" spans="2:33" x14ac:dyDescent="0.35">
      <c r="B48" s="1439"/>
      <c r="C48" s="1476"/>
      <c r="D48" s="133">
        <v>2018</v>
      </c>
      <c r="E48" s="1418">
        <v>2019</v>
      </c>
      <c r="F48" s="1435"/>
      <c r="G48" s="1435"/>
      <c r="H48" s="1436"/>
      <c r="I48" s="1418">
        <v>2020</v>
      </c>
      <c r="J48" s="1435"/>
      <c r="K48" s="1435"/>
      <c r="L48" s="1435"/>
      <c r="M48" s="1418">
        <v>2021</v>
      </c>
      <c r="N48" s="1435"/>
      <c r="O48" s="1435"/>
      <c r="P48" s="1435"/>
      <c r="Q48" s="1418">
        <v>2022</v>
      </c>
      <c r="R48" s="1419"/>
      <c r="S48" s="1419"/>
      <c r="T48" s="1436"/>
      <c r="U48" s="1441">
        <v>2023</v>
      </c>
      <c r="V48" s="1442"/>
      <c r="W48" s="1442"/>
      <c r="X48" s="1442"/>
      <c r="Y48" s="1444">
        <v>2024</v>
      </c>
      <c r="Z48" s="1442"/>
      <c r="AA48" s="1442"/>
      <c r="AB48" s="1443"/>
      <c r="AC48" s="274">
        <v>2025</v>
      </c>
      <c r="AG48" s="171"/>
    </row>
    <row r="49" spans="2:58" x14ac:dyDescent="0.35">
      <c r="B49" s="1454"/>
      <c r="C49" s="1477"/>
      <c r="D49" s="137" t="s">
        <v>327</v>
      </c>
      <c r="E49" s="137" t="s">
        <v>328</v>
      </c>
      <c r="F49" s="150" t="s">
        <v>329</v>
      </c>
      <c r="G49" s="150" t="s">
        <v>238</v>
      </c>
      <c r="H49" s="226" t="s">
        <v>327</v>
      </c>
      <c r="I49" s="150" t="s">
        <v>328</v>
      </c>
      <c r="J49" s="150" t="s">
        <v>329</v>
      </c>
      <c r="K49" s="150" t="s">
        <v>238</v>
      </c>
      <c r="L49" s="150" t="s">
        <v>327</v>
      </c>
      <c r="M49" s="137" t="s">
        <v>328</v>
      </c>
      <c r="N49" s="150" t="s">
        <v>329</v>
      </c>
      <c r="O49" s="150" t="s">
        <v>238</v>
      </c>
      <c r="P49" s="150" t="s">
        <v>327</v>
      </c>
      <c r="Q49" s="137" t="s">
        <v>328</v>
      </c>
      <c r="R49" s="150" t="s">
        <v>329</v>
      </c>
      <c r="S49" s="150" t="s">
        <v>238</v>
      </c>
      <c r="T49" s="226" t="s">
        <v>327</v>
      </c>
      <c r="U49" s="310" t="s">
        <v>328</v>
      </c>
      <c r="V49" s="310" t="s">
        <v>329</v>
      </c>
      <c r="W49" s="310" t="s">
        <v>238</v>
      </c>
      <c r="X49" s="310" t="s">
        <v>327</v>
      </c>
      <c r="Y49" s="379" t="s">
        <v>328</v>
      </c>
      <c r="Z49" s="267" t="s">
        <v>329</v>
      </c>
      <c r="AA49" s="310" t="s">
        <v>238</v>
      </c>
      <c r="AB49" s="155" t="s">
        <v>327</v>
      </c>
      <c r="AC49" s="404" t="s">
        <v>328</v>
      </c>
      <c r="AG49" s="171"/>
    </row>
    <row r="50" spans="2:58" x14ac:dyDescent="0.35">
      <c r="B50" s="472" t="s">
        <v>134</v>
      </c>
      <c r="C50" s="295"/>
      <c r="D50" s="278"/>
      <c r="E50" s="443"/>
      <c r="F50" s="443"/>
      <c r="G50" s="443"/>
      <c r="H50" s="445">
        <f>Grants!H99</f>
        <v>72.367000000000004</v>
      </c>
      <c r="I50" s="445">
        <f>Grants!I99</f>
        <v>75.578999999999994</v>
      </c>
      <c r="J50" s="445">
        <f>Grants!J99</f>
        <v>76.015000000000001</v>
      </c>
      <c r="K50" s="445">
        <f>Grants!K99</f>
        <v>78.872</v>
      </c>
      <c r="L50" s="445">
        <f>Grants!L99</f>
        <v>75.819000000000003</v>
      </c>
      <c r="M50" s="445">
        <f>Grants!M99</f>
        <v>73.662000000000006</v>
      </c>
      <c r="N50" s="445">
        <f>Grants!N99</f>
        <v>75.066000000000003</v>
      </c>
      <c r="O50" s="445">
        <f>Grants!O99</f>
        <v>69.344999999999999</v>
      </c>
      <c r="P50" s="445">
        <f>Grants!P99</f>
        <v>72.477000000000004</v>
      </c>
      <c r="Q50" s="445">
        <f>Grants!Q99</f>
        <v>72.528999999999996</v>
      </c>
      <c r="R50" s="446">
        <f>Grants!R99</f>
        <v>75.340000000000018</v>
      </c>
      <c r="S50" s="447">
        <f>Grants!S99</f>
        <v>75.340000000000018</v>
      </c>
      <c r="T50" s="448">
        <f>Grants!T99</f>
        <v>76.15900000000002</v>
      </c>
      <c r="U50" s="467">
        <f>Grants!U99</f>
        <v>76.15900000000002</v>
      </c>
      <c r="V50" s="467">
        <f>Grants!V99</f>
        <v>76.15900000000002</v>
      </c>
      <c r="W50" s="467">
        <f>Grants!W99</f>
        <v>76.15900000000002</v>
      </c>
      <c r="X50" s="467">
        <f>Grants!X99</f>
        <v>77.818000000000012</v>
      </c>
      <c r="Y50" s="467">
        <f>Grants!Y99</f>
        <v>77.818000000000012</v>
      </c>
      <c r="Z50" s="467">
        <f>Grants!Z99</f>
        <v>77.818000000000012</v>
      </c>
      <c r="AA50" s="467">
        <f>Grants!AA99</f>
        <v>77.818000000000012</v>
      </c>
      <c r="AB50" s="467">
        <f>Grants!AB99</f>
        <v>79.41200000000002</v>
      </c>
      <c r="AC50" s="460">
        <f>Grants!AC99</f>
        <v>79.41200000000002</v>
      </c>
    </row>
    <row r="51" spans="2:58" x14ac:dyDescent="0.35">
      <c r="B51" s="202" t="s">
        <v>192</v>
      </c>
      <c r="C51" s="197"/>
      <c r="D51" s="462"/>
      <c r="E51" s="197"/>
      <c r="F51" s="197"/>
      <c r="G51" s="197"/>
      <c r="H51" s="166">
        <f>Grants!H79</f>
        <v>205.80500000000001</v>
      </c>
      <c r="I51" s="166">
        <f>Grants!I79</f>
        <v>210.29200000000003</v>
      </c>
      <c r="J51" s="166">
        <f>Grants!J79</f>
        <v>325.28399999999999</v>
      </c>
      <c r="K51" s="166">
        <f>Grants!K79</f>
        <v>297.32000000000005</v>
      </c>
      <c r="L51" s="166">
        <f>Grants!L79</f>
        <v>289.54199999999997</v>
      </c>
      <c r="M51" s="166">
        <f>Grants!M79</f>
        <v>315.67900000000003</v>
      </c>
      <c r="N51" s="166">
        <f>Grants!N79</f>
        <v>361.52700000000004</v>
      </c>
      <c r="O51" s="166">
        <f>Grants!O79</f>
        <v>374.99100000000004</v>
      </c>
      <c r="P51" s="166">
        <f>Grants!P79</f>
        <v>401.58485200000007</v>
      </c>
      <c r="Q51" s="166">
        <f>Grants!Q79</f>
        <v>438.45827479999997</v>
      </c>
      <c r="R51" s="166">
        <f>Grants!R79</f>
        <v>505.04903199999995</v>
      </c>
      <c r="S51" s="166">
        <f>Grants!S79</f>
        <v>492.38786800000003</v>
      </c>
      <c r="T51" s="449">
        <f>Grants!T79</f>
        <v>419.69592800000004</v>
      </c>
      <c r="U51" s="268">
        <f>Grants!U79</f>
        <v>396.53932436420291</v>
      </c>
      <c r="V51" s="268">
        <f>Grants!V79</f>
        <v>400.37374923659348</v>
      </c>
      <c r="W51" s="268">
        <f>Grants!W79</f>
        <v>398.73055822591346</v>
      </c>
      <c r="X51" s="268">
        <f>Grants!X79</f>
        <v>398.6166106666667</v>
      </c>
      <c r="Y51" s="268">
        <f>Grants!Y79</f>
        <v>386.72738297077103</v>
      </c>
      <c r="Z51" s="268">
        <f>Grants!Z79</f>
        <v>366.38133844605721</v>
      </c>
      <c r="AA51" s="268">
        <f>Grants!AA79</f>
        <v>370.35262831494998</v>
      </c>
      <c r="AB51" s="268">
        <f>Grants!AB79</f>
        <v>374.61000143333331</v>
      </c>
      <c r="AC51" s="281">
        <f>Grants!AC79</f>
        <v>357.28055880960187</v>
      </c>
    </row>
    <row r="52" spans="2:58" x14ac:dyDescent="0.35">
      <c r="B52" s="473" t="s">
        <v>452</v>
      </c>
      <c r="C52" s="434"/>
      <c r="D52" s="433"/>
      <c r="E52" s="434"/>
      <c r="F52" s="434"/>
      <c r="G52" s="434"/>
      <c r="H52" s="300">
        <f>H50+H51</f>
        <v>278.17200000000003</v>
      </c>
      <c r="I52" s="300">
        <f t="shared" ref="I52:AC52" si="8">I50+I51</f>
        <v>285.87100000000004</v>
      </c>
      <c r="J52" s="300">
        <f t="shared" si="8"/>
        <v>401.29899999999998</v>
      </c>
      <c r="K52" s="300">
        <f t="shared" si="8"/>
        <v>376.19200000000006</v>
      </c>
      <c r="L52" s="300">
        <f t="shared" si="8"/>
        <v>365.36099999999999</v>
      </c>
      <c r="M52" s="300">
        <f t="shared" si="8"/>
        <v>389.34100000000001</v>
      </c>
      <c r="N52" s="300">
        <f t="shared" si="8"/>
        <v>436.59300000000007</v>
      </c>
      <c r="O52" s="300">
        <f t="shared" si="8"/>
        <v>444.33600000000001</v>
      </c>
      <c r="P52" s="300">
        <f t="shared" si="8"/>
        <v>474.06185200000004</v>
      </c>
      <c r="Q52" s="300">
        <f t="shared" si="8"/>
        <v>510.98727479999997</v>
      </c>
      <c r="R52" s="300">
        <f t="shared" si="8"/>
        <v>580.38903199999993</v>
      </c>
      <c r="S52" s="300">
        <f t="shared" si="8"/>
        <v>567.72786800000006</v>
      </c>
      <c r="T52" s="450">
        <f t="shared" si="8"/>
        <v>495.85492800000009</v>
      </c>
      <c r="U52" s="282">
        <f t="shared" si="8"/>
        <v>472.6983243642029</v>
      </c>
      <c r="V52" s="282">
        <f t="shared" si="8"/>
        <v>476.53274923659353</v>
      </c>
      <c r="W52" s="282">
        <f t="shared" si="8"/>
        <v>474.88955822591345</v>
      </c>
      <c r="X52" s="282">
        <f t="shared" si="8"/>
        <v>476.43461066666669</v>
      </c>
      <c r="Y52" s="282">
        <f t="shared" si="8"/>
        <v>464.54538297077102</v>
      </c>
      <c r="Z52" s="282">
        <f t="shared" si="8"/>
        <v>444.19933844605725</v>
      </c>
      <c r="AA52" s="282">
        <f t="shared" si="8"/>
        <v>448.17062831495002</v>
      </c>
      <c r="AB52" s="282">
        <f t="shared" si="8"/>
        <v>454.02200143333334</v>
      </c>
      <c r="AC52" s="292">
        <f t="shared" si="8"/>
        <v>436.69255880960191</v>
      </c>
    </row>
    <row r="56" spans="2:58" ht="27.65" customHeight="1" x14ac:dyDescent="0.35"/>
    <row r="57" spans="2:58" ht="27.65" customHeight="1" x14ac:dyDescent="0.35"/>
    <row r="58" spans="2:58" x14ac:dyDescent="0.35">
      <c r="S58" s="1059"/>
      <c r="T58" s="1059"/>
      <c r="U58" s="1059"/>
      <c r="V58" s="1059"/>
      <c r="W58" s="1059"/>
      <c r="X58" s="1059"/>
      <c r="Y58" s="1059"/>
      <c r="Z58" s="1059"/>
      <c r="AA58" s="1059"/>
      <c r="AB58" s="1059"/>
      <c r="AC58" s="1059"/>
    </row>
    <row r="59" spans="2:58" x14ac:dyDescent="0.35">
      <c r="S59" s="1059"/>
      <c r="T59" s="1059"/>
      <c r="U59" s="1059"/>
      <c r="V59" s="1059"/>
      <c r="W59" s="1059"/>
      <c r="X59" s="1059"/>
      <c r="Y59" s="1059"/>
      <c r="Z59" s="1059"/>
      <c r="AA59" s="1059"/>
      <c r="AB59" s="1059"/>
      <c r="AC59" s="1059"/>
    </row>
    <row r="60" spans="2:58" ht="27.65" customHeight="1" x14ac:dyDescent="0.35">
      <c r="S60" s="1059"/>
      <c r="T60" s="1059"/>
      <c r="U60" s="1059"/>
      <c r="V60" s="1059"/>
      <c r="W60" s="1059"/>
      <c r="X60" s="1059"/>
      <c r="Y60" s="1059"/>
      <c r="Z60" s="1059"/>
      <c r="AA60" s="1059"/>
      <c r="AB60" s="1059"/>
      <c r="AC60" s="1059"/>
    </row>
    <row r="61" spans="2:58" ht="27.65" customHeight="1" x14ac:dyDescent="0.35"/>
    <row r="62" spans="2:58" ht="27.65" customHeight="1" x14ac:dyDescent="0.35">
      <c r="BD62" s="440"/>
      <c r="BE62" s="440"/>
      <c r="BF62" s="440"/>
    </row>
    <row r="64" spans="2:58" ht="27.65" customHeight="1" x14ac:dyDescent="0.35"/>
    <row r="65" ht="27.65" customHeight="1" x14ac:dyDescent="0.35"/>
    <row r="66" ht="27.65" customHeight="1" x14ac:dyDescent="0.35"/>
  </sheetData>
  <mergeCells count="33">
    <mergeCell ref="B1:AC1"/>
    <mergeCell ref="B6:C8"/>
    <mergeCell ref="E7:H7"/>
    <mergeCell ref="I7:L7"/>
    <mergeCell ref="U7:X7"/>
    <mergeCell ref="Y7:AB7"/>
    <mergeCell ref="B2:AC4"/>
    <mergeCell ref="D6:T6"/>
    <mergeCell ref="U6:AC6"/>
    <mergeCell ref="Q7:T7"/>
    <mergeCell ref="I23:L23"/>
    <mergeCell ref="B17:AC17"/>
    <mergeCell ref="B18:AC20"/>
    <mergeCell ref="M7:P7"/>
    <mergeCell ref="D22:T22"/>
    <mergeCell ref="U22:AC22"/>
    <mergeCell ref="M23:P23"/>
    <mergeCell ref="M48:P48"/>
    <mergeCell ref="Q23:T23"/>
    <mergeCell ref="D47:T47"/>
    <mergeCell ref="U47:AC47"/>
    <mergeCell ref="Q48:T48"/>
    <mergeCell ref="U23:X23"/>
    <mergeCell ref="U48:X48"/>
    <mergeCell ref="Y23:AB23"/>
    <mergeCell ref="Y48:AB48"/>
    <mergeCell ref="B43:AC45"/>
    <mergeCell ref="B41:AC42"/>
    <mergeCell ref="B47:C49"/>
    <mergeCell ref="I48:L48"/>
    <mergeCell ref="E23:H23"/>
    <mergeCell ref="E48:H48"/>
    <mergeCell ref="B22:C2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51"/>
  <sheetViews>
    <sheetView zoomScaleNormal="100" workbookViewId="0">
      <selection activeCell="E19" sqref="E19"/>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433" t="s">
        <v>52</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2" ht="14.9" customHeight="1" x14ac:dyDescent="0.35">
      <c r="B2" s="1434" t="s">
        <v>918</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row>
    <row r="3" spans="2:32" ht="14.9" customHeight="1"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row>
    <row r="4" spans="2:32" ht="5.9" customHeight="1"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row>
    <row r="5" spans="2:32" ht="1.5" customHeight="1" x14ac:dyDescent="0.35">
      <c r="B5" s="1434"/>
      <c r="C5" s="1434"/>
      <c r="D5" s="1434"/>
      <c r="E5" s="1434"/>
      <c r="F5" s="1434"/>
      <c r="G5" s="1434"/>
      <c r="H5" s="1434"/>
      <c r="I5" s="1434"/>
      <c r="J5" s="1434"/>
      <c r="K5" s="1434"/>
      <c r="L5" s="1434"/>
      <c r="M5" s="1434"/>
      <c r="N5" s="1434"/>
      <c r="O5" s="1434"/>
      <c r="P5" s="1434"/>
      <c r="Q5" s="1434"/>
      <c r="R5" s="1434"/>
      <c r="S5" s="1434"/>
      <c r="T5" s="1434"/>
      <c r="U5" s="1434"/>
      <c r="V5" s="1434"/>
      <c r="W5" s="1434"/>
      <c r="X5" s="1434"/>
      <c r="Y5" s="1434"/>
      <c r="Z5" s="1434"/>
      <c r="AA5" s="1434"/>
      <c r="AB5" s="1434"/>
      <c r="AC5" s="1434"/>
    </row>
    <row r="6" spans="2:32" ht="14.9" customHeight="1" x14ac:dyDescent="0.35">
      <c r="B6" s="1434"/>
      <c r="C6" s="1434"/>
      <c r="D6" s="1434"/>
      <c r="E6" s="1434"/>
      <c r="F6" s="1434"/>
      <c r="G6" s="1434"/>
      <c r="H6" s="1434"/>
      <c r="I6" s="1434"/>
      <c r="J6" s="1434"/>
      <c r="K6" s="1434"/>
      <c r="L6" s="1434"/>
      <c r="M6" s="1434"/>
      <c r="N6" s="1434"/>
      <c r="O6" s="1434"/>
      <c r="P6" s="1434"/>
      <c r="Q6" s="1434"/>
      <c r="R6" s="1434"/>
      <c r="S6" s="1434"/>
      <c r="T6" s="1434"/>
      <c r="U6" s="1434"/>
      <c r="V6" s="1434"/>
      <c r="W6" s="1434"/>
      <c r="X6" s="1434"/>
      <c r="Y6" s="1434"/>
      <c r="Z6" s="1434"/>
      <c r="AA6" s="1434"/>
      <c r="AB6" s="1434"/>
      <c r="AC6" s="1434"/>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437" t="s">
        <v>453</v>
      </c>
      <c r="C8" s="1438"/>
      <c r="D8" s="1447" t="s">
        <v>325</v>
      </c>
      <c r="E8" s="1448"/>
      <c r="F8" s="1448"/>
      <c r="G8" s="1448"/>
      <c r="H8" s="1448"/>
      <c r="I8" s="1448"/>
      <c r="J8" s="1448"/>
      <c r="K8" s="1448"/>
      <c r="L8" s="1448"/>
      <c r="M8" s="1448"/>
      <c r="N8" s="1448"/>
      <c r="O8" s="1448"/>
      <c r="P8" s="1448"/>
      <c r="Q8" s="1448"/>
      <c r="R8" s="1448"/>
      <c r="S8" s="1448"/>
      <c r="T8" s="1449"/>
      <c r="U8" s="1451" t="s">
        <v>326</v>
      </c>
      <c r="V8" s="1451"/>
      <c r="W8" s="1451"/>
      <c r="X8" s="1451"/>
      <c r="Y8" s="1451"/>
      <c r="Z8" s="1451"/>
      <c r="AA8" s="1451"/>
      <c r="AB8" s="1451"/>
      <c r="AC8" s="1452"/>
    </row>
    <row r="9" spans="2:32" x14ac:dyDescent="0.35">
      <c r="B9" s="1439"/>
      <c r="C9" s="1440"/>
      <c r="D9" s="137">
        <v>2018</v>
      </c>
      <c r="E9" s="1465">
        <v>2019</v>
      </c>
      <c r="F9" s="1466"/>
      <c r="G9" s="1466"/>
      <c r="H9" s="1473"/>
      <c r="I9" s="1465">
        <v>2020</v>
      </c>
      <c r="J9" s="1466"/>
      <c r="K9" s="1466"/>
      <c r="L9" s="1466"/>
      <c r="M9" s="1465">
        <v>2021</v>
      </c>
      <c r="N9" s="1466"/>
      <c r="O9" s="1466"/>
      <c r="P9" s="1466"/>
      <c r="Q9" s="1418">
        <v>2022</v>
      </c>
      <c r="R9" s="1419"/>
      <c r="S9" s="1419"/>
      <c r="T9" s="1436"/>
      <c r="U9" s="1441">
        <v>2023</v>
      </c>
      <c r="V9" s="1442"/>
      <c r="W9" s="1442"/>
      <c r="X9" s="1442"/>
      <c r="Y9" s="1444">
        <v>2024</v>
      </c>
      <c r="Z9" s="1442"/>
      <c r="AA9" s="1442"/>
      <c r="AB9" s="1443"/>
      <c r="AC9" s="274">
        <v>2025</v>
      </c>
    </row>
    <row r="10" spans="2:32" x14ac:dyDescent="0.35">
      <c r="B10" s="1454"/>
      <c r="C10" s="1455"/>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0" t="s">
        <v>328</v>
      </c>
      <c r="V10" s="310" t="s">
        <v>329</v>
      </c>
      <c r="W10" s="310" t="s">
        <v>238</v>
      </c>
      <c r="X10" s="310" t="s">
        <v>327</v>
      </c>
      <c r="Y10" s="379" t="s">
        <v>328</v>
      </c>
      <c r="Z10" s="267" t="s">
        <v>329</v>
      </c>
      <c r="AA10" s="310" t="s">
        <v>238</v>
      </c>
      <c r="AB10" s="155" t="s">
        <v>327</v>
      </c>
      <c r="AC10" s="404" t="s">
        <v>328</v>
      </c>
    </row>
    <row r="11" spans="2:32" x14ac:dyDescent="0.35">
      <c r="B11" s="432" t="s">
        <v>924</v>
      </c>
      <c r="C11" s="69" t="s">
        <v>574</v>
      </c>
      <c r="D11" s="481"/>
      <c r="E11" s="487"/>
      <c r="F11" s="495">
        <v>60.5</v>
      </c>
      <c r="G11" s="495">
        <v>81.400000000000006</v>
      </c>
      <c r="H11" s="495">
        <f>'Haver Pivoted'!GS42</f>
        <v>82.1</v>
      </c>
      <c r="I11" s="495">
        <f>'Haver Pivoted'!GT42</f>
        <v>80</v>
      </c>
      <c r="J11" s="495">
        <f>'Haver Pivoted'!GU42</f>
        <v>975.7</v>
      </c>
      <c r="K11" s="495">
        <f>'Haver Pivoted'!GV42</f>
        <v>1108.8</v>
      </c>
      <c r="L11" s="495">
        <f>'Haver Pivoted'!GW42</f>
        <v>462.2</v>
      </c>
      <c r="M11" s="495">
        <f>'Haver Pivoted'!GX42</f>
        <v>387.4</v>
      </c>
      <c r="N11" s="495">
        <f>'Haver Pivoted'!GY42</f>
        <v>693.9</v>
      </c>
      <c r="O11" s="495">
        <f>'Haver Pivoted'!GZ42</f>
        <v>545.6</v>
      </c>
      <c r="P11" s="495">
        <f>'Haver Pivoted'!HA42</f>
        <v>288.3</v>
      </c>
      <c r="Q11" s="495">
        <f>'Haver Pivoted'!HB42</f>
        <v>144.5</v>
      </c>
      <c r="R11" s="495">
        <f>'Haver Pivoted'!HC42</f>
        <v>122.9</v>
      </c>
      <c r="S11" s="496">
        <f>'Haver Pivoted'!HD42</f>
        <v>113.8</v>
      </c>
      <c r="T11" s="497">
        <f>'Haver Pivoted'!HE42</f>
        <v>107.6</v>
      </c>
      <c r="U11" s="515">
        <f t="shared" ref="U11:AC11" si="0">U12+U13</f>
        <v>96.021999999999991</v>
      </c>
      <c r="V11" s="515">
        <f t="shared" si="0"/>
        <v>88.50800000000001</v>
      </c>
      <c r="W11" s="515">
        <f t="shared" si="0"/>
        <v>88.50800000000001</v>
      </c>
      <c r="X11" s="515">
        <f t="shared" si="0"/>
        <v>85.631</v>
      </c>
      <c r="Y11" s="515">
        <f t="shared" si="0"/>
        <v>85.631</v>
      </c>
      <c r="Z11" s="515">
        <f t="shared" si="0"/>
        <v>85.631</v>
      </c>
      <c r="AA11" s="515">
        <f t="shared" si="0"/>
        <v>85.631</v>
      </c>
      <c r="AB11" s="515">
        <f t="shared" si="0"/>
        <v>90.463999999999999</v>
      </c>
      <c r="AC11" s="510">
        <f t="shared" si="0"/>
        <v>90.463999999999999</v>
      </c>
      <c r="AE11" s="1058"/>
      <c r="AF11" s="1058"/>
    </row>
    <row r="12" spans="2:32" ht="16.5" customHeight="1" x14ac:dyDescent="0.35">
      <c r="B12" s="420" t="s">
        <v>454</v>
      </c>
      <c r="C12" s="69"/>
      <c r="D12" s="432"/>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11">
        <f t="shared" si="2"/>
        <v>71.099999999999994</v>
      </c>
      <c r="T12" s="336">
        <f t="shared" si="2"/>
        <v>75.777999999999992</v>
      </c>
      <c r="U12" s="341">
        <f t="shared" ref="U12:AC12" si="3">AVERAGE($F$11:$I$11)</f>
        <v>76</v>
      </c>
      <c r="V12" s="341">
        <f t="shared" si="3"/>
        <v>76</v>
      </c>
      <c r="W12" s="341">
        <f t="shared" si="3"/>
        <v>76</v>
      </c>
      <c r="X12" s="341">
        <f t="shared" si="3"/>
        <v>76</v>
      </c>
      <c r="Y12" s="341">
        <f t="shared" si="3"/>
        <v>76</v>
      </c>
      <c r="Z12" s="341">
        <f t="shared" si="3"/>
        <v>76</v>
      </c>
      <c r="AA12" s="341">
        <f t="shared" si="3"/>
        <v>76</v>
      </c>
      <c r="AB12" s="341">
        <f t="shared" si="3"/>
        <v>76</v>
      </c>
      <c r="AC12" s="407">
        <f t="shared" si="3"/>
        <v>76</v>
      </c>
      <c r="AE12" s="1058"/>
      <c r="AF12" s="1058"/>
    </row>
    <row r="13" spans="2:32" x14ac:dyDescent="0.35">
      <c r="B13" s="419" t="s">
        <v>455</v>
      </c>
      <c r="C13" s="69"/>
      <c r="D13" s="432"/>
      <c r="E13" s="69"/>
      <c r="F13" s="493"/>
      <c r="G13" s="493"/>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313">
        <f t="shared" ref="T13:AC13" si="5">SUM(T16:T27)+T14</f>
        <v>31.822000000000003</v>
      </c>
      <c r="U13" s="341">
        <f t="shared" si="5"/>
        <v>20.021999999999998</v>
      </c>
      <c r="V13" s="341">
        <f t="shared" si="5"/>
        <v>12.508000000000003</v>
      </c>
      <c r="W13" s="341">
        <f t="shared" si="5"/>
        <v>12.508000000000003</v>
      </c>
      <c r="X13" s="341">
        <f t="shared" si="5"/>
        <v>9.6310000000000002</v>
      </c>
      <c r="Y13" s="341">
        <f t="shared" si="5"/>
        <v>9.6310000000000002</v>
      </c>
      <c r="Z13" s="341">
        <f t="shared" si="5"/>
        <v>9.6310000000000002</v>
      </c>
      <c r="AA13" s="341">
        <f t="shared" si="5"/>
        <v>9.6310000000000002</v>
      </c>
      <c r="AB13" s="341">
        <f t="shared" si="5"/>
        <v>14.464</v>
      </c>
      <c r="AC13" s="407">
        <f t="shared" si="5"/>
        <v>14.464</v>
      </c>
      <c r="AE13" s="1058"/>
      <c r="AF13" s="1058"/>
    </row>
    <row r="14" spans="2:32" x14ac:dyDescent="0.35">
      <c r="B14" s="417" t="s">
        <v>50</v>
      </c>
      <c r="C14" s="49" t="s">
        <v>376</v>
      </c>
      <c r="D14" s="36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1">
        <f>'Haver Pivoted'!HD49</f>
        <v>0</v>
      </c>
      <c r="T14" s="336">
        <f>'Haver Pivoted'!HE49</f>
        <v>0</v>
      </c>
      <c r="U14" s="341"/>
      <c r="V14" s="341"/>
      <c r="W14" s="341"/>
      <c r="X14" s="341"/>
      <c r="Y14" s="341"/>
      <c r="Z14" s="502"/>
      <c r="AA14" s="502"/>
      <c r="AB14" s="502"/>
      <c r="AC14" s="511"/>
      <c r="AE14" s="1058"/>
      <c r="AF14" s="1058"/>
    </row>
    <row r="15" spans="2:32" x14ac:dyDescent="0.35">
      <c r="B15" s="419" t="s">
        <v>456</v>
      </c>
      <c r="C15" s="69"/>
      <c r="D15" s="432"/>
      <c r="E15" s="69"/>
      <c r="F15" s="493"/>
      <c r="G15" s="493"/>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498">
        <f t="shared" si="6"/>
        <v>28.200000000000003</v>
      </c>
      <c r="U15" s="503">
        <f t="shared" si="6"/>
        <v>16.399999999999999</v>
      </c>
      <c r="V15" s="503">
        <f t="shared" si="6"/>
        <v>8.886000000000001</v>
      </c>
      <c r="W15" s="503">
        <f t="shared" si="6"/>
        <v>8.886000000000001</v>
      </c>
      <c r="X15" s="503">
        <f t="shared" si="6"/>
        <v>0.2</v>
      </c>
      <c r="Y15" s="503">
        <f t="shared" si="6"/>
        <v>0.2</v>
      </c>
      <c r="Z15" s="503">
        <f t="shared" si="6"/>
        <v>0.2</v>
      </c>
      <c r="AA15" s="503">
        <f t="shared" si="6"/>
        <v>0.2</v>
      </c>
      <c r="AB15" s="503">
        <f t="shared" si="6"/>
        <v>0</v>
      </c>
      <c r="AC15" s="517">
        <f t="shared" si="6"/>
        <v>0</v>
      </c>
      <c r="AE15" s="1058"/>
      <c r="AF15" s="1058"/>
    </row>
    <row r="16" spans="2:32" x14ac:dyDescent="0.35">
      <c r="B16" s="506" t="s">
        <v>145</v>
      </c>
      <c r="C16" s="52" t="s">
        <v>457</v>
      </c>
      <c r="D16" s="42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1">
        <f>'Haver Pivoted'!HD53</f>
        <v>0</v>
      </c>
      <c r="T16" s="336">
        <f>'Haver Pivoted'!HE53</f>
        <v>0</v>
      </c>
      <c r="U16" s="341"/>
      <c r="V16" s="504"/>
      <c r="W16" s="504"/>
      <c r="X16" s="504"/>
      <c r="Y16" s="504"/>
      <c r="Z16" s="502"/>
      <c r="AA16" s="502"/>
      <c r="AB16" s="502"/>
      <c r="AC16" s="511"/>
      <c r="AE16" s="1058"/>
      <c r="AF16" s="1058"/>
    </row>
    <row r="17" spans="2:34" x14ac:dyDescent="0.35">
      <c r="B17" s="506" t="s">
        <v>143</v>
      </c>
      <c r="C17" s="52" t="s">
        <v>458</v>
      </c>
      <c r="D17" s="42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1">
        <f>'Haver Pivoted'!HD51</f>
        <v>0</v>
      </c>
      <c r="T17" s="336">
        <f>'Haver Pivoted'!HE51</f>
        <v>0</v>
      </c>
      <c r="U17" s="341">
        <f t="shared" ref="U17:AC17" si="7">T17</f>
        <v>0</v>
      </c>
      <c r="V17" s="341">
        <f t="shared" si="7"/>
        <v>0</v>
      </c>
      <c r="W17" s="341">
        <f t="shared" si="7"/>
        <v>0</v>
      </c>
      <c r="X17" s="341">
        <f t="shared" si="7"/>
        <v>0</v>
      </c>
      <c r="Y17" s="341">
        <f t="shared" si="7"/>
        <v>0</v>
      </c>
      <c r="Z17" s="341">
        <f t="shared" si="7"/>
        <v>0</v>
      </c>
      <c r="AA17" s="341">
        <f t="shared" si="7"/>
        <v>0</v>
      </c>
      <c r="AB17" s="341">
        <f t="shared" si="7"/>
        <v>0</v>
      </c>
      <c r="AC17" s="407">
        <f t="shared" si="7"/>
        <v>0</v>
      </c>
      <c r="AE17" s="1058"/>
      <c r="AF17" s="1058"/>
    </row>
    <row r="18" spans="2:34" x14ac:dyDescent="0.35">
      <c r="B18" s="506" t="s">
        <v>142</v>
      </c>
      <c r="C18" s="49" t="s">
        <v>459</v>
      </c>
      <c r="D18" s="36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1">
        <f>'Haver Pivoted'!HD50</f>
        <v>0.3</v>
      </c>
      <c r="T18" s="336">
        <f>'Haver Pivoted'!HE50</f>
        <v>0.4</v>
      </c>
      <c r="U18" s="341">
        <f t="shared" ref="U18:AC18" si="8">U30</f>
        <v>0</v>
      </c>
      <c r="V18" s="341">
        <f t="shared" si="8"/>
        <v>0</v>
      </c>
      <c r="W18" s="341">
        <f t="shared" si="8"/>
        <v>0</v>
      </c>
      <c r="X18" s="341">
        <f t="shared" si="8"/>
        <v>0</v>
      </c>
      <c r="Y18" s="341">
        <f t="shared" si="8"/>
        <v>0</v>
      </c>
      <c r="Z18" s="341">
        <f t="shared" si="8"/>
        <v>0</v>
      </c>
      <c r="AA18" s="341">
        <f t="shared" si="8"/>
        <v>0</v>
      </c>
      <c r="AB18" s="341">
        <f t="shared" si="8"/>
        <v>0</v>
      </c>
      <c r="AC18" s="407">
        <f t="shared" si="8"/>
        <v>0</v>
      </c>
      <c r="AE18" s="1058"/>
      <c r="AF18" s="1058"/>
    </row>
    <row r="19" spans="2:34" x14ac:dyDescent="0.35">
      <c r="B19" s="506" t="s">
        <v>460</v>
      </c>
      <c r="C19" s="49" t="s">
        <v>356</v>
      </c>
      <c r="D19" s="36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1">
        <f>'Haver Pivoted'!HD54</f>
        <v>5.9</v>
      </c>
      <c r="T19" s="336">
        <f>'Haver Pivoted'!HE54</f>
        <v>3.6</v>
      </c>
      <c r="U19" s="341"/>
      <c r="V19" s="341"/>
      <c r="W19" s="341"/>
      <c r="X19" s="341"/>
      <c r="Y19" s="341"/>
      <c r="Z19" s="502"/>
      <c r="AA19" s="502"/>
      <c r="AB19" s="502"/>
      <c r="AC19" s="511"/>
      <c r="AE19" s="1058"/>
      <c r="AF19" s="1058"/>
    </row>
    <row r="20" spans="2:34" s="1174" customFormat="1" x14ac:dyDescent="0.35">
      <c r="B20" s="1242" t="s">
        <v>144</v>
      </c>
      <c r="C20" s="1243" t="s">
        <v>461</v>
      </c>
      <c r="D20" s="1244"/>
      <c r="E20" s="1243"/>
      <c r="F20" s="1245"/>
      <c r="G20" s="1245"/>
      <c r="H20" s="1245">
        <f>'Haver Pivoted'!GS52</f>
        <v>0</v>
      </c>
      <c r="I20" s="1245">
        <f>'Haver Pivoted'!GT52</f>
        <v>0</v>
      </c>
      <c r="J20" s="1245">
        <f>'Haver Pivoted'!GU52</f>
        <v>22</v>
      </c>
      <c r="K20" s="1245">
        <f>'Haver Pivoted'!GV52</f>
        <v>25.3</v>
      </c>
      <c r="L20" s="1245">
        <f>'Haver Pivoted'!GW52</f>
        <v>11.8</v>
      </c>
      <c r="M20" s="1245">
        <f>'Haver Pivoted'!GX52</f>
        <v>11.9</v>
      </c>
      <c r="N20" s="1245">
        <f>'Haver Pivoted'!GY52</f>
        <v>11.3</v>
      </c>
      <c r="O20" s="1245">
        <f>'Haver Pivoted'!GZ52</f>
        <v>13.6</v>
      </c>
      <c r="P20" s="1245">
        <f>'Haver Pivoted'!HA52</f>
        <v>19</v>
      </c>
      <c r="Q20" s="1245">
        <f>'Haver Pivoted'!HB52</f>
        <v>21.8</v>
      </c>
      <c r="R20" s="1245">
        <f>'Haver Pivoted'!HC52</f>
        <v>22.3</v>
      </c>
      <c r="S20" s="311">
        <f>'Haver Pivoted'!HD52</f>
        <v>20.2</v>
      </c>
      <c r="T20" s="336">
        <f>'Haver Pivoted'!HE52</f>
        <v>15.8</v>
      </c>
      <c r="U20" s="341">
        <v>8</v>
      </c>
      <c r="V20" s="341">
        <f t="shared" ref="V20:AC20" si="9">V37</f>
        <v>0.48599999999999993</v>
      </c>
      <c r="W20" s="341">
        <f t="shared" si="9"/>
        <v>0.48599999999999993</v>
      </c>
      <c r="X20" s="341">
        <f t="shared" si="9"/>
        <v>0</v>
      </c>
      <c r="Y20" s="341">
        <f t="shared" si="9"/>
        <v>0</v>
      </c>
      <c r="Z20" s="341">
        <f t="shared" si="9"/>
        <v>0</v>
      </c>
      <c r="AA20" s="341">
        <f t="shared" si="9"/>
        <v>0</v>
      </c>
      <c r="AB20" s="341">
        <f t="shared" si="9"/>
        <v>0</v>
      </c>
      <c r="AC20" s="407">
        <f t="shared" si="9"/>
        <v>0</v>
      </c>
      <c r="AE20" s="1246"/>
      <c r="AF20" s="1246"/>
      <c r="AH20" s="1246"/>
    </row>
    <row r="21" spans="2:34" x14ac:dyDescent="0.35">
      <c r="B21" s="506" t="s">
        <v>148</v>
      </c>
      <c r="C21" s="49" t="s">
        <v>462</v>
      </c>
      <c r="D21" s="36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1">
        <f>'Haver Pivoted'!HD55</f>
        <v>0</v>
      </c>
      <c r="T21" s="336">
        <f>'Haver Pivoted'!HE55</f>
        <v>0</v>
      </c>
      <c r="U21" s="341">
        <f t="shared" ref="U21:AC21" si="10">T21</f>
        <v>0</v>
      </c>
      <c r="V21" s="341">
        <f t="shared" si="10"/>
        <v>0</v>
      </c>
      <c r="W21" s="341">
        <f t="shared" si="10"/>
        <v>0</v>
      </c>
      <c r="X21" s="341">
        <f t="shared" si="10"/>
        <v>0</v>
      </c>
      <c r="Y21" s="341">
        <f t="shared" si="10"/>
        <v>0</v>
      </c>
      <c r="Z21" s="341">
        <f t="shared" si="10"/>
        <v>0</v>
      </c>
      <c r="AA21" s="341">
        <f t="shared" si="10"/>
        <v>0</v>
      </c>
      <c r="AB21" s="341">
        <f t="shared" si="10"/>
        <v>0</v>
      </c>
      <c r="AC21" s="407">
        <f t="shared" si="10"/>
        <v>0</v>
      </c>
      <c r="AE21" s="1058"/>
      <c r="AF21" s="1058"/>
    </row>
    <row r="22" spans="2:34" x14ac:dyDescent="0.35">
      <c r="B22" s="506" t="s">
        <v>463</v>
      </c>
      <c r="C22" s="49" t="s">
        <v>842</v>
      </c>
      <c r="D22" s="33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1">
        <f>'Haver Pivoted'!HD87</f>
        <v>0</v>
      </c>
      <c r="T22" s="336">
        <f>'Haver Pivoted'!HE87</f>
        <v>0</v>
      </c>
      <c r="U22" s="341">
        <v>0</v>
      </c>
      <c r="V22" s="341">
        <v>0</v>
      </c>
      <c r="W22" s="341">
        <v>0</v>
      </c>
      <c r="X22" s="341">
        <v>0</v>
      </c>
      <c r="Y22" s="341">
        <v>0</v>
      </c>
      <c r="Z22" s="341">
        <v>0</v>
      </c>
      <c r="AA22" s="341">
        <v>0</v>
      </c>
      <c r="AB22" s="341">
        <v>0</v>
      </c>
      <c r="AC22" s="407">
        <v>0</v>
      </c>
      <c r="AE22" s="1058"/>
      <c r="AF22" s="1058"/>
    </row>
    <row r="23" spans="2:34" x14ac:dyDescent="0.35">
      <c r="B23" s="506" t="s">
        <v>464</v>
      </c>
      <c r="C23" s="49" t="s">
        <v>841</v>
      </c>
      <c r="D23" s="362"/>
      <c r="E23" s="49"/>
      <c r="F23" s="68"/>
      <c r="G23" s="494"/>
      <c r="H23" s="68"/>
      <c r="I23" s="68"/>
      <c r="J23" s="68"/>
      <c r="K23" s="68"/>
      <c r="L23" s="68"/>
      <c r="M23" s="68"/>
      <c r="N23" s="68">
        <f>'Haver Pivoted'!GY86</f>
        <v>21.4</v>
      </c>
      <c r="O23" s="68">
        <f>'Haver Pivoted'!GZ86</f>
        <v>57</v>
      </c>
      <c r="P23" s="68">
        <f>'Haver Pivoted'!HA86</f>
        <v>35.5</v>
      </c>
      <c r="Q23" s="68">
        <f>'Haver Pivoted'!HB86</f>
        <v>0</v>
      </c>
      <c r="R23" s="68">
        <f>'Haver Pivoted'!HC86</f>
        <v>0</v>
      </c>
      <c r="S23" s="311">
        <f>'Haver Pivoted'!HD86</f>
        <v>0</v>
      </c>
      <c r="T23" s="336">
        <f>'Haver Pivoted'!HE86</f>
        <v>0</v>
      </c>
      <c r="U23" s="341">
        <f t="shared" ref="U23:AC23" si="11">T23</f>
        <v>0</v>
      </c>
      <c r="V23" s="341">
        <f t="shared" si="11"/>
        <v>0</v>
      </c>
      <c r="W23" s="341">
        <f t="shared" si="11"/>
        <v>0</v>
      </c>
      <c r="X23" s="341">
        <f t="shared" si="11"/>
        <v>0</v>
      </c>
      <c r="Y23" s="341">
        <f t="shared" si="11"/>
        <v>0</v>
      </c>
      <c r="Z23" s="341">
        <f t="shared" si="11"/>
        <v>0</v>
      </c>
      <c r="AA23" s="341">
        <f t="shared" si="11"/>
        <v>0</v>
      </c>
      <c r="AB23" s="341">
        <f t="shared" si="11"/>
        <v>0</v>
      </c>
      <c r="AC23" s="407">
        <f t="shared" si="11"/>
        <v>0</v>
      </c>
      <c r="AE23" s="1058"/>
      <c r="AF23" s="1058"/>
    </row>
    <row r="24" spans="2:34" x14ac:dyDescent="0.35">
      <c r="B24" s="506" t="s">
        <v>465</v>
      </c>
      <c r="C24" s="49"/>
      <c r="D24" s="362"/>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313">
        <f t="shared" si="12"/>
        <v>8.4</v>
      </c>
      <c r="U24" s="341">
        <f t="shared" si="12"/>
        <v>8.4</v>
      </c>
      <c r="V24" s="341">
        <f t="shared" si="12"/>
        <v>8.4</v>
      </c>
      <c r="W24" s="341">
        <f t="shared" si="12"/>
        <v>8.4</v>
      </c>
      <c r="X24" s="341">
        <f t="shared" si="12"/>
        <v>0.2</v>
      </c>
      <c r="Y24" s="341">
        <f t="shared" si="12"/>
        <v>0.2</v>
      </c>
      <c r="Z24" s="341">
        <f t="shared" si="12"/>
        <v>0.2</v>
      </c>
      <c r="AA24" s="341">
        <f t="shared" si="12"/>
        <v>0.2</v>
      </c>
      <c r="AB24" s="341">
        <f t="shared" si="12"/>
        <v>0</v>
      </c>
      <c r="AC24" s="407">
        <f t="shared" si="12"/>
        <v>0</v>
      </c>
      <c r="AE24" s="1058"/>
      <c r="AF24" s="1058"/>
    </row>
    <row r="25" spans="2:34" x14ac:dyDescent="0.35">
      <c r="B25" s="506" t="s">
        <v>466</v>
      </c>
      <c r="C25" s="49"/>
      <c r="D25" s="362"/>
      <c r="E25" s="49"/>
      <c r="F25" s="50"/>
      <c r="G25" s="50"/>
      <c r="H25" s="168"/>
      <c r="I25" s="168"/>
      <c r="J25" s="168"/>
      <c r="K25" s="168"/>
      <c r="L25" s="168"/>
      <c r="M25" s="168"/>
      <c r="N25" s="50"/>
      <c r="O25" s="50">
        <f>O34</f>
        <v>12</v>
      </c>
      <c r="P25" s="50">
        <v>25</v>
      </c>
      <c r="Q25" s="50">
        <v>5</v>
      </c>
      <c r="R25" s="50">
        <v>5</v>
      </c>
      <c r="S25" s="50">
        <v>5</v>
      </c>
      <c r="T25" s="313">
        <f t="shared" ref="T25:AC25" si="13">T34</f>
        <v>0</v>
      </c>
      <c r="U25" s="341">
        <f t="shared" si="13"/>
        <v>0</v>
      </c>
      <c r="V25" s="341">
        <f t="shared" si="13"/>
        <v>0</v>
      </c>
      <c r="W25" s="341">
        <f t="shared" si="13"/>
        <v>0</v>
      </c>
      <c r="X25" s="341">
        <f t="shared" si="13"/>
        <v>0</v>
      </c>
      <c r="Y25" s="341">
        <f t="shared" si="13"/>
        <v>0</v>
      </c>
      <c r="Z25" s="341">
        <f t="shared" si="13"/>
        <v>0</v>
      </c>
      <c r="AA25" s="341">
        <f t="shared" si="13"/>
        <v>0</v>
      </c>
      <c r="AB25" s="341">
        <f t="shared" si="13"/>
        <v>0</v>
      </c>
      <c r="AC25" s="407">
        <f t="shared" si="13"/>
        <v>0</v>
      </c>
      <c r="AE25" s="1058"/>
      <c r="AF25" s="1058"/>
    </row>
    <row r="26" spans="2:34" s="1174" customFormat="1" x14ac:dyDescent="0.35">
      <c r="B26" s="1360" t="s">
        <v>1461</v>
      </c>
      <c r="C26" s="1243"/>
      <c r="D26" s="1244"/>
      <c r="E26" s="1243"/>
      <c r="F26" s="1346"/>
      <c r="G26" s="1346"/>
      <c r="H26" s="1347"/>
      <c r="I26" s="1347"/>
      <c r="J26" s="1347"/>
      <c r="K26" s="1347"/>
      <c r="L26" s="1347"/>
      <c r="M26" s="1347"/>
      <c r="N26" s="1346"/>
      <c r="O26" s="1346"/>
      <c r="P26" s="1346"/>
      <c r="Q26" s="1346"/>
      <c r="R26" s="1346"/>
      <c r="S26" s="1348">
        <f>'IRA and CHIPS'!E198</f>
        <v>0</v>
      </c>
      <c r="T26" s="1349">
        <f>'IRA and CHIPS'!F198</f>
        <v>2.3250000000000002</v>
      </c>
      <c r="U26" s="1356">
        <f>'IRA and CHIPS'!G198</f>
        <v>2.3250000000000002</v>
      </c>
      <c r="V26" s="1356">
        <f>'IRA and CHIPS'!H198</f>
        <v>2.3250000000000002</v>
      </c>
      <c r="W26" s="1356">
        <f>'IRA and CHIPS'!I198</f>
        <v>2.3250000000000002</v>
      </c>
      <c r="X26" s="1356">
        <f>'IRA and CHIPS'!J198</f>
        <v>5.5830000000000002</v>
      </c>
      <c r="Y26" s="1356">
        <f>'IRA and CHIPS'!K198</f>
        <v>5.5830000000000002</v>
      </c>
      <c r="Z26" s="1356">
        <f>'IRA and CHIPS'!L198</f>
        <v>5.5830000000000002</v>
      </c>
      <c r="AA26" s="1356">
        <f>'IRA and CHIPS'!M198</f>
        <v>5.5830000000000002</v>
      </c>
      <c r="AB26" s="1356">
        <f>'IRA and CHIPS'!N198</f>
        <v>8.0220000000000002</v>
      </c>
      <c r="AC26" s="1357">
        <f>'IRA and CHIPS'!O198</f>
        <v>8.0220000000000002</v>
      </c>
      <c r="AE26" s="1246"/>
      <c r="AF26" s="1246"/>
    </row>
    <row r="27" spans="2:34" s="1174" customFormat="1" x14ac:dyDescent="0.35">
      <c r="B27" s="1360" t="s">
        <v>1268</v>
      </c>
      <c r="C27" s="1350"/>
      <c r="D27" s="1351"/>
      <c r="E27" s="1350"/>
      <c r="F27" s="1352"/>
      <c r="G27" s="1352"/>
      <c r="H27" s="1353"/>
      <c r="I27" s="1353"/>
      <c r="J27" s="1353"/>
      <c r="K27" s="1353"/>
      <c r="L27" s="1353"/>
      <c r="M27" s="1353"/>
      <c r="N27" s="1352"/>
      <c r="O27" s="1352"/>
      <c r="P27" s="1352"/>
      <c r="Q27" s="1352"/>
      <c r="R27" s="1352"/>
      <c r="S27" s="1354">
        <f>'IRA and CHIPS'!E187</f>
        <v>0</v>
      </c>
      <c r="T27" s="1355">
        <f>'IRA and CHIPS'!F187</f>
        <v>1.2969999999999999</v>
      </c>
      <c r="U27" s="1358">
        <f>'IRA and CHIPS'!G187</f>
        <v>1.2969999999999999</v>
      </c>
      <c r="V27" s="1358">
        <f>'IRA and CHIPS'!H187</f>
        <v>1.2969999999999999</v>
      </c>
      <c r="W27" s="1358">
        <f>'IRA and CHIPS'!I187</f>
        <v>1.2969999999999999</v>
      </c>
      <c r="X27" s="1358">
        <f>'IRA and CHIPS'!J187</f>
        <v>3.8479999999999999</v>
      </c>
      <c r="Y27" s="1358">
        <f>'IRA and CHIPS'!K187</f>
        <v>3.8479999999999999</v>
      </c>
      <c r="Z27" s="1358">
        <f>'IRA and CHIPS'!L187</f>
        <v>3.8479999999999999</v>
      </c>
      <c r="AA27" s="1358">
        <f>'IRA and CHIPS'!M187</f>
        <v>3.8479999999999999</v>
      </c>
      <c r="AB27" s="1358">
        <f>'IRA and CHIPS'!N187</f>
        <v>6.4420000000000002</v>
      </c>
      <c r="AC27" s="1359">
        <f>'IRA and CHIPS'!O187</f>
        <v>6.4420000000000002</v>
      </c>
      <c r="AE27" s="1246"/>
      <c r="AF27" s="1246"/>
    </row>
    <row r="28" spans="2:34" ht="15" customHeight="1" x14ac:dyDescent="0.35">
      <c r="B28" s="1499" t="s">
        <v>467</v>
      </c>
      <c r="C28" s="1500"/>
      <c r="D28" s="431"/>
      <c r="E28" s="482"/>
      <c r="F28" s="482"/>
      <c r="G28" s="482"/>
      <c r="H28" s="50"/>
      <c r="I28" s="50"/>
      <c r="J28" s="50"/>
      <c r="K28" s="50"/>
      <c r="L28" s="50"/>
      <c r="M28" s="50"/>
      <c r="N28" s="50"/>
      <c r="O28" s="50"/>
      <c r="P28" s="492"/>
      <c r="Q28" s="50"/>
      <c r="R28" s="50"/>
      <c r="S28" s="50"/>
      <c r="T28" s="313"/>
      <c r="U28" s="341"/>
      <c r="V28" s="502"/>
      <c r="W28" s="502"/>
      <c r="X28" s="502"/>
      <c r="Y28" s="502"/>
      <c r="Z28" s="502"/>
      <c r="AA28" s="502"/>
      <c r="AB28" s="502"/>
      <c r="AC28" s="511"/>
      <c r="AE28" s="1058"/>
      <c r="AF28" s="1058"/>
    </row>
    <row r="29" spans="2:34" x14ac:dyDescent="0.35">
      <c r="B29" s="419" t="s">
        <v>468</v>
      </c>
      <c r="C29" s="193"/>
      <c r="D29" s="202"/>
      <c r="E29" s="193"/>
      <c r="F29" s="168"/>
      <c r="G29" s="168"/>
      <c r="H29" s="50"/>
      <c r="I29" s="50"/>
      <c r="J29" s="50"/>
      <c r="K29" s="50"/>
      <c r="L29" s="50"/>
      <c r="M29" s="50"/>
      <c r="N29" s="50">
        <f>SUM(N30:N34)</f>
        <v>23</v>
      </c>
      <c r="O29" s="50">
        <f>SUM(O30:O34)</f>
        <v>162</v>
      </c>
      <c r="P29" s="50"/>
      <c r="Q29" s="50"/>
      <c r="R29" s="50"/>
      <c r="S29" s="50"/>
      <c r="T29" s="313"/>
      <c r="U29" s="341"/>
      <c r="V29" s="502"/>
      <c r="W29" s="502"/>
      <c r="X29" s="502"/>
      <c r="Y29" s="502"/>
      <c r="Z29" s="502"/>
      <c r="AA29" s="502"/>
      <c r="AB29" s="502"/>
      <c r="AC29" s="511"/>
      <c r="AE29" s="1058"/>
      <c r="AF29" s="1058"/>
    </row>
    <row r="30" spans="2:34" x14ac:dyDescent="0.35">
      <c r="B30" s="417" t="s">
        <v>469</v>
      </c>
      <c r="C30" s="193"/>
      <c r="D30" s="202"/>
      <c r="E30" s="193"/>
      <c r="F30" s="168"/>
      <c r="G30" s="168"/>
      <c r="H30" s="50"/>
      <c r="I30" s="50"/>
      <c r="J30" s="50"/>
      <c r="K30" s="50"/>
      <c r="L30" s="483"/>
      <c r="M30" s="50"/>
      <c r="N30" s="50">
        <f>(4*'Response and Relief Act Score'!$F$15-$M$18)/2</f>
        <v>11</v>
      </c>
      <c r="O30" s="50">
        <f>(4*'Response and Relief Act Score'!$F$15-$M$18)/2</f>
        <v>11</v>
      </c>
      <c r="P30" s="50"/>
      <c r="Q30" s="50"/>
      <c r="R30" s="50"/>
      <c r="S30" s="50"/>
      <c r="T30" s="313"/>
      <c r="U30" s="341"/>
      <c r="V30" s="502"/>
      <c r="W30" s="502"/>
      <c r="X30" s="502"/>
      <c r="Y30" s="502"/>
      <c r="Z30" s="502"/>
      <c r="AA30" s="502"/>
      <c r="AB30" s="502"/>
      <c r="AC30" s="511"/>
      <c r="AE30" s="1058"/>
      <c r="AF30" s="1058"/>
    </row>
    <row r="31" spans="2:34" x14ac:dyDescent="0.35">
      <c r="B31" s="417" t="s">
        <v>466</v>
      </c>
      <c r="C31" s="193"/>
      <c r="D31" s="202"/>
      <c r="E31" s="193"/>
      <c r="F31" s="168"/>
      <c r="G31" s="168"/>
      <c r="H31" s="50"/>
      <c r="I31" s="50"/>
      <c r="J31" s="50"/>
      <c r="K31" s="50"/>
      <c r="L31" s="483"/>
      <c r="M31" s="50"/>
      <c r="N31" s="50"/>
      <c r="O31" s="50"/>
      <c r="P31" s="50"/>
      <c r="Q31" s="50"/>
      <c r="R31" s="50"/>
      <c r="S31" s="50"/>
      <c r="T31" s="313"/>
      <c r="U31" s="341"/>
      <c r="V31" s="502"/>
      <c r="W31" s="502"/>
      <c r="X31" s="502"/>
      <c r="Y31" s="502"/>
      <c r="Z31" s="502"/>
      <c r="AA31" s="502"/>
      <c r="AB31" s="502"/>
      <c r="AC31" s="511"/>
      <c r="AE31" s="1058"/>
      <c r="AF31" s="1058"/>
    </row>
    <row r="32" spans="2:34" x14ac:dyDescent="0.35">
      <c r="B32" s="512" t="s">
        <v>463</v>
      </c>
      <c r="C32" s="193"/>
      <c r="D32" s="202"/>
      <c r="E32" s="193"/>
      <c r="F32" s="168"/>
      <c r="G32" s="168"/>
      <c r="H32" s="50"/>
      <c r="I32" s="50"/>
      <c r="J32" s="50"/>
      <c r="K32" s="50"/>
      <c r="L32" s="50"/>
      <c r="M32" s="50"/>
      <c r="N32" s="50"/>
      <c r="O32" s="50">
        <v>79</v>
      </c>
      <c r="P32" s="50"/>
      <c r="Q32" s="381"/>
      <c r="R32" s="381"/>
      <c r="S32" s="381"/>
      <c r="T32" s="424"/>
      <c r="U32" s="411"/>
      <c r="V32" s="502"/>
      <c r="W32" s="502"/>
      <c r="X32" s="502"/>
      <c r="Y32" s="502"/>
      <c r="Z32" s="502"/>
      <c r="AA32" s="502"/>
      <c r="AB32" s="502"/>
      <c r="AC32" s="511"/>
      <c r="AE32" s="1058"/>
      <c r="AF32" s="1058"/>
    </row>
    <row r="33" spans="1:78" x14ac:dyDescent="0.35">
      <c r="B33" s="513" t="s">
        <v>470</v>
      </c>
      <c r="C33" s="193"/>
      <c r="D33" s="202"/>
      <c r="E33" s="193"/>
      <c r="F33" s="168"/>
      <c r="G33" s="168"/>
      <c r="H33" s="50"/>
      <c r="I33" s="50"/>
      <c r="J33" s="50"/>
      <c r="K33" s="50"/>
      <c r="L33" s="50"/>
      <c r="M33" s="50"/>
      <c r="N33" s="50"/>
      <c r="O33" s="50">
        <f>'Response and Relief Act Score'!F13*4</f>
        <v>60</v>
      </c>
      <c r="P33" s="50"/>
      <c r="Q33" s="381"/>
      <c r="R33" s="381"/>
      <c r="S33" s="381"/>
      <c r="T33" s="424"/>
      <c r="U33" s="411"/>
      <c r="V33" s="502"/>
      <c r="W33" s="502"/>
      <c r="X33" s="502"/>
      <c r="Y33" s="502"/>
      <c r="Z33" s="502"/>
      <c r="AA33" s="502"/>
      <c r="AB33" s="502"/>
      <c r="AC33" s="511"/>
      <c r="AE33" s="1058"/>
      <c r="AF33" s="1058"/>
    </row>
    <row r="34" spans="1:78" ht="27.65" customHeight="1" x14ac:dyDescent="0.35">
      <c r="B34" s="513" t="s">
        <v>471</v>
      </c>
      <c r="C34" s="193"/>
      <c r="D34" s="461"/>
      <c r="E34" s="471"/>
      <c r="F34" s="490"/>
      <c r="G34" s="490"/>
      <c r="H34" s="371"/>
      <c r="I34" s="371"/>
      <c r="J34" s="371"/>
      <c r="K34" s="371"/>
      <c r="L34" s="491"/>
      <c r="M34" s="371"/>
      <c r="N34" s="371">
        <f>'Response and Relief Act Score'!F14*4/2</f>
        <v>12</v>
      </c>
      <c r="O34" s="371">
        <f>'Response and Relief Act Score'!F14*4/2</f>
        <v>12</v>
      </c>
      <c r="P34" s="371"/>
      <c r="Q34" s="371"/>
      <c r="R34" s="371"/>
      <c r="S34" s="371"/>
      <c r="T34" s="354"/>
      <c r="U34" s="341"/>
      <c r="V34" s="502"/>
      <c r="W34" s="502"/>
      <c r="X34" s="502"/>
      <c r="Y34" s="502"/>
      <c r="Z34" s="502"/>
      <c r="AA34" s="502"/>
      <c r="AB34" s="502"/>
      <c r="AC34" s="511"/>
      <c r="AE34" s="1058"/>
      <c r="AF34" s="1058"/>
    </row>
    <row r="35" spans="1:78" ht="15" customHeight="1" x14ac:dyDescent="0.35">
      <c r="B35" s="1497" t="s">
        <v>472</v>
      </c>
      <c r="C35" s="1498"/>
      <c r="D35" s="202"/>
      <c r="E35" s="193"/>
      <c r="F35" s="168"/>
      <c r="G35" s="168"/>
      <c r="H35" s="50"/>
      <c r="I35" s="50"/>
      <c r="J35" s="50"/>
      <c r="K35" s="50"/>
      <c r="L35" s="483"/>
      <c r="M35" s="50"/>
      <c r="N35" s="50"/>
      <c r="O35" s="50"/>
      <c r="P35" s="50"/>
      <c r="Q35" s="50"/>
      <c r="R35" s="50"/>
      <c r="S35" s="50"/>
      <c r="T35" s="313"/>
      <c r="U35" s="515"/>
      <c r="V35" s="516"/>
      <c r="W35" s="516"/>
      <c r="X35" s="516"/>
      <c r="Y35" s="516"/>
      <c r="Z35" s="516"/>
      <c r="AA35" s="516"/>
      <c r="AB35" s="516"/>
      <c r="AC35" s="499"/>
      <c r="AE35" s="1058"/>
      <c r="AF35" s="1058"/>
    </row>
    <row r="36" spans="1:78" ht="13.5" customHeight="1" x14ac:dyDescent="0.35">
      <c r="B36" s="513" t="s">
        <v>143</v>
      </c>
      <c r="C36" s="193"/>
      <c r="D36" s="202"/>
      <c r="E36" s="193"/>
      <c r="F36" s="168"/>
      <c r="G36" s="168"/>
      <c r="H36" s="50"/>
      <c r="I36" s="50"/>
      <c r="J36" s="50"/>
      <c r="K36" s="50"/>
      <c r="L36" s="48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313">
        <f>'ARP Quarterly'!J18</f>
        <v>0</v>
      </c>
      <c r="U36" s="341">
        <f>'ARP Quarterly'!K18</f>
        <v>0</v>
      </c>
      <c r="V36" s="341">
        <f>'ARP Quarterly'!L18</f>
        <v>0</v>
      </c>
      <c r="W36" s="341">
        <f>'ARP Quarterly'!M18</f>
        <v>0</v>
      </c>
      <c r="X36" s="341">
        <f>'ARP Quarterly'!N18</f>
        <v>0</v>
      </c>
      <c r="Y36" s="341">
        <f>'ARP Quarterly'!O18</f>
        <v>0</v>
      </c>
      <c r="Z36" s="341">
        <f>'ARP Quarterly'!P18</f>
        <v>0</v>
      </c>
      <c r="AA36" s="341">
        <f>'ARP Quarterly'!Q18</f>
        <v>0</v>
      </c>
      <c r="AB36" s="341">
        <f>'ARP Quarterly'!R18</f>
        <v>0</v>
      </c>
      <c r="AC36" s="407">
        <f>'ARP Quarterly'!S18</f>
        <v>0</v>
      </c>
      <c r="AE36" s="1058"/>
      <c r="AF36" s="1058"/>
    </row>
    <row r="37" spans="1:78" x14ac:dyDescent="0.35">
      <c r="B37" s="513" t="s">
        <v>473</v>
      </c>
      <c r="C37" s="193"/>
      <c r="D37" s="202"/>
      <c r="E37" s="193"/>
      <c r="F37" s="168"/>
      <c r="G37" s="168"/>
      <c r="H37" s="50"/>
      <c r="I37" s="50"/>
      <c r="J37" s="50"/>
      <c r="K37" s="50"/>
      <c r="L37" s="48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313">
        <f>'ARP Quarterly'!J19</f>
        <v>0.48599999999999993</v>
      </c>
      <c r="U37" s="341">
        <f>'ARP Quarterly'!K19</f>
        <v>0.48599999999999993</v>
      </c>
      <c r="V37" s="341">
        <f>'ARP Quarterly'!L19</f>
        <v>0.48599999999999993</v>
      </c>
      <c r="W37" s="341">
        <f>'ARP Quarterly'!M19</f>
        <v>0.48599999999999993</v>
      </c>
      <c r="X37" s="341">
        <f>'ARP Quarterly'!N19</f>
        <v>0</v>
      </c>
      <c r="Y37" s="341">
        <f>'ARP Quarterly'!O19</f>
        <v>0</v>
      </c>
      <c r="Z37" s="341">
        <f>'ARP Quarterly'!P19</f>
        <v>0</v>
      </c>
      <c r="AA37" s="341">
        <f>'ARP Quarterly'!Q19</f>
        <v>0</v>
      </c>
      <c r="AB37" s="341">
        <f>'ARP Quarterly'!R19</f>
        <v>0</v>
      </c>
      <c r="AC37" s="407">
        <f>'ARP Quarterly'!S19</f>
        <v>0</v>
      </c>
      <c r="AE37" s="1058"/>
      <c r="AF37" s="1058"/>
    </row>
    <row r="38" spans="1:78" x14ac:dyDescent="0.35">
      <c r="B38" s="513" t="s">
        <v>148</v>
      </c>
      <c r="C38" s="193"/>
      <c r="D38" s="202"/>
      <c r="E38" s="193"/>
      <c r="F38" s="168"/>
      <c r="G38" s="168"/>
      <c r="H38" s="50"/>
      <c r="I38" s="50"/>
      <c r="J38" s="50"/>
      <c r="K38" s="50"/>
      <c r="L38" s="48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313">
        <f>'ARP Quarterly'!J20</f>
        <v>0</v>
      </c>
      <c r="U38" s="341">
        <f>'ARP Quarterly'!K20</f>
        <v>0</v>
      </c>
      <c r="V38" s="341">
        <f>'ARP Quarterly'!L20</f>
        <v>0</v>
      </c>
      <c r="W38" s="341">
        <f>'ARP Quarterly'!M20</f>
        <v>0</v>
      </c>
      <c r="X38" s="341">
        <f>'ARP Quarterly'!N20</f>
        <v>0</v>
      </c>
      <c r="Y38" s="341">
        <f>'ARP Quarterly'!O20</f>
        <v>0</v>
      </c>
      <c r="Z38" s="341">
        <f>'ARP Quarterly'!P20</f>
        <v>0</v>
      </c>
      <c r="AA38" s="341">
        <f>'ARP Quarterly'!Q20</f>
        <v>0</v>
      </c>
      <c r="AB38" s="341">
        <f>'ARP Quarterly'!R20</f>
        <v>0</v>
      </c>
      <c r="AC38" s="407">
        <f>'ARP Quarterly'!S20</f>
        <v>0</v>
      </c>
      <c r="AE38" s="1058"/>
      <c r="AF38" s="1058"/>
    </row>
    <row r="39" spans="1:78" x14ac:dyDescent="0.35">
      <c r="B39" s="513" t="s">
        <v>463</v>
      </c>
      <c r="C39" s="193"/>
      <c r="D39" s="202"/>
      <c r="E39" s="193"/>
      <c r="F39" s="168"/>
      <c r="G39" s="168"/>
      <c r="H39" s="50"/>
      <c r="I39" s="50"/>
      <c r="J39" s="50"/>
      <c r="K39" s="50"/>
      <c r="L39" s="48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313">
        <f>'ARP Quarterly'!J21</f>
        <v>0.78750000000000009</v>
      </c>
      <c r="U39" s="341">
        <f>'ARP Quarterly'!K21</f>
        <v>0.78750000000000009</v>
      </c>
      <c r="V39" s="341">
        <f>'ARP Quarterly'!L21</f>
        <v>0.78750000000000009</v>
      </c>
      <c r="W39" s="341">
        <f>'ARP Quarterly'!M21</f>
        <v>0.78750000000000009</v>
      </c>
      <c r="X39" s="341">
        <f>'ARP Quarterly'!N21</f>
        <v>0</v>
      </c>
      <c r="Y39" s="341">
        <f>'ARP Quarterly'!O21</f>
        <v>0</v>
      </c>
      <c r="Z39" s="341">
        <f>'ARP Quarterly'!P21</f>
        <v>0</v>
      </c>
      <c r="AA39" s="341">
        <f>'ARP Quarterly'!Q21</f>
        <v>0</v>
      </c>
      <c r="AB39" s="341">
        <f>'ARP Quarterly'!R21</f>
        <v>0</v>
      </c>
      <c r="AC39" s="407">
        <f>'ARP Quarterly'!S21</f>
        <v>0</v>
      </c>
      <c r="AE39" s="1058"/>
      <c r="AF39" s="1058"/>
    </row>
    <row r="40" spans="1:78" ht="30" customHeight="1" x14ac:dyDescent="0.35">
      <c r="B40" s="513" t="s">
        <v>474</v>
      </c>
      <c r="C40" s="193"/>
      <c r="D40" s="202"/>
      <c r="E40" s="193"/>
      <c r="F40" s="168"/>
      <c r="G40" s="168"/>
      <c r="H40" s="50"/>
      <c r="I40" s="50"/>
      <c r="J40" s="50"/>
      <c r="K40" s="50"/>
      <c r="L40" s="48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313">
        <f>'ARP Quarterly'!J22</f>
        <v>1.3125000000000002</v>
      </c>
      <c r="U40" s="341">
        <f>'ARP Quarterly'!K22</f>
        <v>1.3125000000000002</v>
      </c>
      <c r="V40" s="341">
        <f>'ARP Quarterly'!L22</f>
        <v>1.3125000000000002</v>
      </c>
      <c r="W40" s="341">
        <f>'ARP Quarterly'!M22</f>
        <v>1.3125000000000002</v>
      </c>
      <c r="X40" s="341">
        <f>'ARP Quarterly'!N22</f>
        <v>0</v>
      </c>
      <c r="Y40" s="341">
        <f>'ARP Quarterly'!O22</f>
        <v>0</v>
      </c>
      <c r="Z40" s="341">
        <f>'ARP Quarterly'!P22</f>
        <v>0</v>
      </c>
      <c r="AA40" s="341">
        <f>'ARP Quarterly'!Q22</f>
        <v>0</v>
      </c>
      <c r="AB40" s="341">
        <f>'ARP Quarterly'!R22</f>
        <v>0</v>
      </c>
      <c r="AC40" s="407">
        <f>'ARP Quarterly'!S22</f>
        <v>0</v>
      </c>
      <c r="AE40" s="1058"/>
      <c r="AF40" s="1058"/>
    </row>
    <row r="41" spans="1:78" x14ac:dyDescent="0.35">
      <c r="B41" s="513" t="s">
        <v>475</v>
      </c>
      <c r="C41" s="193"/>
      <c r="D41" s="202"/>
      <c r="E41" s="193"/>
      <c r="F41" s="168"/>
      <c r="G41" s="168"/>
      <c r="H41" s="50"/>
      <c r="I41" s="50"/>
      <c r="J41" s="50"/>
      <c r="K41" s="50"/>
      <c r="L41" s="48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313">
        <f>'ARP Quarterly'!J23</f>
        <v>8.4</v>
      </c>
      <c r="U41" s="341">
        <f>'ARP Quarterly'!K23</f>
        <v>8.4</v>
      </c>
      <c r="V41" s="341">
        <f>'ARP Quarterly'!L23</f>
        <v>8.4</v>
      </c>
      <c r="W41" s="341">
        <f>'ARP Quarterly'!M23</f>
        <v>8.4</v>
      </c>
      <c r="X41" s="341">
        <f>'ARP Quarterly'!N23</f>
        <v>0.2</v>
      </c>
      <c r="Y41" s="341">
        <f>'ARP Quarterly'!O23</f>
        <v>0.2</v>
      </c>
      <c r="Z41" s="341">
        <f>'ARP Quarterly'!P23</f>
        <v>0.2</v>
      </c>
      <c r="AA41" s="341">
        <f>'ARP Quarterly'!Q23</f>
        <v>0.2</v>
      </c>
      <c r="AB41" s="341">
        <f>'ARP Quarterly'!R23</f>
        <v>0</v>
      </c>
      <c r="AC41" s="407">
        <f>'ARP Quarterly'!S23</f>
        <v>0</v>
      </c>
      <c r="AE41" s="1058"/>
      <c r="AF41" s="1058"/>
    </row>
    <row r="42" spans="1:78" x14ac:dyDescent="0.35">
      <c r="B42" s="513" t="s">
        <v>476</v>
      </c>
      <c r="C42" s="193"/>
      <c r="D42" s="202"/>
      <c r="E42" s="193"/>
      <c r="F42" s="168"/>
      <c r="G42" s="168"/>
      <c r="H42" s="50"/>
      <c r="I42" s="50"/>
      <c r="J42" s="50"/>
      <c r="K42" s="50"/>
      <c r="L42" s="483"/>
      <c r="M42" s="50">
        <f>'ARP Quarterly'!C24</f>
        <v>0</v>
      </c>
      <c r="N42" s="50">
        <f>'ARP Quarterly'!D24</f>
        <v>-0.20447999999999997</v>
      </c>
      <c r="O42" s="50">
        <f>'ARP Quarterly'!E24</f>
        <v>-0.93152000000000001</v>
      </c>
      <c r="P42" s="50">
        <v>0</v>
      </c>
      <c r="Q42" s="50">
        <v>0</v>
      </c>
      <c r="R42" s="50">
        <v>0</v>
      </c>
      <c r="S42" s="50">
        <v>0</v>
      </c>
      <c r="T42" s="313">
        <v>0</v>
      </c>
      <c r="U42" s="341">
        <v>0</v>
      </c>
      <c r="V42" s="341">
        <v>0</v>
      </c>
      <c r="W42" s="341">
        <v>0</v>
      </c>
      <c r="X42" s="341">
        <v>0</v>
      </c>
      <c r="Y42" s="341">
        <v>0</v>
      </c>
      <c r="Z42" s="341">
        <v>0</v>
      </c>
      <c r="AA42" s="341">
        <v>0</v>
      </c>
      <c r="AB42" s="341">
        <v>0</v>
      </c>
      <c r="AC42" s="407">
        <v>0</v>
      </c>
      <c r="AE42" s="1058"/>
      <c r="AF42" s="1058"/>
    </row>
    <row r="43" spans="1:78" x14ac:dyDescent="0.35">
      <c r="B43" s="513" t="s">
        <v>359</v>
      </c>
      <c r="C43" s="193"/>
      <c r="D43" s="461"/>
      <c r="E43" s="471"/>
      <c r="F43" s="490"/>
      <c r="G43" s="490"/>
      <c r="H43" s="371"/>
      <c r="I43" s="371"/>
      <c r="J43" s="371"/>
      <c r="K43" s="371"/>
      <c r="L43" s="491"/>
      <c r="M43" s="371">
        <f>'ARP Quarterly'!C25</f>
        <v>0</v>
      </c>
      <c r="N43" s="371">
        <f>'ARP Quarterly'!D25</f>
        <v>58.782959999999996</v>
      </c>
      <c r="O43" s="371">
        <f>'ARP Quarterly'!E25</f>
        <v>267.78904000000006</v>
      </c>
      <c r="P43" s="371">
        <f>'ARP Quarterly'!F25</f>
        <v>110.24799999999999</v>
      </c>
      <c r="Q43" s="371">
        <f>'ARP Quarterly'!G25</f>
        <v>110.24799999999999</v>
      </c>
      <c r="R43" s="371">
        <f>'ARP Quarterly'!H25</f>
        <v>110.24799999999999</v>
      </c>
      <c r="S43" s="371">
        <f>'ARP Quarterly'!I25</f>
        <v>110.24799999999999</v>
      </c>
      <c r="T43" s="354">
        <f>'ARP Quarterly'!J25</f>
        <v>12.362</v>
      </c>
      <c r="U43" s="341">
        <f>'ARP Quarterly'!K25</f>
        <v>12.362</v>
      </c>
      <c r="V43" s="341">
        <f>'ARP Quarterly'!L25</f>
        <v>12.362</v>
      </c>
      <c r="W43" s="341">
        <f>'ARP Quarterly'!M25</f>
        <v>12.362</v>
      </c>
      <c r="X43" s="341">
        <f>'ARP Quarterly'!N25</f>
        <v>-0.67500000000000004</v>
      </c>
      <c r="Y43" s="341">
        <f>'ARP Quarterly'!O25</f>
        <v>-0.67500000000000004</v>
      </c>
      <c r="Z43" s="341">
        <f>'ARP Quarterly'!P25</f>
        <v>-0.67500000000000004</v>
      </c>
      <c r="AA43" s="341">
        <f>'ARP Quarterly'!Q25</f>
        <v>-0.67500000000000004</v>
      </c>
      <c r="AB43" s="341">
        <f>'ARP Quarterly'!R25</f>
        <v>0</v>
      </c>
      <c r="AC43" s="407">
        <f>'ARP Quarterly'!S25</f>
        <v>0</v>
      </c>
      <c r="AE43" s="1058"/>
      <c r="AF43" s="1058"/>
    </row>
    <row r="44" spans="1:78" ht="15" customHeight="1" x14ac:dyDescent="0.35">
      <c r="B44" s="1497" t="s">
        <v>477</v>
      </c>
      <c r="C44" s="1498"/>
      <c r="D44" s="432"/>
      <c r="E44" s="69"/>
      <c r="F44" s="168"/>
      <c r="G44" s="168"/>
      <c r="H44" s="50"/>
      <c r="I44" s="50"/>
      <c r="J44" s="50"/>
      <c r="K44" s="50"/>
      <c r="L44" s="483"/>
      <c r="M44" s="50"/>
      <c r="N44" s="50"/>
      <c r="O44" s="50"/>
      <c r="P44" s="50"/>
      <c r="Q44" s="50"/>
      <c r="R44" s="50"/>
      <c r="S44" s="50"/>
      <c r="T44" s="313"/>
      <c r="U44" s="515"/>
      <c r="V44" s="516"/>
      <c r="W44" s="516"/>
      <c r="X44" s="516"/>
      <c r="Y44" s="516"/>
      <c r="Z44" s="516"/>
      <c r="AA44" s="516"/>
      <c r="AB44" s="516"/>
      <c r="AC44" s="499"/>
      <c r="AE44" s="1058"/>
      <c r="AF44" s="1058"/>
    </row>
    <row r="45" spans="1:78" ht="21" customHeight="1" x14ac:dyDescent="0.35">
      <c r="B45" s="427" t="s">
        <v>478</v>
      </c>
      <c r="C45" s="484"/>
      <c r="D45" s="427"/>
      <c r="E45" s="484"/>
      <c r="F45" s="332"/>
      <c r="G45" s="332"/>
      <c r="H45" s="485"/>
      <c r="I45" s="485"/>
      <c r="J45" s="485"/>
      <c r="K45" s="485"/>
      <c r="L45" s="486"/>
      <c r="M45" s="485">
        <f>'ARP Quarterly'!C6</f>
        <v>0</v>
      </c>
      <c r="N45" s="485">
        <f>'ARP Quarterly'!D6</f>
        <v>58.782959999999989</v>
      </c>
      <c r="O45" s="485">
        <f>'ARP Quarterly'!E6</f>
        <v>267.78904</v>
      </c>
      <c r="P45" s="485">
        <f>'ARP Quarterly'!F6</f>
        <v>110.24799999999999</v>
      </c>
      <c r="Q45" s="485">
        <f>'ARP Quarterly'!G6</f>
        <v>110.24799999999999</v>
      </c>
      <c r="R45" s="485">
        <f>'ARP Quarterly'!H6</f>
        <v>110.24799999999999</v>
      </c>
      <c r="S45" s="485">
        <f>'ARP Quarterly'!I6</f>
        <v>110.24799999999999</v>
      </c>
      <c r="T45" s="488">
        <f>'ARP Quarterly'!J6</f>
        <v>12.726000000000001</v>
      </c>
      <c r="U45" s="507">
        <f>'ARP Quarterly'!K6</f>
        <v>12.726000000000001</v>
      </c>
      <c r="V45" s="507">
        <f>'ARP Quarterly'!L6</f>
        <v>12.726000000000001</v>
      </c>
      <c r="W45" s="507">
        <f>'ARP Quarterly'!M6</f>
        <v>12.726000000000001</v>
      </c>
      <c r="X45" s="507">
        <f>'ARP Quarterly'!N6</f>
        <v>1.365</v>
      </c>
      <c r="Y45" s="507">
        <f>'ARP Quarterly'!O6</f>
        <v>1.365</v>
      </c>
      <c r="Z45" s="507">
        <f>'ARP Quarterly'!P6</f>
        <v>1.365</v>
      </c>
      <c r="AA45" s="507">
        <f>'ARP Quarterly'!Q6</f>
        <v>1.365</v>
      </c>
      <c r="AB45" s="507">
        <f>'ARP Quarterly'!R6</f>
        <v>-0.90100000000000025</v>
      </c>
      <c r="AC45" s="518">
        <f>'ARP Quarterly'!S6</f>
        <v>-0.90100000000000025</v>
      </c>
      <c r="AE45" s="1058"/>
      <c r="AF45" s="1058"/>
    </row>
    <row r="46" spans="1:78" ht="19.5" customHeight="1" x14ac:dyDescent="0.35">
      <c r="A46" s="514"/>
      <c r="B46" s="500" t="s">
        <v>199</v>
      </c>
      <c r="C46" s="501"/>
      <c r="D46" s="500"/>
      <c r="E46" s="501"/>
      <c r="F46" s="519">
        <f>F11-F45</f>
        <v>60.5</v>
      </c>
      <c r="G46" s="519">
        <f>G11-G45</f>
        <v>81.400000000000006</v>
      </c>
      <c r="H46" s="519">
        <f t="shared" ref="H46:AC46" si="14">H11-H45</f>
        <v>82.1</v>
      </c>
      <c r="I46" s="519">
        <f>I11-I45</f>
        <v>80</v>
      </c>
      <c r="J46" s="519">
        <f t="shared" si="14"/>
        <v>975.7</v>
      </c>
      <c r="K46" s="519">
        <f t="shared" si="14"/>
        <v>1108.8</v>
      </c>
      <c r="L46" s="519">
        <f>L11-L45</f>
        <v>462.2</v>
      </c>
      <c r="M46" s="519">
        <f>M11-M45</f>
        <v>387.4</v>
      </c>
      <c r="N46" s="519">
        <f t="shared" si="14"/>
        <v>635.11703999999997</v>
      </c>
      <c r="O46" s="519">
        <f>O11-O45</f>
        <v>277.81096000000002</v>
      </c>
      <c r="P46" s="519">
        <f>P11-P45</f>
        <v>178.05200000000002</v>
      </c>
      <c r="Q46" s="519">
        <f t="shared" si="14"/>
        <v>34.25200000000001</v>
      </c>
      <c r="R46" s="519">
        <f t="shared" si="14"/>
        <v>12.652000000000015</v>
      </c>
      <c r="S46" s="519">
        <f t="shared" si="14"/>
        <v>3.5520000000000067</v>
      </c>
      <c r="T46" s="489">
        <f t="shared" si="14"/>
        <v>94.873999999999995</v>
      </c>
      <c r="U46" s="508">
        <f t="shared" si="14"/>
        <v>83.295999999999992</v>
      </c>
      <c r="V46" s="508">
        <f t="shared" si="14"/>
        <v>75.782000000000011</v>
      </c>
      <c r="W46" s="508">
        <f t="shared" si="14"/>
        <v>75.782000000000011</v>
      </c>
      <c r="X46" s="508">
        <f t="shared" si="14"/>
        <v>84.266000000000005</v>
      </c>
      <c r="Y46" s="508">
        <f t="shared" si="14"/>
        <v>84.266000000000005</v>
      </c>
      <c r="Z46" s="508">
        <f t="shared" si="14"/>
        <v>84.266000000000005</v>
      </c>
      <c r="AA46" s="508">
        <f t="shared" si="14"/>
        <v>84.266000000000005</v>
      </c>
      <c r="AB46" s="508">
        <f t="shared" si="14"/>
        <v>91.364999999999995</v>
      </c>
      <c r="AC46" s="509">
        <f t="shared" si="14"/>
        <v>91.364999999999995</v>
      </c>
      <c r="AE46" s="1058"/>
      <c r="AF46" s="1058"/>
      <c r="AG46" s="514"/>
      <c r="AH46" s="514"/>
      <c r="AI46" s="514"/>
      <c r="AJ46" s="514"/>
      <c r="AK46" s="514"/>
      <c r="AL46" s="514"/>
      <c r="AM46" s="514"/>
      <c r="AN46" s="514"/>
      <c r="AO46" s="514"/>
      <c r="AP46" s="514"/>
      <c r="AQ46" s="514"/>
      <c r="AR46" s="514"/>
      <c r="AS46" s="514"/>
      <c r="AT46" s="514"/>
      <c r="AU46" s="514"/>
      <c r="AV46" s="514"/>
      <c r="AW46" s="514"/>
      <c r="AX46" s="514"/>
      <c r="AY46" s="514"/>
      <c r="AZ46" s="514"/>
      <c r="BA46" s="514"/>
      <c r="BB46" s="514"/>
      <c r="BC46" s="514"/>
      <c r="BD46" s="514"/>
      <c r="BE46" s="514"/>
      <c r="BF46" s="514"/>
      <c r="BG46" s="514"/>
      <c r="BH46" s="514"/>
      <c r="BI46" s="514"/>
      <c r="BJ46" s="514"/>
      <c r="BK46" s="514"/>
      <c r="BL46" s="514"/>
      <c r="BM46" s="514"/>
      <c r="BN46" s="514"/>
      <c r="BO46" s="514"/>
      <c r="BP46" s="514"/>
      <c r="BQ46" s="514"/>
      <c r="BR46" s="514"/>
      <c r="BS46" s="514"/>
      <c r="BT46" s="514"/>
      <c r="BU46" s="514"/>
      <c r="BV46" s="514"/>
      <c r="BW46" s="514"/>
      <c r="BX46" s="514"/>
      <c r="BY46" s="514"/>
      <c r="BZ46" s="514"/>
    </row>
    <row r="47" spans="1:78" ht="19.5" customHeight="1" x14ac:dyDescent="0.35">
      <c r="A47" s="514"/>
      <c r="B47" s="273"/>
      <c r="C47" s="273"/>
      <c r="D47" s="273"/>
      <c r="E47" s="273"/>
      <c r="F47" s="505"/>
      <c r="G47" s="505"/>
      <c r="H47" s="505"/>
      <c r="I47" s="505"/>
      <c r="J47" s="505"/>
      <c r="K47" s="505"/>
      <c r="L47" s="505"/>
      <c r="M47" s="505"/>
      <c r="N47" s="505"/>
      <c r="O47" s="505"/>
      <c r="P47" s="505"/>
      <c r="Q47" s="505"/>
      <c r="R47" s="505"/>
      <c r="S47" s="505"/>
      <c r="T47" s="505"/>
      <c r="U47" s="505"/>
      <c r="V47" s="505"/>
      <c r="W47" s="505"/>
      <c r="X47" s="505"/>
      <c r="Y47" s="505"/>
      <c r="Z47" s="505"/>
      <c r="AA47" s="505"/>
      <c r="AB47" s="505"/>
      <c r="AC47" s="505"/>
      <c r="AG47" s="514"/>
      <c r="AH47" s="514"/>
      <c r="AI47" s="514"/>
      <c r="AJ47" s="514"/>
      <c r="AK47" s="514"/>
      <c r="AL47" s="514"/>
      <c r="AM47" s="514"/>
      <c r="AN47" s="514"/>
      <c r="AO47" s="514"/>
      <c r="AP47" s="514"/>
      <c r="AQ47" s="514"/>
      <c r="AR47" s="514"/>
      <c r="AS47" s="514"/>
      <c r="AT47" s="514"/>
      <c r="AU47" s="514"/>
      <c r="AV47" s="514"/>
      <c r="AW47" s="514"/>
      <c r="AX47" s="514"/>
      <c r="AY47" s="514"/>
      <c r="AZ47" s="514"/>
      <c r="BA47" s="514"/>
      <c r="BB47" s="514"/>
      <c r="BC47" s="514"/>
      <c r="BD47" s="514"/>
      <c r="BE47" s="514"/>
      <c r="BF47" s="514"/>
      <c r="BG47" s="514"/>
      <c r="BH47" s="514"/>
      <c r="BI47" s="514"/>
      <c r="BJ47" s="514"/>
      <c r="BK47" s="514"/>
      <c r="BL47" s="514"/>
      <c r="BM47" s="514"/>
      <c r="BN47" s="514"/>
      <c r="BO47" s="514"/>
      <c r="BP47" s="514"/>
      <c r="BQ47" s="514"/>
      <c r="BR47" s="514"/>
      <c r="BS47" s="514"/>
      <c r="BT47" s="514"/>
      <c r="BU47" s="514"/>
      <c r="BV47" s="514"/>
      <c r="BW47" s="514"/>
      <c r="BX47" s="514"/>
      <c r="BY47" s="514"/>
      <c r="BZ47" s="514"/>
    </row>
    <row r="48" spans="1:78" ht="19.5" customHeight="1" x14ac:dyDescent="0.35">
      <c r="A48" s="514"/>
      <c r="B48" s="273"/>
      <c r="C48" s="273"/>
      <c r="D48" s="273"/>
      <c r="E48" s="273"/>
      <c r="F48" s="505"/>
      <c r="G48" s="505"/>
      <c r="H48" s="505"/>
      <c r="I48" s="505"/>
      <c r="J48" s="505"/>
      <c r="K48" s="505"/>
      <c r="L48" s="505"/>
      <c r="M48" s="505"/>
      <c r="N48" s="505"/>
      <c r="O48" s="505"/>
      <c r="P48" s="505"/>
      <c r="Q48" s="505"/>
      <c r="R48" s="505"/>
      <c r="S48" s="505"/>
      <c r="T48" s="505"/>
      <c r="U48" s="505"/>
      <c r="V48" s="505"/>
      <c r="W48" s="505"/>
      <c r="X48" s="505"/>
      <c r="Y48" s="505"/>
      <c r="Z48" s="505"/>
      <c r="AA48" s="505"/>
      <c r="AB48" s="505"/>
      <c r="AC48" s="505"/>
      <c r="AG48" s="514"/>
      <c r="AH48" s="514"/>
      <c r="AI48" s="514"/>
      <c r="AJ48" s="514"/>
      <c r="AK48" s="514"/>
      <c r="AL48" s="514"/>
      <c r="AM48" s="514"/>
      <c r="AN48" s="514"/>
      <c r="AO48" s="514"/>
      <c r="AP48" s="514"/>
      <c r="AQ48" s="514"/>
      <c r="AR48" s="514"/>
      <c r="AS48" s="514"/>
      <c r="AT48" s="514"/>
      <c r="AU48" s="514"/>
      <c r="AV48" s="514"/>
      <c r="AW48" s="514"/>
      <c r="AX48" s="514"/>
      <c r="AY48" s="514"/>
      <c r="AZ48" s="514"/>
      <c r="BA48" s="514"/>
      <c r="BB48" s="514"/>
      <c r="BC48" s="514"/>
      <c r="BD48" s="514"/>
      <c r="BE48" s="514"/>
      <c r="BF48" s="514"/>
      <c r="BG48" s="514"/>
      <c r="BH48" s="514"/>
      <c r="BI48" s="514"/>
      <c r="BJ48" s="514"/>
      <c r="BK48" s="514"/>
      <c r="BL48" s="514"/>
      <c r="BM48" s="514"/>
      <c r="BN48" s="514"/>
      <c r="BO48" s="514"/>
      <c r="BP48" s="514"/>
      <c r="BQ48" s="514"/>
      <c r="BR48" s="514"/>
      <c r="BS48" s="514"/>
      <c r="BT48" s="514"/>
      <c r="BU48" s="514"/>
      <c r="BV48" s="514"/>
      <c r="BW48" s="514"/>
      <c r="BX48" s="514"/>
      <c r="BY48" s="514"/>
      <c r="BZ48" s="514"/>
    </row>
    <row r="49" spans="2:29" x14ac:dyDescent="0.35">
      <c r="B49" s="196"/>
      <c r="C49" s="171"/>
      <c r="D49" s="171"/>
      <c r="E49" s="171"/>
      <c r="F49" s="171"/>
      <c r="G49" s="171"/>
      <c r="H49" s="171"/>
      <c r="I49" s="171"/>
      <c r="J49" s="171"/>
      <c r="K49" s="171"/>
      <c r="L49" s="171"/>
      <c r="M49" s="171"/>
      <c r="N49" s="171"/>
      <c r="O49" s="171"/>
      <c r="P49" s="456"/>
      <c r="Q49" s="456"/>
      <c r="R49" s="456"/>
      <c r="S49" s="456"/>
      <c r="T49" s="456"/>
      <c r="U49" s="456"/>
      <c r="V49" s="456"/>
      <c r="W49" s="456"/>
      <c r="X49" s="456"/>
      <c r="Y49" s="456"/>
      <c r="Z49" s="456"/>
      <c r="AA49" s="456"/>
      <c r="AB49" s="456"/>
      <c r="AC49" s="456"/>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47"/>
  <sheetViews>
    <sheetView topLeftCell="A7" zoomScale="90" zoomScaleNormal="90" workbookViewId="0">
      <selection activeCell="C20" sqref="C20"/>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433" t="s">
        <v>54</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29" ht="14.25" customHeight="1" x14ac:dyDescent="0.35">
      <c r="B2" s="1520" t="s">
        <v>919</v>
      </c>
      <c r="C2" s="1520"/>
      <c r="D2" s="1520"/>
      <c r="E2" s="1520"/>
      <c r="F2" s="1520"/>
      <c r="G2" s="1520"/>
      <c r="H2" s="1520"/>
      <c r="I2" s="1520"/>
      <c r="J2" s="1520"/>
      <c r="K2" s="1520"/>
      <c r="L2" s="1520"/>
      <c r="M2" s="1520"/>
      <c r="N2" s="1520"/>
      <c r="O2" s="1520"/>
      <c r="P2" s="1520"/>
      <c r="Q2" s="1520"/>
      <c r="R2" s="1520"/>
      <c r="S2" s="1520"/>
      <c r="T2" s="1520"/>
      <c r="U2" s="1520"/>
      <c r="V2" s="1519" t="s">
        <v>989</v>
      </c>
      <c r="W2" s="1519"/>
      <c r="X2" s="1519"/>
      <c r="Y2" s="1519"/>
      <c r="Z2" s="1519"/>
      <c r="AA2" s="1519"/>
      <c r="AB2" s="1519"/>
      <c r="AC2" s="565"/>
    </row>
    <row r="3" spans="2:29" ht="59.9" customHeight="1" x14ac:dyDescent="0.35">
      <c r="B3" s="1520"/>
      <c r="C3" s="1520"/>
      <c r="D3" s="1520"/>
      <c r="E3" s="1520"/>
      <c r="F3" s="1520"/>
      <c r="G3" s="1520"/>
      <c r="H3" s="1520"/>
      <c r="I3" s="1520"/>
      <c r="J3" s="1520"/>
      <c r="K3" s="1520"/>
      <c r="L3" s="1520"/>
      <c r="M3" s="1520"/>
      <c r="N3" s="1520"/>
      <c r="O3" s="1520"/>
      <c r="P3" s="1520"/>
      <c r="Q3" s="1520"/>
      <c r="R3" s="1520"/>
      <c r="S3" s="1520"/>
      <c r="T3" s="1520"/>
      <c r="U3" s="1520"/>
      <c r="V3" s="1519"/>
      <c r="W3" s="1519"/>
      <c r="X3" s="1519"/>
      <c r="Y3" s="1519"/>
      <c r="Z3" s="1519"/>
      <c r="AA3" s="1519"/>
      <c r="AB3" s="1519"/>
      <c r="AC3" s="565"/>
    </row>
    <row r="4" spans="2:29" ht="88.5" customHeight="1" x14ac:dyDescent="0.35">
      <c r="B4" s="1520"/>
      <c r="C4" s="1520"/>
      <c r="D4" s="1520"/>
      <c r="E4" s="1520"/>
      <c r="F4" s="1520"/>
      <c r="G4" s="1520"/>
      <c r="H4" s="1520"/>
      <c r="I4" s="1520"/>
      <c r="J4" s="1520"/>
      <c r="K4" s="1520"/>
      <c r="L4" s="1520"/>
      <c r="M4" s="1520"/>
      <c r="N4" s="1520"/>
      <c r="O4" s="1520"/>
      <c r="P4" s="1520"/>
      <c r="Q4" s="1520"/>
      <c r="R4" s="1520"/>
      <c r="S4" s="1520"/>
      <c r="T4" s="1520"/>
      <c r="U4" s="1520"/>
      <c r="V4" s="1519"/>
      <c r="W4" s="1519"/>
      <c r="X4" s="1519"/>
      <c r="Y4" s="1519"/>
      <c r="Z4" s="1519"/>
      <c r="AA4" s="1519"/>
      <c r="AB4" s="1519"/>
      <c r="AC4" s="565"/>
    </row>
    <row r="5" spans="2:29" ht="33" customHeight="1" x14ac:dyDescent="0.35">
      <c r="B5" s="565"/>
      <c r="C5" s="565"/>
      <c r="D5" s="565"/>
      <c r="E5" s="565"/>
      <c r="F5" s="565"/>
      <c r="G5" s="565"/>
      <c r="H5" s="565"/>
      <c r="I5" s="565"/>
      <c r="J5" s="565"/>
      <c r="K5" s="565"/>
      <c r="L5" s="565"/>
      <c r="M5" s="565"/>
      <c r="N5" s="565"/>
      <c r="O5" s="565"/>
      <c r="P5" s="565"/>
      <c r="Q5" s="565"/>
      <c r="R5" s="565"/>
      <c r="S5" s="565"/>
      <c r="T5" s="565"/>
      <c r="U5" s="565"/>
      <c r="V5" s="565"/>
      <c r="W5" s="565"/>
      <c r="X5" s="565"/>
      <c r="Y5" s="565"/>
      <c r="Z5" s="565"/>
      <c r="AA5" s="565"/>
      <c r="AB5" s="565"/>
      <c r="AC5" s="565"/>
    </row>
    <row r="6" spans="2:29" x14ac:dyDescent="0.35">
      <c r="B6" s="565"/>
      <c r="C6" s="565"/>
      <c r="D6" s="565"/>
      <c r="E6" s="565"/>
      <c r="F6" s="565"/>
      <c r="G6" s="565"/>
      <c r="H6" s="565"/>
      <c r="I6" s="565"/>
      <c r="J6" s="565"/>
      <c r="K6" s="565"/>
      <c r="L6" s="565"/>
      <c r="M6" s="565"/>
      <c r="N6" s="565"/>
      <c r="O6" s="565"/>
      <c r="P6" s="565"/>
      <c r="Q6" s="565"/>
      <c r="R6" s="565"/>
      <c r="S6" s="565"/>
      <c r="T6" s="565"/>
      <c r="U6" s="565"/>
      <c r="V6" s="565"/>
      <c r="W6" s="565"/>
      <c r="X6" s="565"/>
      <c r="Y6" s="565"/>
      <c r="Z6" s="565"/>
      <c r="AA6" s="565"/>
      <c r="AB6" s="565"/>
      <c r="AC6" s="565"/>
    </row>
    <row r="7" spans="2:29" ht="14.9" customHeight="1" x14ac:dyDescent="0.35">
      <c r="B7" s="1437" t="s">
        <v>453</v>
      </c>
      <c r="C7" s="1438"/>
      <c r="D7" s="1447" t="s">
        <v>325</v>
      </c>
      <c r="E7" s="1448"/>
      <c r="F7" s="1448"/>
      <c r="G7" s="1448"/>
      <c r="H7" s="1448"/>
      <c r="I7" s="1448"/>
      <c r="J7" s="1448"/>
      <c r="K7" s="1448"/>
      <c r="L7" s="1448"/>
      <c r="M7" s="1448"/>
      <c r="N7" s="1448"/>
      <c r="O7" s="1448"/>
      <c r="P7" s="1448"/>
      <c r="Q7" s="1456"/>
      <c r="R7" s="1456"/>
      <c r="S7" s="1456"/>
      <c r="T7" s="1438"/>
      <c r="U7" s="1451" t="s">
        <v>326</v>
      </c>
      <c r="V7" s="1451"/>
      <c r="W7" s="1451"/>
      <c r="X7" s="1451"/>
      <c r="Y7" s="1451"/>
      <c r="Z7" s="1451"/>
      <c r="AA7" s="1451"/>
      <c r="AB7" s="1451"/>
      <c r="AC7" s="1452"/>
    </row>
    <row r="8" spans="2:29" x14ac:dyDescent="0.35">
      <c r="B8" s="1439"/>
      <c r="C8" s="1476"/>
      <c r="D8" s="133">
        <v>2018</v>
      </c>
      <c r="E8" s="1418">
        <v>2019</v>
      </c>
      <c r="F8" s="1435"/>
      <c r="G8" s="1435"/>
      <c r="H8" s="1436"/>
      <c r="I8" s="1418">
        <v>2020</v>
      </c>
      <c r="J8" s="1435"/>
      <c r="K8" s="1435"/>
      <c r="L8" s="1435"/>
      <c r="M8" s="1418">
        <v>2021</v>
      </c>
      <c r="N8" s="1435"/>
      <c r="O8" s="1435"/>
      <c r="P8" s="1435"/>
      <c r="Q8" s="1418">
        <v>2022</v>
      </c>
      <c r="R8" s="1419"/>
      <c r="S8" s="1419"/>
      <c r="T8" s="1436"/>
      <c r="U8" s="1441">
        <v>2023</v>
      </c>
      <c r="V8" s="1442"/>
      <c r="W8" s="1442"/>
      <c r="X8" s="1442"/>
      <c r="Y8" s="1444">
        <v>2024</v>
      </c>
      <c r="Z8" s="1442"/>
      <c r="AA8" s="1442"/>
      <c r="AB8" s="1443"/>
      <c r="AC8" s="274">
        <v>2025</v>
      </c>
    </row>
    <row r="9" spans="2:29" x14ac:dyDescent="0.35">
      <c r="B9" s="1439"/>
      <c r="C9" s="1476"/>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0" t="s">
        <v>328</v>
      </c>
      <c r="V9" s="310" t="s">
        <v>329</v>
      </c>
      <c r="W9" s="310" t="s">
        <v>238</v>
      </c>
      <c r="X9" s="310" t="s">
        <v>327</v>
      </c>
      <c r="Y9" s="379" t="s">
        <v>328</v>
      </c>
      <c r="Z9" s="267" t="s">
        <v>329</v>
      </c>
      <c r="AA9" s="310" t="s">
        <v>238</v>
      </c>
      <c r="AB9" s="155" t="s">
        <v>327</v>
      </c>
      <c r="AC9" s="404" t="s">
        <v>328</v>
      </c>
    </row>
    <row r="10" spans="2:29" x14ac:dyDescent="0.35">
      <c r="B10" s="543" t="s">
        <v>101</v>
      </c>
      <c r="C10" s="455" t="s">
        <v>479</v>
      </c>
      <c r="D10" s="523">
        <f>'Haver Pivoted'!GO13</f>
        <v>589.5</v>
      </c>
      <c r="E10" s="524">
        <f>'Haver Pivoted'!GP13</f>
        <v>598.70000000000005</v>
      </c>
      <c r="F10" s="524">
        <f>'Haver Pivoted'!GQ13</f>
        <v>614.4</v>
      </c>
      <c r="G10" s="524">
        <f>'Haver Pivoted'!GR13</f>
        <v>622.4</v>
      </c>
      <c r="H10" s="524">
        <f>'Haver Pivoted'!GS13</f>
        <v>620.70000000000005</v>
      </c>
      <c r="I10" s="524">
        <f>'Haver Pivoted'!GT13</f>
        <v>606.6</v>
      </c>
      <c r="J10" s="524">
        <f>'Haver Pivoted'!GU13</f>
        <v>654.70000000000005</v>
      </c>
      <c r="K10" s="524">
        <f>'Haver Pivoted'!GV13</f>
        <v>690.7</v>
      </c>
      <c r="L10" s="524">
        <f>'Haver Pivoted'!GW13</f>
        <v>678.3</v>
      </c>
      <c r="M10" s="524">
        <f>'Haver Pivoted'!GX13</f>
        <v>704.4</v>
      </c>
      <c r="N10" s="524">
        <f>'Haver Pivoted'!GY13</f>
        <v>744.8</v>
      </c>
      <c r="O10" s="524">
        <f>'Haver Pivoted'!GZ13</f>
        <v>748.2</v>
      </c>
      <c r="P10" s="524">
        <f>'Haver Pivoted'!HA13</f>
        <v>745</v>
      </c>
      <c r="Q10" s="524">
        <f>'Haver Pivoted'!HB13</f>
        <v>763.1</v>
      </c>
      <c r="R10" s="524">
        <f>'Haver Pivoted'!HC13</f>
        <v>789.5</v>
      </c>
      <c r="S10" s="525">
        <f>'Haver Pivoted'!HD13</f>
        <v>786.1</v>
      </c>
      <c r="T10" s="526">
        <f>'Haver Pivoted'!HE13</f>
        <v>784.6</v>
      </c>
      <c r="U10" s="252"/>
      <c r="V10" s="252"/>
      <c r="W10" s="252"/>
      <c r="X10" s="252"/>
      <c r="Y10" s="252"/>
      <c r="Z10" s="252"/>
      <c r="AA10" s="252"/>
      <c r="AB10" s="252"/>
      <c r="AC10" s="253"/>
    </row>
    <row r="11" spans="2:29" x14ac:dyDescent="0.35">
      <c r="B11" s="194" t="s">
        <v>480</v>
      </c>
      <c r="C11" s="171" t="s">
        <v>386</v>
      </c>
      <c r="D11" s="561">
        <f>'Haver Pivoted'!GO40</f>
        <v>390.53500000000003</v>
      </c>
      <c r="E11" s="435">
        <f>'Haver Pivoted'!GP40</f>
        <v>407.62099999999998</v>
      </c>
      <c r="F11" s="435">
        <f>'Haver Pivoted'!GQ40</f>
        <v>416.459</v>
      </c>
      <c r="G11" s="435">
        <f>'Haver Pivoted'!GR40</f>
        <v>418.661</v>
      </c>
      <c r="H11" s="435">
        <f>'Haver Pivoted'!GS40</f>
        <v>411.69499999999999</v>
      </c>
      <c r="I11" s="435">
        <f>'Haver Pivoted'!GT40</f>
        <v>428.30799999999999</v>
      </c>
      <c r="J11" s="435">
        <f>'Haver Pivoted'!GU40</f>
        <v>506.81599999999997</v>
      </c>
      <c r="K11" s="435">
        <f>'Haver Pivoted'!GV40</f>
        <v>484.78</v>
      </c>
      <c r="L11" s="435">
        <f>'Haver Pivoted'!GW40</f>
        <v>500.25799999999998</v>
      </c>
      <c r="M11" s="435">
        <f>'Haver Pivoted'!GX40</f>
        <v>509.42099999999999</v>
      </c>
      <c r="N11" s="435">
        <f>'Haver Pivoted'!GY40</f>
        <v>527.01700000000005</v>
      </c>
      <c r="O11" s="435">
        <f>'Haver Pivoted'!GZ40</f>
        <v>542.85299999999995</v>
      </c>
      <c r="P11" s="435">
        <f>'Haver Pivoted'!HA40</f>
        <v>553.86500000000001</v>
      </c>
      <c r="Q11" s="435">
        <f>'Haver Pivoted'!HB40</f>
        <v>592.26700000000005</v>
      </c>
      <c r="R11" s="435">
        <f>'Haver Pivoted'!HC40</f>
        <v>590.13</v>
      </c>
      <c r="S11" s="437">
        <f>'Haver Pivoted'!HD40</f>
        <v>605.63699999999994</v>
      </c>
      <c r="T11" s="451">
        <f>'Haver Pivoted'!HE40</f>
        <v>604.79499999999996</v>
      </c>
      <c r="U11" s="310"/>
      <c r="V11" s="310"/>
      <c r="W11" s="310"/>
      <c r="X11" s="310"/>
      <c r="Y11" s="310"/>
      <c r="Z11" s="310"/>
      <c r="AA11" s="310"/>
      <c r="AB11" s="310"/>
      <c r="AC11" s="155"/>
    </row>
    <row r="12" spans="2:29" ht="27.65" customHeight="1" x14ac:dyDescent="0.35">
      <c r="B12" s="461" t="s">
        <v>959</v>
      </c>
      <c r="C12" s="36"/>
      <c r="D12" s="564">
        <f t="shared" ref="D12:N12" si="0">D11/D10</f>
        <v>0.66248515691263787</v>
      </c>
      <c r="E12" s="542">
        <f t="shared" si="0"/>
        <v>0.68084349423751456</v>
      </c>
      <c r="F12" s="542">
        <f t="shared" si="0"/>
        <v>0.67783040364583336</v>
      </c>
      <c r="G12" s="542">
        <f t="shared" si="0"/>
        <v>0.6726558483290489</v>
      </c>
      <c r="H12" s="542">
        <f t="shared" si="0"/>
        <v>0.66327533429998387</v>
      </c>
      <c r="I12" s="542">
        <f t="shared" si="0"/>
        <v>0.70607978898780077</v>
      </c>
      <c r="J12" s="542">
        <f t="shared" si="0"/>
        <v>0.77411944402016186</v>
      </c>
      <c r="K12" s="542">
        <f t="shared" si="0"/>
        <v>0.70186767047922394</v>
      </c>
      <c r="L12" s="542">
        <f t="shared" si="0"/>
        <v>0.73751732271856119</v>
      </c>
      <c r="M12" s="542">
        <f t="shared" si="0"/>
        <v>0.72319846678023847</v>
      </c>
      <c r="N12" s="542">
        <f t="shared" si="0"/>
        <v>0.70759532760472621</v>
      </c>
      <c r="O12" s="542">
        <f t="shared" ref="O12:T12" si="1">O11/O10</f>
        <v>0.72554530874097822</v>
      </c>
      <c r="P12" s="542">
        <f t="shared" si="1"/>
        <v>0.74344295302013419</v>
      </c>
      <c r="Q12" s="542">
        <f t="shared" si="1"/>
        <v>0.77613287904599659</v>
      </c>
      <c r="R12" s="542">
        <f t="shared" si="1"/>
        <v>0.74747308423052561</v>
      </c>
      <c r="S12" s="527">
        <f t="shared" si="1"/>
        <v>0.77043251494720766</v>
      </c>
      <c r="T12" s="537">
        <f t="shared" si="1"/>
        <v>0.77083227122100428</v>
      </c>
      <c r="U12" s="567">
        <f t="shared" ref="U12:Y12" si="2">T12</f>
        <v>0.77083227122100428</v>
      </c>
      <c r="V12" s="567">
        <v>0.73699999999999999</v>
      </c>
      <c r="W12" s="567">
        <f>U12-0.05</f>
        <v>0.72083227122100424</v>
      </c>
      <c r="X12" s="567">
        <f>W12++(I45-H45)</f>
        <v>0.72028854606484294</v>
      </c>
      <c r="Y12" s="567">
        <f t="shared" si="2"/>
        <v>0.72028854606484294</v>
      </c>
      <c r="Z12" s="567">
        <f t="shared" ref="Z12" si="3">Y12</f>
        <v>0.72028854606484294</v>
      </c>
      <c r="AA12" s="567">
        <f t="shared" ref="AA12" si="4">Z12</f>
        <v>0.72028854606484294</v>
      </c>
      <c r="AB12" s="567">
        <f>AA12+(J45-I45)</f>
        <v>0.71542199297001041</v>
      </c>
      <c r="AC12" s="568">
        <f t="shared" ref="AC12" si="5">AB12</f>
        <v>0.71542199297001041</v>
      </c>
    </row>
    <row r="13" spans="2:29" ht="27.65" customHeight="1" x14ac:dyDescent="0.35"/>
    <row r="15" spans="2:29" x14ac:dyDescent="0.35">
      <c r="B15" s="196" t="s">
        <v>399</v>
      </c>
    </row>
    <row r="16" spans="2:29" ht="25.4" customHeight="1" x14ac:dyDescent="0.35">
      <c r="B16" s="1247" t="s">
        <v>481</v>
      </c>
      <c r="C16" s="1248">
        <v>2020</v>
      </c>
      <c r="D16" s="1249">
        <v>2021</v>
      </c>
      <c r="E16" s="1249">
        <v>2022</v>
      </c>
      <c r="F16" s="1249">
        <v>2023</v>
      </c>
      <c r="G16" s="1250">
        <v>2024</v>
      </c>
      <c r="H16" s="159"/>
      <c r="I16" s="159"/>
      <c r="J16" s="159"/>
    </row>
    <row r="17" spans="2:29" ht="31.5" customHeight="1" x14ac:dyDescent="0.35">
      <c r="B17" s="1251" t="s">
        <v>2226</v>
      </c>
      <c r="C17" s="1252">
        <v>458.46800000000002</v>
      </c>
      <c r="D17" s="1253">
        <v>520.58799999999997</v>
      </c>
      <c r="E17" s="1254">
        <v>591.95000000000005</v>
      </c>
      <c r="F17" s="1254">
        <v>589.41600000000005</v>
      </c>
      <c r="G17" s="1255">
        <v>538.94399999999996</v>
      </c>
    </row>
    <row r="18" spans="2:29" s="1066" customFormat="1" ht="31.5" customHeight="1" x14ac:dyDescent="0.35">
      <c r="B18" s="563" t="s">
        <v>1269</v>
      </c>
      <c r="C18" s="554">
        <v>458.46800000000002</v>
      </c>
      <c r="D18" s="284">
        <v>520.58799999999997</v>
      </c>
      <c r="E18" s="284">
        <v>589.25400000000002</v>
      </c>
      <c r="F18" s="284">
        <f>601.458</f>
        <v>601.45799999999997</v>
      </c>
      <c r="G18" s="569">
        <f>546.164</f>
        <v>546.16399999999999</v>
      </c>
    </row>
    <row r="19" spans="2:29" x14ac:dyDescent="0.35">
      <c r="B19" s="194" t="s">
        <v>482</v>
      </c>
      <c r="C19" s="547">
        <f>AVERAGE(H12:K12)</f>
        <v>0.7113355594467925</v>
      </c>
      <c r="D19" s="539">
        <f>AVERAGE(L12:O12)</f>
        <v>0.72346410646112602</v>
      </c>
      <c r="E19" s="539">
        <f>AVERAGE(P12:S12)</f>
        <v>0.75937035781096596</v>
      </c>
      <c r="F19" s="539">
        <f>AVERAGE(T12:W12)</f>
        <v>0.74987420341575328</v>
      </c>
      <c r="G19" s="540">
        <f>AVERAGE(X12:AA12)</f>
        <v>0.72028854606484294</v>
      </c>
    </row>
    <row r="20" spans="2:29" x14ac:dyDescent="0.35">
      <c r="B20" s="194" t="s">
        <v>483</v>
      </c>
      <c r="C20" s="298">
        <f>C17/C19</f>
        <v>644.51719573326511</v>
      </c>
      <c r="D20" s="159">
        <f>D17/D19</f>
        <v>719.5768184637268</v>
      </c>
      <c r="E20" s="159">
        <f>E17/E19</f>
        <v>779.52739912894685</v>
      </c>
      <c r="F20" s="159">
        <f>F17/F19</f>
        <v>786.01983814771893</v>
      </c>
      <c r="G20" s="170">
        <f>G17/G19</f>
        <v>748.23347246657772</v>
      </c>
    </row>
    <row r="21" spans="2:29" ht="32.25" customHeight="1" x14ac:dyDescent="0.35">
      <c r="B21" s="461" t="s">
        <v>484</v>
      </c>
      <c r="C21" s="299"/>
      <c r="D21" s="542">
        <f>D20/C20-1</f>
        <v>0.11645868136235937</v>
      </c>
      <c r="E21" s="542">
        <f t="shared" ref="E21:G21" si="6">E20/D20-1</f>
        <v>8.3313663151646011E-2</v>
      </c>
      <c r="F21" s="542">
        <f>F20/E20-1</f>
        <v>8.3286861065137163E-3</v>
      </c>
      <c r="G21" s="566">
        <f t="shared" si="6"/>
        <v>-4.8073043258279546E-2</v>
      </c>
      <c r="I21" s="546"/>
      <c r="J21" s="546"/>
      <c r="K21" s="546"/>
      <c r="L21" s="546"/>
      <c r="R21" s="35"/>
      <c r="S21" s="541"/>
      <c r="T21" s="541"/>
      <c r="U21" s="541"/>
    </row>
    <row r="23" spans="2:29" x14ac:dyDescent="0.35">
      <c r="B23" s="196" t="s">
        <v>412</v>
      </c>
    </row>
    <row r="24" spans="2:29" x14ac:dyDescent="0.35">
      <c r="B24" s="1437" t="s">
        <v>485</v>
      </c>
      <c r="C24" s="1475"/>
      <c r="D24" s="1447" t="s">
        <v>325</v>
      </c>
      <c r="E24" s="1448"/>
      <c r="F24" s="1448"/>
      <c r="G24" s="1448"/>
      <c r="H24" s="1448"/>
      <c r="I24" s="1448"/>
      <c r="J24" s="1448"/>
      <c r="K24" s="1448"/>
      <c r="L24" s="1448"/>
      <c r="M24" s="1448"/>
      <c r="N24" s="1448"/>
      <c r="O24" s="1448"/>
      <c r="P24" s="1448"/>
      <c r="Q24" s="1456"/>
      <c r="R24" s="1456"/>
      <c r="S24" s="1456"/>
      <c r="T24" s="1438"/>
      <c r="U24" s="1451" t="s">
        <v>326</v>
      </c>
      <c r="V24" s="1451"/>
      <c r="W24" s="1451"/>
      <c r="X24" s="1451"/>
      <c r="Y24" s="1451"/>
      <c r="Z24" s="1451"/>
      <c r="AA24" s="1451"/>
      <c r="AB24" s="1451"/>
      <c r="AC24" s="1452"/>
    </row>
    <row r="25" spans="2:29" x14ac:dyDescent="0.35">
      <c r="B25" s="1439"/>
      <c r="C25" s="1476"/>
      <c r="D25" s="133">
        <v>2018</v>
      </c>
      <c r="E25" s="1418">
        <v>2019</v>
      </c>
      <c r="F25" s="1435"/>
      <c r="G25" s="1435"/>
      <c r="H25" s="1436"/>
      <c r="I25" s="1418">
        <v>2020</v>
      </c>
      <c r="J25" s="1435"/>
      <c r="K25" s="1435"/>
      <c r="L25" s="1435"/>
      <c r="M25" s="1418">
        <v>2021</v>
      </c>
      <c r="N25" s="1435"/>
      <c r="O25" s="1435"/>
      <c r="P25" s="1435"/>
      <c r="Q25" s="1418">
        <v>2022</v>
      </c>
      <c r="R25" s="1419"/>
      <c r="S25" s="1419"/>
      <c r="T25" s="1436"/>
      <c r="U25" s="1441">
        <v>2023</v>
      </c>
      <c r="V25" s="1442"/>
      <c r="W25" s="1442"/>
      <c r="X25" s="1442"/>
      <c r="Y25" s="1444">
        <v>2024</v>
      </c>
      <c r="Z25" s="1442"/>
      <c r="AA25" s="1442"/>
      <c r="AB25" s="1443"/>
      <c r="AC25" s="274">
        <v>2025</v>
      </c>
    </row>
    <row r="26" spans="2:29" x14ac:dyDescent="0.35">
      <c r="B26" s="1454"/>
      <c r="C26" s="1477"/>
      <c r="D26" s="137" t="s">
        <v>327</v>
      </c>
      <c r="E26" s="137" t="s">
        <v>328</v>
      </c>
      <c r="F26" s="150" t="s">
        <v>329</v>
      </c>
      <c r="G26" s="150" t="s">
        <v>238</v>
      </c>
      <c r="H26" s="226" t="s">
        <v>327</v>
      </c>
      <c r="I26" s="150" t="s">
        <v>328</v>
      </c>
      <c r="J26" s="150" t="s">
        <v>329</v>
      </c>
      <c r="K26" s="150" t="s">
        <v>238</v>
      </c>
      <c r="L26" s="150" t="s">
        <v>327</v>
      </c>
      <c r="M26" s="137" t="s">
        <v>328</v>
      </c>
      <c r="N26" s="150" t="s">
        <v>329</v>
      </c>
      <c r="O26" s="150" t="s">
        <v>238</v>
      </c>
      <c r="P26" s="150" t="s">
        <v>327</v>
      </c>
      <c r="Q26" s="137" t="s">
        <v>328</v>
      </c>
      <c r="R26" s="150" t="s">
        <v>329</v>
      </c>
      <c r="S26" s="150" t="s">
        <v>238</v>
      </c>
      <c r="T26" s="226" t="s">
        <v>327</v>
      </c>
      <c r="U26" s="310" t="s">
        <v>328</v>
      </c>
      <c r="V26" s="310" t="s">
        <v>329</v>
      </c>
      <c r="W26" s="310" t="s">
        <v>238</v>
      </c>
      <c r="X26" s="310" t="s">
        <v>327</v>
      </c>
      <c r="Y26" s="379" t="s">
        <v>328</v>
      </c>
      <c r="Z26" s="267" t="s">
        <v>329</v>
      </c>
      <c r="AA26" s="310" t="s">
        <v>238</v>
      </c>
      <c r="AB26" s="155" t="s">
        <v>327</v>
      </c>
      <c r="AC26" s="404" t="s">
        <v>328</v>
      </c>
    </row>
    <row r="27" spans="2:29" ht="19.5" customHeight="1" x14ac:dyDescent="0.35">
      <c r="B27" s="558" t="s">
        <v>486</v>
      </c>
      <c r="C27" s="559"/>
      <c r="D27" s="530">
        <f t="shared" ref="D27:T27" si="7">D10</f>
        <v>589.5</v>
      </c>
      <c r="E27" s="531">
        <f t="shared" si="7"/>
        <v>598.70000000000005</v>
      </c>
      <c r="F27" s="531">
        <f t="shared" si="7"/>
        <v>614.4</v>
      </c>
      <c r="G27" s="531">
        <f t="shared" si="7"/>
        <v>622.4</v>
      </c>
      <c r="H27" s="531">
        <f t="shared" si="7"/>
        <v>620.70000000000005</v>
      </c>
      <c r="I27" s="531">
        <f t="shared" si="7"/>
        <v>606.6</v>
      </c>
      <c r="J27" s="531">
        <f t="shared" si="7"/>
        <v>654.70000000000005</v>
      </c>
      <c r="K27" s="531">
        <f t="shared" si="7"/>
        <v>690.7</v>
      </c>
      <c r="L27" s="531">
        <f t="shared" si="7"/>
        <v>678.3</v>
      </c>
      <c r="M27" s="531">
        <f t="shared" si="7"/>
        <v>704.4</v>
      </c>
      <c r="N27" s="531">
        <f t="shared" si="7"/>
        <v>744.8</v>
      </c>
      <c r="O27" s="531">
        <f t="shared" si="7"/>
        <v>748.2</v>
      </c>
      <c r="P27" s="531">
        <f t="shared" si="7"/>
        <v>745</v>
      </c>
      <c r="Q27" s="531">
        <f t="shared" si="7"/>
        <v>763.1</v>
      </c>
      <c r="R27" s="531">
        <f t="shared" si="7"/>
        <v>789.5</v>
      </c>
      <c r="S27" s="532">
        <f t="shared" si="7"/>
        <v>786.1</v>
      </c>
      <c r="T27" s="533">
        <f t="shared" si="7"/>
        <v>784.6</v>
      </c>
      <c r="U27" s="557">
        <f>T27*(1+$F$21)^0.25</f>
        <v>786.22859405082568</v>
      </c>
      <c r="V27" s="557">
        <f>U27*(1+$F$21)^0.25</f>
        <v>787.86056857397148</v>
      </c>
      <c r="W27" s="557">
        <f>V27*(1+$F$21)^0.25</f>
        <v>789.49593058628307</v>
      </c>
      <c r="X27" s="557">
        <f t="shared" ref="X27:AC27" si="8">W27*(1+$G$21)^0.25</f>
        <v>779.83155088112517</v>
      </c>
      <c r="Y27" s="557">
        <f t="shared" si="8"/>
        <v>770.28547480676127</v>
      </c>
      <c r="Z27" s="557">
        <f t="shared" si="8"/>
        <v>760.85625418446853</v>
      </c>
      <c r="AA27" s="557">
        <f t="shared" si="8"/>
        <v>751.54245856297325</v>
      </c>
      <c r="AB27" s="557">
        <f t="shared" si="8"/>
        <v>742.34267500144574</v>
      </c>
      <c r="AC27" s="545">
        <f t="shared" si="8"/>
        <v>733.25550785515156</v>
      </c>
    </row>
    <row r="28" spans="2:29" ht="19.5" customHeight="1" x14ac:dyDescent="0.35">
      <c r="B28" s="544" t="s">
        <v>1798</v>
      </c>
      <c r="C28" s="273"/>
      <c r="D28" s="560"/>
      <c r="E28" s="528"/>
      <c r="F28" s="528"/>
      <c r="G28" s="528"/>
      <c r="H28" s="528"/>
      <c r="I28" s="528"/>
      <c r="J28" s="528"/>
      <c r="K28" s="528"/>
      <c r="L28" s="528"/>
      <c r="M28" s="528"/>
      <c r="N28" s="528"/>
      <c r="O28" s="528"/>
      <c r="P28" s="528"/>
      <c r="Q28" s="528"/>
      <c r="R28" s="528"/>
      <c r="S28" s="529"/>
      <c r="T28" s="570"/>
      <c r="U28" s="536"/>
      <c r="V28" s="536"/>
      <c r="W28" s="536"/>
      <c r="X28" s="536"/>
      <c r="Y28" s="536"/>
      <c r="Z28" s="536"/>
      <c r="AA28" s="536"/>
      <c r="AB28" s="536"/>
      <c r="AC28" s="536"/>
    </row>
    <row r="29" spans="2:29" ht="19.399999999999999" customHeight="1" x14ac:dyDescent="0.35">
      <c r="B29" s="544" t="s">
        <v>207</v>
      </c>
      <c r="C29" s="273"/>
      <c r="D29" s="560">
        <f t="shared" ref="D29:Q29" si="9">D10*D12</f>
        <v>390.53500000000003</v>
      </c>
      <c r="E29" s="528">
        <f t="shared" si="9"/>
        <v>407.62099999999998</v>
      </c>
      <c r="F29" s="528">
        <f t="shared" si="9"/>
        <v>416.459</v>
      </c>
      <c r="G29" s="528">
        <f t="shared" si="9"/>
        <v>418.661</v>
      </c>
      <c r="H29" s="528">
        <f t="shared" si="9"/>
        <v>411.69499999999999</v>
      </c>
      <c r="I29" s="528">
        <f t="shared" si="9"/>
        <v>428.30799999999994</v>
      </c>
      <c r="J29" s="528">
        <f t="shared" si="9"/>
        <v>506.81600000000003</v>
      </c>
      <c r="K29" s="528">
        <f t="shared" si="9"/>
        <v>484.78000000000003</v>
      </c>
      <c r="L29" s="528">
        <f t="shared" si="9"/>
        <v>500.25800000000004</v>
      </c>
      <c r="M29" s="528">
        <f t="shared" si="9"/>
        <v>509.42099999999994</v>
      </c>
      <c r="N29" s="528">
        <f t="shared" si="9"/>
        <v>527.01700000000005</v>
      </c>
      <c r="O29" s="528">
        <f t="shared" si="9"/>
        <v>542.85299999999995</v>
      </c>
      <c r="P29" s="528">
        <f t="shared" si="9"/>
        <v>553.86500000000001</v>
      </c>
      <c r="Q29" s="528">
        <f t="shared" si="9"/>
        <v>592.26700000000005</v>
      </c>
      <c r="R29" s="528">
        <f t="shared" ref="R29:AC29" si="10">R27*R12</f>
        <v>590.13</v>
      </c>
      <c r="S29" s="528">
        <f t="shared" si="10"/>
        <v>605.63699999999994</v>
      </c>
      <c r="T29" s="534">
        <f t="shared" si="10"/>
        <v>604.79499999999996</v>
      </c>
      <c r="U29" s="536">
        <f t="shared" si="10"/>
        <v>606.05037285109495</v>
      </c>
      <c r="V29" s="536">
        <f t="shared" si="10"/>
        <v>580.65323903901697</v>
      </c>
      <c r="W29" s="536">
        <f t="shared" si="10"/>
        <v>569.0941447642507</v>
      </c>
      <c r="X29" s="536">
        <f t="shared" si="10"/>
        <v>561.70373395965726</v>
      </c>
      <c r="Y29" s="536">
        <f t="shared" si="10"/>
        <v>554.82780470342925</v>
      </c>
      <c r="Z29" s="536">
        <f t="shared" si="10"/>
        <v>548.03604509087336</v>
      </c>
      <c r="AA29" s="536">
        <f t="shared" si="10"/>
        <v>541.32742478432147</v>
      </c>
      <c r="AB29" s="536">
        <f t="shared" si="10"/>
        <v>531.08827601622306</v>
      </c>
      <c r="AC29" s="536">
        <f t="shared" si="10"/>
        <v>524.58711678596967</v>
      </c>
    </row>
    <row r="30" spans="2:29" ht="19.399999999999999" customHeight="1" x14ac:dyDescent="0.35">
      <c r="B30" s="167" t="s">
        <v>487</v>
      </c>
      <c r="C30" s="280"/>
      <c r="D30" s="562">
        <f t="shared" ref="D30:G30" si="11">D27-D29</f>
        <v>198.96499999999997</v>
      </c>
      <c r="E30" s="307">
        <f t="shared" si="11"/>
        <v>191.07900000000006</v>
      </c>
      <c r="F30" s="307">
        <f t="shared" si="11"/>
        <v>197.94099999999997</v>
      </c>
      <c r="G30" s="307">
        <f t="shared" si="11"/>
        <v>203.73899999999998</v>
      </c>
      <c r="H30" s="307">
        <f t="shared" ref="H30:AC30" si="12">H27-H29</f>
        <v>209.00500000000005</v>
      </c>
      <c r="I30" s="307">
        <f t="shared" si="12"/>
        <v>178.29200000000009</v>
      </c>
      <c r="J30" s="307">
        <f t="shared" si="12"/>
        <v>147.88400000000001</v>
      </c>
      <c r="K30" s="307">
        <f t="shared" si="12"/>
        <v>205.92000000000002</v>
      </c>
      <c r="L30" s="307">
        <f t="shared" si="12"/>
        <v>178.04199999999992</v>
      </c>
      <c r="M30" s="307">
        <f t="shared" si="12"/>
        <v>194.97900000000004</v>
      </c>
      <c r="N30" s="307">
        <f t="shared" si="12"/>
        <v>217.7829999999999</v>
      </c>
      <c r="O30" s="307">
        <f>O27-O29</f>
        <v>205.34700000000009</v>
      </c>
      <c r="P30" s="307">
        <f>P27-P29</f>
        <v>191.13499999999999</v>
      </c>
      <c r="Q30" s="307">
        <f t="shared" si="12"/>
        <v>170.83299999999997</v>
      </c>
      <c r="R30" s="307">
        <f t="shared" si="12"/>
        <v>199.37</v>
      </c>
      <c r="S30" s="307">
        <f t="shared" si="12"/>
        <v>180.46300000000008</v>
      </c>
      <c r="T30" s="535">
        <f t="shared" si="12"/>
        <v>179.80500000000006</v>
      </c>
      <c r="U30" s="555">
        <f t="shared" si="12"/>
        <v>180.17822119973073</v>
      </c>
      <c r="V30" s="555">
        <f t="shared" si="12"/>
        <v>207.20732953495451</v>
      </c>
      <c r="W30" s="555">
        <f t="shared" si="12"/>
        <v>220.40178582203237</v>
      </c>
      <c r="X30" s="555">
        <f t="shared" si="12"/>
        <v>218.12781692146791</v>
      </c>
      <c r="Y30" s="555">
        <f t="shared" si="12"/>
        <v>215.45767010333202</v>
      </c>
      <c r="Z30" s="555">
        <f t="shared" si="12"/>
        <v>212.82020909359517</v>
      </c>
      <c r="AA30" s="555">
        <f t="shared" si="12"/>
        <v>210.21503377865179</v>
      </c>
      <c r="AB30" s="555">
        <f t="shared" si="12"/>
        <v>211.25439898522268</v>
      </c>
      <c r="AC30" s="556">
        <f t="shared" si="12"/>
        <v>208.66839106918189</v>
      </c>
    </row>
    <row r="31" spans="2:29" ht="19.399999999999999" customHeight="1" x14ac:dyDescent="0.35">
      <c r="B31" s="171"/>
      <c r="C31" s="171"/>
      <c r="D31" s="435"/>
      <c r="E31" s="435"/>
      <c r="F31" s="435"/>
      <c r="G31" s="435"/>
      <c r="H31" s="435"/>
      <c r="I31" s="435"/>
      <c r="J31" s="435"/>
      <c r="K31" s="435"/>
      <c r="L31" s="435"/>
      <c r="M31" s="435"/>
      <c r="N31" s="435"/>
      <c r="O31" s="435"/>
      <c r="P31" s="435"/>
      <c r="Q31" s="435"/>
      <c r="R31" s="435"/>
      <c r="S31" s="435"/>
      <c r="T31" s="435"/>
      <c r="U31" s="435"/>
      <c r="V31" s="435"/>
      <c r="W31" s="435"/>
      <c r="X31" s="435"/>
      <c r="Y31" s="435"/>
      <c r="Z31" s="435"/>
      <c r="AA31" s="435"/>
      <c r="AB31" s="435"/>
      <c r="AC31" s="435"/>
    </row>
    <row r="32" spans="2:29" ht="14.9" customHeight="1" x14ac:dyDescent="0.35">
      <c r="H32" s="288"/>
      <c r="I32" s="288"/>
      <c r="J32" s="288"/>
      <c r="K32" s="288"/>
      <c r="L32" s="288"/>
      <c r="M32" s="548"/>
      <c r="N32" s="288"/>
      <c r="O32" s="288"/>
    </row>
    <row r="33" spans="2:17" ht="14.9" customHeight="1" x14ac:dyDescent="0.35">
      <c r="B33" s="549" t="s">
        <v>488</v>
      </c>
      <c r="C33" s="550"/>
      <c r="D33" s="550"/>
      <c r="E33" s="551"/>
      <c r="F33" s="552">
        <v>2021</v>
      </c>
      <c r="G33" s="552">
        <v>2022</v>
      </c>
      <c r="H33" s="552">
        <v>2023</v>
      </c>
      <c r="I33" s="552">
        <v>2024</v>
      </c>
      <c r="J33" s="552">
        <v>2025</v>
      </c>
      <c r="K33" s="552">
        <v>2025</v>
      </c>
      <c r="L33" s="552">
        <v>2027</v>
      </c>
      <c r="M33" s="552">
        <v>2028</v>
      </c>
      <c r="N33" s="552">
        <v>2029</v>
      </c>
      <c r="O33" s="552">
        <v>2030</v>
      </c>
      <c r="P33" s="553">
        <v>2031</v>
      </c>
    </row>
    <row r="34" spans="2:17" ht="15" customHeight="1" x14ac:dyDescent="0.35">
      <c r="B34" s="1507" t="s">
        <v>489</v>
      </c>
      <c r="C34" s="1508"/>
      <c r="D34" s="1508"/>
      <c r="E34" s="1509"/>
      <c r="F34" s="159">
        <v>287</v>
      </c>
      <c r="G34" s="159">
        <v>534</v>
      </c>
      <c r="H34" s="159">
        <v>247</v>
      </c>
      <c r="I34" s="159">
        <v>63</v>
      </c>
      <c r="J34" s="159"/>
      <c r="K34" s="159"/>
      <c r="L34" s="159"/>
      <c r="M34" s="159"/>
      <c r="N34" s="159"/>
      <c r="O34" s="159"/>
      <c r="P34" s="170"/>
    </row>
    <row r="35" spans="2:17" ht="15" customHeight="1" x14ac:dyDescent="0.35">
      <c r="B35" s="1501" t="s">
        <v>490</v>
      </c>
      <c r="C35" s="1502"/>
      <c r="D35" s="1502"/>
      <c r="E35" s="1503"/>
      <c r="F35" s="159">
        <v>0</v>
      </c>
      <c r="G35" s="159">
        <v>0</v>
      </c>
      <c r="H35" s="159">
        <v>756</v>
      </c>
      <c r="I35" s="159">
        <v>1249</v>
      </c>
      <c r="J35" s="159">
        <v>1417</v>
      </c>
      <c r="K35" s="159">
        <v>1522</v>
      </c>
      <c r="L35" s="159">
        <v>1107</v>
      </c>
      <c r="M35" s="159"/>
      <c r="N35" s="159"/>
      <c r="O35" s="159"/>
      <c r="P35" s="170"/>
    </row>
    <row r="36" spans="2:17" x14ac:dyDescent="0.35">
      <c r="B36" s="1501" t="s">
        <v>491</v>
      </c>
      <c r="C36" s="1502"/>
      <c r="D36" s="1502"/>
      <c r="E36" s="1503"/>
      <c r="F36" s="159">
        <v>0</v>
      </c>
      <c r="G36" s="159">
        <v>5</v>
      </c>
      <c r="H36" s="159">
        <v>77</v>
      </c>
      <c r="I36" s="159">
        <v>307</v>
      </c>
      <c r="J36" s="159">
        <v>332</v>
      </c>
      <c r="K36" s="159">
        <v>270</v>
      </c>
      <c r="L36" s="159">
        <v>25</v>
      </c>
      <c r="M36" s="159">
        <v>32</v>
      </c>
      <c r="N36" s="159">
        <v>40</v>
      </c>
      <c r="O36" s="159">
        <v>49</v>
      </c>
      <c r="P36" s="170">
        <v>58</v>
      </c>
    </row>
    <row r="37" spans="2:17" ht="32.9" customHeight="1" x14ac:dyDescent="0.35">
      <c r="B37" s="1504" t="s">
        <v>492</v>
      </c>
      <c r="C37" s="1505"/>
      <c r="D37" s="1505"/>
      <c r="E37" s="1506"/>
      <c r="F37" s="159">
        <v>0</v>
      </c>
      <c r="G37" s="159">
        <v>0</v>
      </c>
      <c r="H37" s="159">
        <v>3768</v>
      </c>
      <c r="I37" s="159">
        <v>3428</v>
      </c>
      <c r="J37" s="159">
        <v>2176</v>
      </c>
      <c r="K37" s="159">
        <v>2304</v>
      </c>
      <c r="L37" s="159">
        <v>2129</v>
      </c>
      <c r="M37" s="159">
        <v>1335</v>
      </c>
      <c r="N37" s="159">
        <v>478</v>
      </c>
      <c r="O37" s="159">
        <v>531</v>
      </c>
      <c r="P37" s="170">
        <v>212</v>
      </c>
    </row>
    <row r="38" spans="2:17" ht="32.9" customHeight="1" x14ac:dyDescent="0.35">
      <c r="B38" s="1504" t="s">
        <v>493</v>
      </c>
      <c r="C38" s="1505"/>
      <c r="D38" s="1505"/>
      <c r="E38" s="1506"/>
      <c r="F38" s="159">
        <v>38</v>
      </c>
      <c r="G38" s="159">
        <v>81</v>
      </c>
      <c r="H38" s="159">
        <v>43</v>
      </c>
      <c r="I38" s="159"/>
      <c r="J38" s="159"/>
      <c r="K38" s="159"/>
      <c r="L38" s="159"/>
      <c r="M38" s="159"/>
      <c r="N38" s="159"/>
      <c r="O38" s="159"/>
      <c r="P38" s="170"/>
    </row>
    <row r="39" spans="2:17" x14ac:dyDescent="0.35">
      <c r="B39" s="1501" t="s">
        <v>494</v>
      </c>
      <c r="C39" s="1502"/>
      <c r="D39" s="1502"/>
      <c r="E39" s="1503"/>
      <c r="F39" s="159"/>
      <c r="G39" s="159"/>
      <c r="H39" s="159"/>
      <c r="I39" s="159">
        <v>-184</v>
      </c>
      <c r="J39" s="159">
        <v>-1830</v>
      </c>
      <c r="K39" s="159">
        <v>-2406</v>
      </c>
      <c r="L39" s="159">
        <v>-2419</v>
      </c>
      <c r="M39" s="159">
        <v>-2467</v>
      </c>
      <c r="N39" s="159">
        <v>-2531</v>
      </c>
      <c r="O39" s="159">
        <v>-2667</v>
      </c>
      <c r="P39" s="170">
        <v>-2809</v>
      </c>
    </row>
    <row r="40" spans="2:17" ht="15.75" customHeight="1" x14ac:dyDescent="0.35">
      <c r="B40" s="1513" t="s">
        <v>495</v>
      </c>
      <c r="C40" s="1514"/>
      <c r="D40" s="1514"/>
      <c r="E40" s="1515"/>
      <c r="F40" s="159">
        <v>6524</v>
      </c>
      <c r="G40" s="159">
        <v>6143</v>
      </c>
      <c r="H40" s="159"/>
      <c r="I40" s="159"/>
      <c r="J40" s="159"/>
      <c r="K40" s="159"/>
      <c r="L40" s="159"/>
      <c r="M40" s="159"/>
      <c r="N40" s="159"/>
      <c r="O40" s="159"/>
      <c r="P40" s="170"/>
    </row>
    <row r="41" spans="2:17" x14ac:dyDescent="0.35">
      <c r="B41" s="1501" t="s">
        <v>496</v>
      </c>
      <c r="C41" s="1502"/>
      <c r="D41" s="1502"/>
      <c r="E41" s="1503"/>
      <c r="F41" s="159">
        <v>50</v>
      </c>
      <c r="G41" s="159">
        <v>175</v>
      </c>
      <c r="H41" s="159">
        <v>25</v>
      </c>
      <c r="I41" s="159"/>
      <c r="J41" s="159"/>
      <c r="K41" s="159"/>
      <c r="L41" s="159"/>
      <c r="M41" s="159"/>
      <c r="N41" s="159"/>
      <c r="O41" s="159"/>
      <c r="P41" s="170"/>
    </row>
    <row r="42" spans="2:17" x14ac:dyDescent="0.35">
      <c r="B42" s="1501" t="s">
        <v>497</v>
      </c>
      <c r="C42" s="1502"/>
      <c r="D42" s="1502"/>
      <c r="E42" s="1503"/>
      <c r="F42" s="159">
        <v>829</v>
      </c>
      <c r="G42" s="159">
        <v>844</v>
      </c>
      <c r="H42" s="159"/>
      <c r="I42" s="159"/>
      <c r="J42" s="159"/>
      <c r="K42" s="159"/>
      <c r="L42" s="159"/>
      <c r="M42" s="159"/>
      <c r="N42" s="159"/>
      <c r="O42" s="159"/>
      <c r="P42" s="170"/>
    </row>
    <row r="43" spans="2:17" x14ac:dyDescent="0.35">
      <c r="B43" s="1516" t="s">
        <v>498</v>
      </c>
      <c r="C43" s="1517"/>
      <c r="D43" s="1517"/>
      <c r="E43" s="1518"/>
      <c r="F43" s="159">
        <f t="shared" ref="F43:P43" si="13">SUM(F34:F42)</f>
        <v>7728</v>
      </c>
      <c r="G43" s="159">
        <f t="shared" si="13"/>
        <v>7782</v>
      </c>
      <c r="H43" s="159">
        <f t="shared" si="13"/>
        <v>4916</v>
      </c>
      <c r="I43" s="159">
        <f t="shared" si="13"/>
        <v>4863</v>
      </c>
      <c r="J43" s="159">
        <f t="shared" si="13"/>
        <v>2095</v>
      </c>
      <c r="K43" s="159">
        <f t="shared" si="13"/>
        <v>1690</v>
      </c>
      <c r="L43" s="159">
        <f t="shared" si="13"/>
        <v>842</v>
      </c>
      <c r="M43" s="159">
        <f t="shared" si="13"/>
        <v>-1100</v>
      </c>
      <c r="N43" s="159">
        <f t="shared" si="13"/>
        <v>-2013</v>
      </c>
      <c r="O43" s="159">
        <f t="shared" si="13"/>
        <v>-2087</v>
      </c>
      <c r="P43" s="170">
        <f t="shared" si="13"/>
        <v>-2539</v>
      </c>
    </row>
    <row r="44" spans="2:17" x14ac:dyDescent="0.35">
      <c r="B44" s="1513" t="s">
        <v>499</v>
      </c>
      <c r="C44" s="1514"/>
      <c r="D44" s="1514"/>
      <c r="E44" s="1515"/>
      <c r="F44" s="159">
        <f t="shared" ref="F44:P44" si="14">F40+F38+F37</f>
        <v>6562</v>
      </c>
      <c r="G44" s="159">
        <f t="shared" si="14"/>
        <v>6224</v>
      </c>
      <c r="H44" s="159">
        <f t="shared" si="14"/>
        <v>3811</v>
      </c>
      <c r="I44" s="159">
        <f t="shared" si="14"/>
        <v>3428</v>
      </c>
      <c r="J44" s="159">
        <f t="shared" si="14"/>
        <v>2176</v>
      </c>
      <c r="K44" s="159">
        <f t="shared" si="14"/>
        <v>2304</v>
      </c>
      <c r="L44" s="159">
        <f t="shared" si="14"/>
        <v>2129</v>
      </c>
      <c r="M44" s="159">
        <f t="shared" si="14"/>
        <v>1335</v>
      </c>
      <c r="N44" s="159">
        <f t="shared" si="14"/>
        <v>478</v>
      </c>
      <c r="O44" s="159">
        <f t="shared" si="14"/>
        <v>531</v>
      </c>
      <c r="P44" s="170">
        <f t="shared" si="14"/>
        <v>212</v>
      </c>
      <c r="Q44" s="171" t="s">
        <v>500</v>
      </c>
    </row>
    <row r="45" spans="2:17" x14ac:dyDescent="0.35">
      <c r="B45" s="1501" t="s">
        <v>501</v>
      </c>
      <c r="C45" s="1502"/>
      <c r="D45" s="1502"/>
      <c r="E45" s="1503"/>
      <c r="F45" s="159">
        <f>(F44/1000)/M27</f>
        <v>9.315729699034641E-3</v>
      </c>
      <c r="G45" s="159">
        <f>(G44/F44)*F45</f>
        <v>8.8358886996024993E-3</v>
      </c>
      <c r="H45" s="159">
        <f>(H44/G44)*G45+H46</f>
        <v>5.4102782509937537E-3</v>
      </c>
      <c r="I45" s="159">
        <f>(I44/H44)*H45+I46</f>
        <v>4.8665530948324813E-3</v>
      </c>
      <c r="J45" s="159">
        <f>J46</f>
        <v>0</v>
      </c>
      <c r="K45" s="159">
        <f t="shared" ref="K45:L45" si="15">K46</f>
        <v>0</v>
      </c>
      <c r="L45" s="159">
        <f t="shared" si="15"/>
        <v>0</v>
      </c>
      <c r="M45" s="159"/>
      <c r="N45" s="159"/>
      <c r="O45" s="159"/>
      <c r="P45" s="170"/>
      <c r="Q45" s="171" t="s">
        <v>502</v>
      </c>
    </row>
    <row r="46" spans="2:17" ht="29.25" customHeight="1" x14ac:dyDescent="0.35">
      <c r="B46" s="520" t="s">
        <v>960</v>
      </c>
      <c r="C46" s="521"/>
      <c r="D46" s="521"/>
      <c r="E46" s="522"/>
      <c r="F46" s="159"/>
      <c r="G46" s="159"/>
      <c r="H46" s="159"/>
      <c r="I46" s="159"/>
      <c r="J46" s="159"/>
      <c r="K46" s="159"/>
      <c r="L46" s="159"/>
      <c r="M46" s="159"/>
      <c r="N46" s="159"/>
      <c r="O46" s="159"/>
      <c r="P46" s="170"/>
      <c r="Q46" s="171"/>
    </row>
    <row r="47" spans="2:17" x14ac:dyDescent="0.35">
      <c r="B47" s="1510"/>
      <c r="C47" s="1511"/>
      <c r="D47" s="1511"/>
      <c r="E47" s="1512"/>
      <c r="F47" s="173"/>
      <c r="G47" s="173"/>
      <c r="H47" s="173"/>
      <c r="I47" s="173"/>
      <c r="J47" s="173"/>
      <c r="K47" s="173"/>
      <c r="L47" s="173"/>
      <c r="M47" s="173"/>
      <c r="N47" s="173"/>
      <c r="O47" s="173"/>
      <c r="P47" s="177"/>
    </row>
  </sheetData>
  <mergeCells count="34">
    <mergeCell ref="B1:AC1"/>
    <mergeCell ref="V2:AB4"/>
    <mergeCell ref="B2:U4"/>
    <mergeCell ref="Y25:AB25"/>
    <mergeCell ref="Y8:AB8"/>
    <mergeCell ref="U8:X8"/>
    <mergeCell ref="M25:P25"/>
    <mergeCell ref="M8:P8"/>
    <mergeCell ref="U7:AC7"/>
    <mergeCell ref="Q8:T8"/>
    <mergeCell ref="D24:T24"/>
    <mergeCell ref="U24:AC24"/>
    <mergeCell ref="Q25:T25"/>
    <mergeCell ref="U25:X25"/>
    <mergeCell ref="B47:E47"/>
    <mergeCell ref="B40:E40"/>
    <mergeCell ref="B41:E41"/>
    <mergeCell ref="B42:E42"/>
    <mergeCell ref="B43:E43"/>
    <mergeCell ref="B44:E44"/>
    <mergeCell ref="B45:E45"/>
    <mergeCell ref="B39:E39"/>
    <mergeCell ref="E8:H8"/>
    <mergeCell ref="B7:C9"/>
    <mergeCell ref="I8:L8"/>
    <mergeCell ref="B37:E37"/>
    <mergeCell ref="B38:E38"/>
    <mergeCell ref="B36:E36"/>
    <mergeCell ref="B34:E34"/>
    <mergeCell ref="I25:L25"/>
    <mergeCell ref="B24:C26"/>
    <mergeCell ref="E25:H25"/>
    <mergeCell ref="D7:T7"/>
    <mergeCell ref="B35:E35"/>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O19" sqref="O19"/>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433" t="s">
        <v>55</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29" ht="14.25" customHeight="1" x14ac:dyDescent="0.35">
      <c r="B2" s="1520" t="s">
        <v>920</v>
      </c>
      <c r="C2" s="1520"/>
      <c r="D2" s="1520"/>
      <c r="E2" s="1520"/>
      <c r="F2" s="1520"/>
      <c r="G2" s="1520"/>
      <c r="H2" s="1520"/>
      <c r="I2" s="1520"/>
      <c r="J2" s="1520"/>
      <c r="K2" s="1520"/>
      <c r="L2" s="1520"/>
      <c r="M2" s="1520"/>
      <c r="N2" s="1520"/>
      <c r="O2" s="1520"/>
      <c r="P2" s="1520"/>
      <c r="Q2" s="1520"/>
      <c r="R2" s="1520"/>
      <c r="S2" s="565"/>
      <c r="T2" s="1521" t="s">
        <v>990</v>
      </c>
      <c r="U2" s="1521"/>
      <c r="V2" s="1521"/>
      <c r="W2" s="1521"/>
      <c r="X2" s="1521"/>
      <c r="Y2" s="1521"/>
      <c r="Z2" s="1521"/>
      <c r="AA2" s="1521"/>
      <c r="AB2" s="1521"/>
      <c r="AC2" s="1521"/>
    </row>
    <row r="3" spans="2:29" x14ac:dyDescent="0.35">
      <c r="B3" s="1520"/>
      <c r="C3" s="1520"/>
      <c r="D3" s="1520"/>
      <c r="E3" s="1520"/>
      <c r="F3" s="1520"/>
      <c r="G3" s="1520"/>
      <c r="H3" s="1520"/>
      <c r="I3" s="1520"/>
      <c r="J3" s="1520"/>
      <c r="K3" s="1520"/>
      <c r="L3" s="1520"/>
      <c r="M3" s="1520"/>
      <c r="N3" s="1520"/>
      <c r="O3" s="1520"/>
      <c r="P3" s="1520"/>
      <c r="Q3" s="1520"/>
      <c r="R3" s="1520"/>
      <c r="S3" s="565"/>
      <c r="T3" s="1521"/>
      <c r="U3" s="1521"/>
      <c r="V3" s="1521"/>
      <c r="W3" s="1521"/>
      <c r="X3" s="1521"/>
      <c r="Y3" s="1521"/>
      <c r="Z3" s="1521"/>
      <c r="AA3" s="1521"/>
      <c r="AB3" s="1521"/>
      <c r="AC3" s="1521"/>
    </row>
    <row r="4" spans="2:29" ht="21" customHeight="1" x14ac:dyDescent="0.35">
      <c r="B4" s="1520"/>
      <c r="C4" s="1520"/>
      <c r="D4" s="1520"/>
      <c r="E4" s="1520"/>
      <c r="F4" s="1520"/>
      <c r="G4" s="1520"/>
      <c r="H4" s="1520"/>
      <c r="I4" s="1520"/>
      <c r="J4" s="1520"/>
      <c r="K4" s="1520"/>
      <c r="L4" s="1520"/>
      <c r="M4" s="1520"/>
      <c r="N4" s="1520"/>
      <c r="O4" s="1520"/>
      <c r="P4" s="1520"/>
      <c r="Q4" s="1520"/>
      <c r="R4" s="1520"/>
      <c r="S4" s="565"/>
      <c r="T4" s="1521"/>
      <c r="U4" s="1521"/>
      <c r="V4" s="1521"/>
      <c r="W4" s="1521"/>
      <c r="X4" s="1521"/>
      <c r="Y4" s="1521"/>
      <c r="Z4" s="1521"/>
      <c r="AA4" s="1521"/>
      <c r="AB4" s="1521"/>
      <c r="AC4" s="1521"/>
    </row>
    <row r="6" spans="2:29" x14ac:dyDescent="0.35">
      <c r="B6" s="196" t="s">
        <v>380</v>
      </c>
    </row>
    <row r="7" spans="2:29" ht="14.9" customHeight="1" x14ac:dyDescent="0.35">
      <c r="B7" s="1437" t="s">
        <v>453</v>
      </c>
      <c r="C7" s="1475"/>
      <c r="D7" s="1447" t="s">
        <v>325</v>
      </c>
      <c r="E7" s="1448"/>
      <c r="F7" s="1448"/>
      <c r="G7" s="1448"/>
      <c r="H7" s="1448"/>
      <c r="I7" s="1448"/>
      <c r="J7" s="1448"/>
      <c r="K7" s="1448"/>
      <c r="L7" s="1448"/>
      <c r="M7" s="1448"/>
      <c r="N7" s="1448"/>
      <c r="O7" s="1448"/>
      <c r="P7" s="1448"/>
      <c r="Q7" s="1456"/>
      <c r="R7" s="1456"/>
      <c r="S7" s="1456"/>
      <c r="T7" s="1438"/>
      <c r="U7" s="1451" t="s">
        <v>326</v>
      </c>
      <c r="V7" s="1451"/>
      <c r="W7" s="1451"/>
      <c r="X7" s="1451"/>
      <c r="Y7" s="1451"/>
      <c r="Z7" s="1451"/>
      <c r="AA7" s="1451"/>
      <c r="AB7" s="1451"/>
      <c r="AC7" s="1452"/>
    </row>
    <row r="8" spans="2:29" x14ac:dyDescent="0.35">
      <c r="B8" s="1439"/>
      <c r="C8" s="1476"/>
      <c r="D8" s="133">
        <v>2018</v>
      </c>
      <c r="E8" s="1418">
        <v>2019</v>
      </c>
      <c r="F8" s="1435"/>
      <c r="G8" s="1435"/>
      <c r="H8" s="1436"/>
      <c r="I8" s="1418">
        <v>2020</v>
      </c>
      <c r="J8" s="1435"/>
      <c r="K8" s="1435"/>
      <c r="L8" s="1435"/>
      <c r="M8" s="1418">
        <v>2021</v>
      </c>
      <c r="N8" s="1435"/>
      <c r="O8" s="1435"/>
      <c r="P8" s="1419"/>
      <c r="Q8" s="1418">
        <v>2022</v>
      </c>
      <c r="R8" s="1419"/>
      <c r="S8" s="1419"/>
      <c r="T8" s="1436"/>
      <c r="U8" s="1441">
        <v>2023</v>
      </c>
      <c r="V8" s="1442"/>
      <c r="W8" s="1442"/>
      <c r="X8" s="1442"/>
      <c r="Y8" s="1444">
        <v>2024</v>
      </c>
      <c r="Z8" s="1442"/>
      <c r="AA8" s="1442"/>
      <c r="AB8" s="1443"/>
      <c r="AC8" s="274">
        <v>2025</v>
      </c>
    </row>
    <row r="9" spans="2:29" x14ac:dyDescent="0.35">
      <c r="B9" s="1439"/>
      <c r="C9" s="1476"/>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0" t="s">
        <v>328</v>
      </c>
      <c r="V9" s="310" t="s">
        <v>329</v>
      </c>
      <c r="W9" s="310" t="s">
        <v>238</v>
      </c>
      <c r="X9" s="310" t="s">
        <v>327</v>
      </c>
      <c r="Y9" s="379" t="s">
        <v>328</v>
      </c>
      <c r="Z9" s="267" t="s">
        <v>329</v>
      </c>
      <c r="AA9" s="310" t="s">
        <v>238</v>
      </c>
      <c r="AB9" s="155" t="s">
        <v>327</v>
      </c>
      <c r="AC9" s="404" t="s">
        <v>328</v>
      </c>
    </row>
    <row r="10" spans="2:29" ht="14.9" customHeight="1" x14ac:dyDescent="0.35">
      <c r="B10" s="328" t="s">
        <v>503</v>
      </c>
      <c r="C10" s="35" t="s">
        <v>986</v>
      </c>
      <c r="D10" s="530">
        <f>'Haver Pivoted'!GO12</f>
        <v>755.3</v>
      </c>
      <c r="E10" s="531">
        <f>'Haver Pivoted'!GP12</f>
        <v>772.6</v>
      </c>
      <c r="F10" s="531">
        <f>'Haver Pivoted'!GQ12</f>
        <v>785.8</v>
      </c>
      <c r="G10" s="531">
        <f>'Haver Pivoted'!GR12</f>
        <v>793.7</v>
      </c>
      <c r="H10" s="531">
        <f>'Haver Pivoted'!GS12</f>
        <v>796.3</v>
      </c>
      <c r="I10" s="531">
        <f>'Haver Pivoted'!GT12</f>
        <v>795.3</v>
      </c>
      <c r="J10" s="531">
        <f>'Haver Pivoted'!GU12</f>
        <v>808</v>
      </c>
      <c r="K10" s="531">
        <f>'Haver Pivoted'!GV12</f>
        <v>822.1</v>
      </c>
      <c r="L10" s="531">
        <f>'Haver Pivoted'!GW12</f>
        <v>837.5</v>
      </c>
      <c r="M10" s="531">
        <f>'Haver Pivoted'!GX12</f>
        <v>857.6</v>
      </c>
      <c r="N10" s="531">
        <f>'Haver Pivoted'!GY12</f>
        <v>875.4</v>
      </c>
      <c r="O10" s="531">
        <f>'Haver Pivoted'!GZ12</f>
        <v>889.5</v>
      </c>
      <c r="P10" s="531">
        <f>'Haver Pivoted'!HA12</f>
        <v>900</v>
      </c>
      <c r="Q10" s="531">
        <f>'Haver Pivoted'!HB12</f>
        <v>908</v>
      </c>
      <c r="R10" s="531">
        <f>'Haver Pivoted'!HC12</f>
        <v>911.8</v>
      </c>
      <c r="S10" s="532">
        <f>'Haver Pivoted'!HD12</f>
        <v>920.3</v>
      </c>
      <c r="T10" s="533">
        <f>'Haver Pivoted'!HE12</f>
        <v>941.6</v>
      </c>
      <c r="U10" s="557">
        <f t="shared" ref="U10:AC10" si="0">T10*(1+U12)</f>
        <v>958.68725729225423</v>
      </c>
      <c r="V10" s="557">
        <f t="shared" si="0"/>
        <v>976.08459780644091</v>
      </c>
      <c r="W10" s="557">
        <f t="shared" si="0"/>
        <v>993.79764863665025</v>
      </c>
      <c r="X10" s="557">
        <f t="shared" si="0"/>
        <v>1017.7617761487271</v>
      </c>
      <c r="Y10" s="557">
        <f t="shared" si="0"/>
        <v>1042.3037671808102</v>
      </c>
      <c r="Z10" s="557">
        <f t="shared" si="0"/>
        <v>1067.437556154154</v>
      </c>
      <c r="AA10" s="557">
        <f t="shared" si="0"/>
        <v>1093.1774135003152</v>
      </c>
      <c r="AB10" s="557">
        <f t="shared" si="0"/>
        <v>1119.5379537635997</v>
      </c>
      <c r="AC10" s="545">
        <f t="shared" si="0"/>
        <v>1146.534143898891</v>
      </c>
    </row>
    <row r="11" spans="2:29" ht="28.5" customHeight="1" x14ac:dyDescent="0.35">
      <c r="B11" s="593" t="s">
        <v>988</v>
      </c>
      <c r="C11" s="579" t="s">
        <v>575</v>
      </c>
      <c r="D11" s="594"/>
      <c r="E11" s="571"/>
      <c r="F11" s="571"/>
      <c r="G11" s="571"/>
      <c r="H11" s="571"/>
      <c r="I11" s="571"/>
      <c r="J11" s="572">
        <f>'Haver Pivoted'!GU46</f>
        <v>9.6</v>
      </c>
      <c r="K11" s="572">
        <f>'Haver Pivoted'!GV46</f>
        <v>14.4</v>
      </c>
      <c r="L11" s="572">
        <f>'Haver Pivoted'!GW46</f>
        <v>14.3</v>
      </c>
      <c r="M11" s="572">
        <f>'Haver Pivoted'!GX46</f>
        <v>15</v>
      </c>
      <c r="N11" s="572">
        <f>'Haver Pivoted'!GY46</f>
        <v>15.3</v>
      </c>
      <c r="O11" s="572">
        <f>'Haver Pivoted'!GZ46</f>
        <v>15.6</v>
      </c>
      <c r="P11" s="572">
        <f>'Haver Pivoted'!HA46</f>
        <v>15.7</v>
      </c>
      <c r="Q11" s="572">
        <f>'Haver Pivoted'!HB46</f>
        <v>15.8</v>
      </c>
      <c r="R11" s="572">
        <f>'Haver Pivoted'!HC46</f>
        <v>7.9</v>
      </c>
      <c r="S11" s="573">
        <f>'Haver Pivoted'!HD46</f>
        <v>0</v>
      </c>
      <c r="T11" s="576">
        <f>'Haver Pivoted'!HE46</f>
        <v>0</v>
      </c>
      <c r="U11" s="577">
        <f t="shared" ref="U11:Z11" si="1">T11</f>
        <v>0</v>
      </c>
      <c r="V11" s="577">
        <f t="shared" si="1"/>
        <v>0</v>
      </c>
      <c r="W11" s="577">
        <f t="shared" si="1"/>
        <v>0</v>
      </c>
      <c r="X11" s="577">
        <f t="shared" si="1"/>
        <v>0</v>
      </c>
      <c r="Y11" s="577">
        <f t="shared" si="1"/>
        <v>0</v>
      </c>
      <c r="Z11" s="577">
        <f t="shared" si="1"/>
        <v>0</v>
      </c>
      <c r="AA11" s="577"/>
      <c r="AB11" s="577"/>
      <c r="AC11" s="595"/>
    </row>
    <row r="12" spans="2:29" x14ac:dyDescent="0.35">
      <c r="B12" s="583" t="s">
        <v>504</v>
      </c>
      <c r="C12" s="582"/>
      <c r="D12" s="562"/>
      <c r="E12" s="307"/>
      <c r="F12" s="307"/>
      <c r="G12" s="307"/>
      <c r="H12" s="307"/>
      <c r="I12" s="307"/>
      <c r="J12" s="542"/>
      <c r="K12" s="542"/>
      <c r="L12" s="542"/>
      <c r="M12" s="542"/>
      <c r="N12" s="542">
        <f>(1 + $E$24)^0.25-1</f>
        <v>0</v>
      </c>
      <c r="O12" s="542">
        <f>(1 + $E$24)^0.25-1</f>
        <v>0</v>
      </c>
      <c r="P12" s="542">
        <f>(1 + $F$24)^0.25-1</f>
        <v>1.9950659227973899E-2</v>
      </c>
      <c r="Q12" s="542">
        <f>(1 +$F$24)^0.25-1</f>
        <v>1.9950659227973899E-2</v>
      </c>
      <c r="R12" s="542">
        <f>(1 +$F$24)^0.25-1</f>
        <v>1.9950659227973899E-2</v>
      </c>
      <c r="S12" s="575">
        <f>(1 +$F$24)^0.25-1</f>
        <v>1.9950659227973899E-2</v>
      </c>
      <c r="T12" s="574">
        <f>(1 +$G$24)^0.25-1</f>
        <v>1.8147044702903736E-2</v>
      </c>
      <c r="U12" s="567">
        <f>(1 +$G$24)^0.25-1</f>
        <v>1.8147044702903736E-2</v>
      </c>
      <c r="V12" s="567">
        <f>(1 +$G$24)^0.25-1</f>
        <v>1.8147044702903736E-2</v>
      </c>
      <c r="W12" s="567">
        <f>(1 +$G$24)^0.25-1</f>
        <v>1.8147044702903736E-2</v>
      </c>
      <c r="X12" s="567">
        <f t="shared" ref="X12:AC12" si="2">(1 +$H$24)^0.25-1</f>
        <v>2.4113689084445111E-2</v>
      </c>
      <c r="Y12" s="567">
        <f t="shared" si="2"/>
        <v>2.4113689084445111E-2</v>
      </c>
      <c r="Z12" s="567">
        <f t="shared" si="2"/>
        <v>2.4113689084445111E-2</v>
      </c>
      <c r="AA12" s="567">
        <f t="shared" si="2"/>
        <v>2.4113689084445111E-2</v>
      </c>
      <c r="AB12" s="567">
        <f t="shared" si="2"/>
        <v>2.4113689084445111E-2</v>
      </c>
      <c r="AC12" s="568">
        <f t="shared" si="2"/>
        <v>2.4113689084445111E-2</v>
      </c>
    </row>
    <row r="13" spans="2:29" ht="15.75" customHeight="1" x14ac:dyDescent="0.35">
      <c r="B13" s="580"/>
      <c r="C13" s="548"/>
      <c r="D13" s="435"/>
      <c r="E13" s="435"/>
      <c r="F13" s="435"/>
      <c r="G13" s="435"/>
      <c r="H13" s="435"/>
      <c r="I13" s="435"/>
      <c r="J13" s="539"/>
      <c r="K13" s="539"/>
      <c r="L13" s="539"/>
      <c r="M13" s="539"/>
    </row>
    <row r="14" spans="2:29" x14ac:dyDescent="0.35">
      <c r="B14" s="580"/>
      <c r="C14" s="548"/>
      <c r="D14" s="435"/>
      <c r="E14" s="435"/>
      <c r="F14" s="435"/>
      <c r="G14" s="435"/>
      <c r="H14" s="435"/>
      <c r="I14" s="435"/>
      <c r="J14" s="539"/>
      <c r="K14" s="539"/>
      <c r="L14" s="539"/>
      <c r="M14" s="539"/>
    </row>
    <row r="15" spans="2:29" x14ac:dyDescent="0.35">
      <c r="B15" s="580"/>
      <c r="C15" s="548"/>
      <c r="D15" s="435"/>
      <c r="E15" s="435"/>
      <c r="F15" s="435"/>
      <c r="G15" s="435"/>
      <c r="H15" s="435"/>
      <c r="I15" s="435"/>
      <c r="J15" s="539"/>
      <c r="K15" s="539"/>
      <c r="L15" s="539"/>
      <c r="M15" s="539"/>
    </row>
    <row r="16" spans="2:29" ht="14.9" customHeight="1" x14ac:dyDescent="0.35">
      <c r="B16" s="196" t="s">
        <v>399</v>
      </c>
    </row>
    <row r="17" spans="2:32" x14ac:dyDescent="0.35">
      <c r="B17" s="587" t="s">
        <v>481</v>
      </c>
      <c r="C17" s="587">
        <v>2019</v>
      </c>
      <c r="D17" s="588">
        <v>2020</v>
      </c>
      <c r="E17" s="588">
        <v>2021</v>
      </c>
      <c r="F17" s="588">
        <v>2022</v>
      </c>
      <c r="G17" s="588">
        <v>2023</v>
      </c>
      <c r="H17" s="589">
        <v>2024</v>
      </c>
      <c r="I17" s="589">
        <v>2025</v>
      </c>
      <c r="J17" s="589">
        <v>2026</v>
      </c>
    </row>
    <row r="18" spans="2:32" ht="21" customHeight="1" x14ac:dyDescent="0.35">
      <c r="B18" s="1256" t="s">
        <v>2208</v>
      </c>
      <c r="C18" s="1257"/>
      <c r="D18" s="1258"/>
      <c r="E18" s="1253">
        <v>867.67600000000004</v>
      </c>
      <c r="F18" s="1259">
        <v>937.072</v>
      </c>
      <c r="G18" s="1259">
        <v>998.23700000000008</v>
      </c>
      <c r="H18" s="1259">
        <v>1080.8440000000001</v>
      </c>
      <c r="I18" s="1259">
        <v>1133.1199999999999</v>
      </c>
      <c r="J18" s="1260">
        <v>1221.9949999999999</v>
      </c>
      <c r="K18" s="578"/>
      <c r="L18" s="578"/>
      <c r="M18" s="578"/>
      <c r="N18" s="578"/>
      <c r="O18" s="578"/>
      <c r="P18" s="381"/>
      <c r="Q18" s="381"/>
      <c r="R18" s="381"/>
      <c r="S18" s="381"/>
      <c r="T18" s="381"/>
      <c r="U18" s="381"/>
      <c r="V18" s="381"/>
      <c r="W18" s="381"/>
      <c r="X18" s="381"/>
      <c r="Y18" s="381"/>
      <c r="Z18" s="381"/>
      <c r="AA18" s="381"/>
      <c r="AB18" s="381"/>
      <c r="AC18" s="381"/>
    </row>
    <row r="19" spans="2:32" s="1066" customFormat="1" ht="21" customHeight="1" x14ac:dyDescent="0.35">
      <c r="B19" s="581" t="s">
        <v>958</v>
      </c>
      <c r="C19" s="591"/>
      <c r="D19" s="578"/>
      <c r="E19" s="284">
        <v>867.67600000000004</v>
      </c>
      <c r="F19" s="284">
        <v>941.351</v>
      </c>
      <c r="G19" s="284">
        <v>1008.7670000000001</v>
      </c>
      <c r="H19" s="284">
        <v>1085.711</v>
      </c>
      <c r="I19" s="284">
        <v>1165.28</v>
      </c>
      <c r="J19" s="569">
        <v>1262.203</v>
      </c>
      <c r="K19" s="578"/>
      <c r="L19" s="578"/>
      <c r="M19" s="578"/>
      <c r="N19" s="578"/>
      <c r="O19" s="578"/>
      <c r="P19" s="381"/>
      <c r="Q19" s="381"/>
      <c r="R19" s="381"/>
      <c r="S19" s="381"/>
      <c r="T19" s="381"/>
      <c r="U19" s="381"/>
      <c r="V19" s="381"/>
      <c r="W19" s="381"/>
      <c r="X19" s="381"/>
      <c r="Y19" s="381"/>
      <c r="Z19" s="381"/>
      <c r="AA19" s="381"/>
      <c r="AB19" s="381"/>
      <c r="AC19" s="381"/>
    </row>
    <row r="20" spans="2:32" ht="21" customHeight="1" x14ac:dyDescent="0.35">
      <c r="B20" s="581"/>
      <c r="C20" s="591"/>
      <c r="D20" s="578"/>
      <c r="E20" s="284">
        <f>AVERAGE(L10:O10)</f>
        <v>865</v>
      </c>
      <c r="F20" s="284">
        <f>AVERAGE(P10:S10)</f>
        <v>910.02500000000009</v>
      </c>
      <c r="G20" s="284">
        <f>AVERAGE(T10:W10)</f>
        <v>967.5423759338363</v>
      </c>
      <c r="H20" s="284">
        <f>AVERAGE(X10:AA10)</f>
        <v>1055.1701282460017</v>
      </c>
      <c r="I20" s="284">
        <f>AVERAGE(AB10:AE10)</f>
        <v>1133.0360488312454</v>
      </c>
      <c r="J20" s="142"/>
      <c r="K20" s="578"/>
      <c r="L20" s="578"/>
      <c r="M20" s="578"/>
      <c r="N20" s="578"/>
      <c r="O20" s="578"/>
      <c r="P20" s="381"/>
      <c r="Q20" s="381"/>
      <c r="R20" s="381"/>
      <c r="S20" s="381"/>
      <c r="T20" s="381"/>
      <c r="U20" s="381"/>
      <c r="V20" s="381"/>
      <c r="W20" s="381"/>
      <c r="X20" s="381"/>
      <c r="Y20" s="381"/>
      <c r="Z20" s="381"/>
      <c r="AA20" s="381"/>
      <c r="AB20" s="381"/>
      <c r="AC20" s="381"/>
    </row>
    <row r="21" spans="2:32" ht="21" customHeight="1" x14ac:dyDescent="0.35">
      <c r="B21" s="194" t="s">
        <v>505</v>
      </c>
      <c r="C21" s="194"/>
      <c r="D21" s="171">
        <v>47</v>
      </c>
      <c r="E21" s="171">
        <v>48</v>
      </c>
      <c r="F21" s="35">
        <v>-50</v>
      </c>
      <c r="G21" s="35">
        <v>-45</v>
      </c>
      <c r="H21" s="35"/>
      <c r="I21" s="35"/>
      <c r="J21" s="585">
        <f>SUM(D21:G21)</f>
        <v>0</v>
      </c>
      <c r="M21" s="578"/>
      <c r="N21" s="578"/>
      <c r="O21" s="578"/>
      <c r="P21" s="381"/>
      <c r="Q21" s="381"/>
      <c r="R21" s="381"/>
      <c r="S21" s="381"/>
      <c r="T21" s="381"/>
      <c r="U21" s="381"/>
      <c r="V21" s="381"/>
      <c r="W21" s="381"/>
      <c r="X21" s="381"/>
      <c r="Y21" s="381"/>
      <c r="Z21" s="381"/>
      <c r="AA21" s="381"/>
      <c r="AB21" s="381"/>
      <c r="AC21" s="381"/>
    </row>
    <row r="22" spans="2:32" x14ac:dyDescent="0.35">
      <c r="B22" s="194" t="s">
        <v>1462</v>
      </c>
      <c r="C22" s="591"/>
      <c r="D22" s="195"/>
      <c r="E22" s="195">
        <f>E18-E21</f>
        <v>819.67600000000004</v>
      </c>
      <c r="F22" s="195">
        <f>F18+F21</f>
        <v>887.072</v>
      </c>
      <c r="G22" s="195">
        <f>G18+G21</f>
        <v>953.23700000000008</v>
      </c>
      <c r="H22" s="195">
        <f t="shared" ref="H22:I22" si="3">H18+H21</f>
        <v>1080.8440000000001</v>
      </c>
      <c r="I22" s="195">
        <f t="shared" si="3"/>
        <v>1133.1199999999999</v>
      </c>
      <c r="J22" s="585"/>
      <c r="N22" s="586"/>
      <c r="O22" s="548"/>
      <c r="P22" s="381"/>
      <c r="Q22" s="381"/>
      <c r="R22" s="381"/>
      <c r="S22" s="381"/>
      <c r="T22" s="381"/>
      <c r="U22" s="381"/>
      <c r="V22" s="381"/>
      <c r="W22" s="381"/>
      <c r="X22" s="381"/>
      <c r="Y22" s="381"/>
      <c r="Z22" s="381"/>
      <c r="AA22" s="381"/>
      <c r="AB22" s="381"/>
      <c r="AC22" s="381"/>
    </row>
    <row r="23" spans="2:32" x14ac:dyDescent="0.35">
      <c r="B23" s="194" t="s">
        <v>507</v>
      </c>
      <c r="C23" s="592">
        <f>AVERAGE(D10:G10)</f>
        <v>776.84999999999991</v>
      </c>
      <c r="D23" s="288">
        <f>AVERAGE(H10:K10)</f>
        <v>805.42499999999995</v>
      </c>
      <c r="E23" s="195">
        <f>AVERAGE(L10:O10)</f>
        <v>865</v>
      </c>
      <c r="F23" s="35"/>
      <c r="G23" s="35"/>
      <c r="H23" s="35"/>
      <c r="I23" s="35"/>
      <c r="J23" s="585"/>
      <c r="K23" s="171" t="s">
        <v>506</v>
      </c>
      <c r="P23" s="381"/>
      <c r="Q23" s="381"/>
      <c r="R23" s="381"/>
      <c r="S23" s="381"/>
      <c r="T23" s="381"/>
      <c r="U23" s="381"/>
      <c r="V23" s="381"/>
      <c r="W23" s="381"/>
      <c r="X23" s="381"/>
      <c r="Y23" s="381"/>
      <c r="Z23" s="381"/>
      <c r="AA23" s="381"/>
      <c r="AB23" s="381"/>
      <c r="AC23" s="381"/>
    </row>
    <row r="24" spans="2:32" x14ac:dyDescent="0.35">
      <c r="B24" s="590" t="s">
        <v>1001</v>
      </c>
      <c r="C24" s="167"/>
      <c r="D24" s="280"/>
      <c r="E24" s="280"/>
      <c r="F24" s="280">
        <f>F22/E22-1</f>
        <v>8.2222731908705438E-2</v>
      </c>
      <c r="G24" s="280">
        <f>G22/F22-1</f>
        <v>7.4588083041737363E-2</v>
      </c>
      <c r="H24" s="280">
        <v>0.1</v>
      </c>
      <c r="I24" s="280">
        <f t="shared" ref="I24:J24" si="4">I22/H22-1</f>
        <v>4.8365906643326628E-2</v>
      </c>
      <c r="J24" s="430">
        <f t="shared" si="4"/>
        <v>-1</v>
      </c>
      <c r="P24" s="171"/>
      <c r="Q24" s="171"/>
      <c r="R24" s="171"/>
      <c r="S24" s="171"/>
      <c r="T24" s="171"/>
      <c r="U24" s="171"/>
      <c r="V24" s="171"/>
      <c r="W24" s="171"/>
      <c r="X24" s="171"/>
      <c r="Y24" s="171"/>
      <c r="Z24" s="171"/>
      <c r="AA24" s="171"/>
      <c r="AB24" s="171"/>
      <c r="AC24" s="171"/>
    </row>
    <row r="25" spans="2:32" x14ac:dyDescent="0.35">
      <c r="P25" s="171"/>
      <c r="Q25" s="171"/>
      <c r="R25" s="171"/>
      <c r="S25" s="171"/>
      <c r="T25" s="171"/>
      <c r="U25" s="171"/>
      <c r="V25" s="171"/>
      <c r="W25" s="171"/>
      <c r="X25" s="171"/>
      <c r="Y25" s="171"/>
      <c r="Z25" s="171"/>
      <c r="AA25" s="171"/>
      <c r="AB25" s="171"/>
      <c r="AC25" s="171"/>
    </row>
    <row r="26" spans="2:32" x14ac:dyDescent="0.35">
      <c r="C26" s="584"/>
      <c r="D26" s="584"/>
      <c r="E26" s="584"/>
      <c r="F26" s="584"/>
      <c r="G26" s="584"/>
      <c r="H26" s="584"/>
      <c r="I26" s="584"/>
      <c r="J26" s="584"/>
      <c r="P26" s="171"/>
      <c r="Q26" s="171"/>
      <c r="R26" s="171"/>
      <c r="S26" s="171"/>
      <c r="T26" s="171"/>
      <c r="U26" s="171"/>
      <c r="V26" s="171"/>
      <c r="W26" s="171"/>
      <c r="X26" s="171"/>
      <c r="Y26" s="171"/>
      <c r="Z26" s="171"/>
      <c r="AA26" s="171"/>
      <c r="AB26" s="171"/>
      <c r="AC26" s="171"/>
    </row>
    <row r="27" spans="2:32" x14ac:dyDescent="0.35">
      <c r="K27" s="584"/>
      <c r="L27" s="584"/>
      <c r="M27" s="584"/>
      <c r="N27" s="584"/>
      <c r="P27" s="171"/>
      <c r="Q27" s="171"/>
      <c r="R27" s="171"/>
      <c r="S27" s="171"/>
      <c r="T27" s="171"/>
      <c r="U27" s="171"/>
      <c r="V27" s="171"/>
      <c r="W27" s="171"/>
      <c r="X27" s="171"/>
      <c r="Y27" s="171"/>
      <c r="Z27" s="171"/>
      <c r="AA27" s="171"/>
      <c r="AB27" s="171"/>
      <c r="AC27" s="171"/>
    </row>
    <row r="28" spans="2:32" x14ac:dyDescent="0.35">
      <c r="P28" s="171"/>
      <c r="Q28" s="171"/>
      <c r="R28" s="171"/>
      <c r="S28" s="171"/>
      <c r="T28" s="171"/>
      <c r="U28" s="171"/>
      <c r="V28" s="171"/>
      <c r="W28" s="171"/>
      <c r="X28" s="171"/>
      <c r="Y28" s="171"/>
      <c r="Z28" s="171"/>
      <c r="AA28" s="171"/>
      <c r="AB28" s="171"/>
      <c r="AC28" s="171"/>
    </row>
    <row r="29" spans="2:32" x14ac:dyDescent="0.35">
      <c r="S29" s="171"/>
      <c r="T29" s="171"/>
      <c r="U29" s="171"/>
      <c r="V29" s="171"/>
      <c r="W29" s="171"/>
      <c r="X29" s="171"/>
      <c r="Y29" s="171"/>
      <c r="Z29" s="171"/>
      <c r="AA29" s="171"/>
      <c r="AB29" s="171"/>
      <c r="AC29" s="171"/>
      <c r="AD29" s="171"/>
      <c r="AE29" s="171"/>
      <c r="AF29" s="171"/>
    </row>
    <row r="30" spans="2:32" x14ac:dyDescent="0.35">
      <c r="P30" s="171"/>
      <c r="Q30" s="171"/>
      <c r="R30" s="171"/>
      <c r="S30" s="171"/>
      <c r="T30" s="171"/>
      <c r="U30" s="171"/>
      <c r="V30" s="171"/>
      <c r="W30" s="171"/>
      <c r="X30" s="171"/>
      <c r="Y30" s="171"/>
      <c r="Z30" s="171"/>
      <c r="AA30" s="171"/>
      <c r="AB30" s="171"/>
      <c r="AC30" s="171"/>
    </row>
    <row r="31" spans="2:32" x14ac:dyDescent="0.35">
      <c r="F31" s="35"/>
      <c r="G31" s="35"/>
      <c r="P31" s="171"/>
      <c r="Q31" s="171"/>
      <c r="R31" s="171"/>
      <c r="S31" s="171"/>
      <c r="T31" s="171"/>
      <c r="U31" s="171"/>
      <c r="V31" s="171"/>
      <c r="W31" s="171"/>
      <c r="X31" s="171"/>
      <c r="Y31" s="171"/>
      <c r="Z31" s="171"/>
      <c r="AA31" s="171"/>
      <c r="AB31" s="171"/>
      <c r="AC31" s="171"/>
    </row>
    <row r="32" spans="2:32" x14ac:dyDescent="0.35">
      <c r="P32" s="171"/>
      <c r="Q32" s="171"/>
      <c r="R32" s="171"/>
      <c r="S32" s="171"/>
      <c r="T32" s="171"/>
      <c r="U32" s="171"/>
      <c r="V32" s="171"/>
      <c r="W32" s="171"/>
      <c r="X32" s="171"/>
      <c r="Y32" s="171"/>
      <c r="Z32" s="171"/>
      <c r="AA32" s="171"/>
      <c r="AB32" s="171"/>
      <c r="AC32" s="171"/>
    </row>
    <row r="33" spans="16:29" x14ac:dyDescent="0.35">
      <c r="P33" s="171"/>
      <c r="Q33" s="171"/>
      <c r="R33" s="171"/>
      <c r="S33" s="171"/>
      <c r="T33" s="171"/>
      <c r="U33" s="171"/>
      <c r="V33" s="171"/>
      <c r="W33" s="171"/>
      <c r="X33" s="171"/>
      <c r="Y33" s="171"/>
      <c r="Z33" s="171"/>
      <c r="AA33" s="171"/>
      <c r="AB33" s="171"/>
      <c r="AC33" s="171"/>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3" sqref="C3"/>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393" t="s">
        <v>37</v>
      </c>
      <c r="B2" s="1394"/>
      <c r="C2" s="1394"/>
      <c r="D2" s="1395"/>
      <c r="E2" s="15"/>
      <c r="F2" s="15"/>
    </row>
    <row r="3" spans="1:7" s="1066" customFormat="1" ht="148.4" customHeight="1" x14ac:dyDescent="0.35">
      <c r="A3" s="18" t="s">
        <v>912</v>
      </c>
      <c r="B3" s="1124" t="s">
        <v>2202</v>
      </c>
      <c r="C3" s="1124" t="s">
        <v>910</v>
      </c>
      <c r="D3" s="22"/>
    </row>
    <row r="4" spans="1:7" ht="85.5" customHeight="1" x14ac:dyDescent="0.35">
      <c r="A4" s="18" t="s">
        <v>901</v>
      </c>
      <c r="B4" s="14" t="s">
        <v>40</v>
      </c>
      <c r="C4" s="14" t="s">
        <v>1002</v>
      </c>
      <c r="D4" s="22"/>
      <c r="E4" s="14"/>
      <c r="F4" s="14"/>
    </row>
    <row r="5" spans="1:7" ht="158.9" customHeight="1" x14ac:dyDescent="0.35">
      <c r="A5" s="18" t="s">
        <v>898</v>
      </c>
      <c r="B5" s="14" t="s">
        <v>899</v>
      </c>
      <c r="C5" s="14" t="s">
        <v>923</v>
      </c>
      <c r="D5" s="22"/>
      <c r="E5" s="14"/>
      <c r="F5" s="14"/>
    </row>
    <row r="6" spans="1:7" ht="99.65" customHeight="1" x14ac:dyDescent="0.35">
      <c r="A6" s="18" t="s">
        <v>900</v>
      </c>
      <c r="B6" s="14" t="s">
        <v>38</v>
      </c>
      <c r="C6" s="14" t="s">
        <v>39</v>
      </c>
      <c r="D6" s="22"/>
      <c r="E6" s="14"/>
      <c r="F6" s="14"/>
    </row>
    <row r="7" spans="1:7" ht="61.5" customHeight="1" x14ac:dyDescent="0.35">
      <c r="A7" s="18" t="s">
        <v>902</v>
      </c>
      <c r="B7" s="14" t="s">
        <v>882</v>
      </c>
      <c r="C7" s="14" t="s">
        <v>883</v>
      </c>
      <c r="D7" s="22"/>
      <c r="E7" s="14"/>
      <c r="F7" s="14"/>
    </row>
    <row r="8" spans="1:7" ht="100.4" customHeight="1" x14ac:dyDescent="0.35">
      <c r="A8" s="18" t="s">
        <v>42</v>
      </c>
      <c r="B8" s="14" t="s">
        <v>43</v>
      </c>
      <c r="C8" s="28" t="s">
        <v>44</v>
      </c>
      <c r="D8" s="22"/>
      <c r="E8" s="16"/>
      <c r="F8" s="14"/>
      <c r="G8" s="29"/>
    </row>
    <row r="9" spans="1:7" ht="78" customHeight="1" x14ac:dyDescent="0.35">
      <c r="A9" s="18" t="s">
        <v>45</v>
      </c>
      <c r="B9" s="14" t="s">
        <v>46</v>
      </c>
      <c r="C9" s="14" t="s">
        <v>929</v>
      </c>
      <c r="D9" s="22"/>
      <c r="E9" s="14"/>
      <c r="F9" s="14"/>
    </row>
    <row r="10" spans="1:7" ht="67.5" customHeight="1" x14ac:dyDescent="0.35">
      <c r="A10" s="18" t="s">
        <v>872</v>
      </c>
      <c r="B10" s="14" t="s">
        <v>884</v>
      </c>
      <c r="C10" s="14" t="s">
        <v>943</v>
      </c>
      <c r="D10" s="22"/>
      <c r="E10" s="14"/>
      <c r="F10" s="14"/>
    </row>
    <row r="11" spans="1:7" ht="63.65" customHeight="1" x14ac:dyDescent="0.35">
      <c r="A11" s="18" t="s">
        <v>47</v>
      </c>
      <c r="B11" s="14" t="s">
        <v>48</v>
      </c>
      <c r="C11" s="14" t="s">
        <v>903</v>
      </c>
      <c r="D11" s="1126"/>
      <c r="E11" s="14"/>
      <c r="F11" s="14"/>
    </row>
    <row r="12" spans="1:7" ht="15" customHeight="1" x14ac:dyDescent="0.35">
      <c r="A12" s="1393" t="s">
        <v>904</v>
      </c>
      <c r="B12" s="1394"/>
      <c r="C12" s="1394"/>
      <c r="D12" s="1395"/>
      <c r="E12" s="15"/>
      <c r="F12" s="14"/>
    </row>
    <row r="13" spans="1:7" ht="29.9" customHeight="1" x14ac:dyDescent="0.35">
      <c r="A13" s="19" t="s">
        <v>9</v>
      </c>
      <c r="B13" s="1399" t="s">
        <v>906</v>
      </c>
      <c r="C13" s="1399"/>
      <c r="D13" s="24"/>
      <c r="E13" s="15"/>
      <c r="F13" s="14"/>
    </row>
    <row r="14" spans="1:7" ht="48.65" customHeight="1" x14ac:dyDescent="0.35">
      <c r="A14" s="17" t="s">
        <v>905</v>
      </c>
      <c r="B14" s="1399" t="s">
        <v>916</v>
      </c>
      <c r="C14" s="1399"/>
      <c r="D14" s="22"/>
      <c r="E14" s="15"/>
      <c r="F14" s="14"/>
    </row>
    <row r="15" spans="1:7" ht="48.65" customHeight="1" x14ac:dyDescent="0.35">
      <c r="A15" s="17" t="s">
        <v>907</v>
      </c>
      <c r="B15" s="1399" t="s">
        <v>908</v>
      </c>
      <c r="C15" s="1399"/>
      <c r="D15" s="23"/>
      <c r="E15" s="15"/>
      <c r="F15" s="14"/>
    </row>
    <row r="16" spans="1:7" x14ac:dyDescent="0.35">
      <c r="A16" s="1396" t="s">
        <v>59</v>
      </c>
      <c r="B16" s="1397"/>
      <c r="C16" s="1397"/>
      <c r="D16" s="1398"/>
      <c r="E16" s="14"/>
      <c r="F16" s="14"/>
    </row>
    <row r="17" spans="1:6" ht="36.65" customHeight="1" x14ac:dyDescent="0.35">
      <c r="A17" s="1391" t="s">
        <v>909</v>
      </c>
      <c r="B17" s="1392"/>
      <c r="C17" s="1392"/>
      <c r="D17" s="24"/>
      <c r="E17" s="14"/>
      <c r="F17" s="14"/>
    </row>
    <row r="18" spans="1:6" ht="145.5" customHeight="1" x14ac:dyDescent="0.35">
      <c r="A18" s="18" t="s">
        <v>60</v>
      </c>
      <c r="B18" s="14" t="s">
        <v>930</v>
      </c>
      <c r="C18" s="14" t="s">
        <v>937</v>
      </c>
      <c r="D18" s="22"/>
      <c r="E18" s="14"/>
      <c r="F18" s="14"/>
    </row>
    <row r="19" spans="1:6" ht="63.65" customHeight="1" x14ac:dyDescent="0.35">
      <c r="A19" s="18" t="s">
        <v>61</v>
      </c>
      <c r="B19" s="14" t="s">
        <v>931</v>
      </c>
      <c r="C19" s="14" t="s">
        <v>932</v>
      </c>
      <c r="D19" s="22"/>
      <c r="E19" s="14"/>
      <c r="F19" s="14"/>
    </row>
    <row r="20" spans="1:6" ht="63.65" customHeight="1" x14ac:dyDescent="0.35">
      <c r="A20" s="18" t="s">
        <v>933</v>
      </c>
      <c r="B20" s="14" t="s">
        <v>934</v>
      </c>
      <c r="C20" s="14" t="s">
        <v>935</v>
      </c>
      <c r="D20" s="22"/>
      <c r="E20" s="14"/>
      <c r="F20" s="14"/>
    </row>
    <row r="21" spans="1:6" ht="34.4" customHeight="1" x14ac:dyDescent="0.35">
      <c r="A21" s="1391" t="s">
        <v>879</v>
      </c>
      <c r="B21" s="1392"/>
      <c r="C21" s="1392"/>
      <c r="D21" s="23"/>
      <c r="E21" s="14"/>
      <c r="F21" s="14"/>
    </row>
    <row r="22" spans="1:6" x14ac:dyDescent="0.35">
      <c r="A22" s="1396" t="s">
        <v>62</v>
      </c>
      <c r="B22" s="1397"/>
      <c r="C22" s="1397"/>
      <c r="D22" s="1398"/>
      <c r="E22" s="14"/>
      <c r="F22" s="14"/>
    </row>
    <row r="23" spans="1:6" ht="29.15" customHeight="1" x14ac:dyDescent="0.35">
      <c r="A23" s="18" t="s">
        <v>63</v>
      </c>
      <c r="B23" s="14"/>
      <c r="C23" s="14" t="s">
        <v>64</v>
      </c>
      <c r="D23" s="24"/>
      <c r="E23" s="14"/>
      <c r="F23" s="14"/>
    </row>
    <row r="24" spans="1:6" ht="57.65" customHeight="1" x14ac:dyDescent="0.35">
      <c r="A24" s="18" t="s">
        <v>65</v>
      </c>
      <c r="B24" s="14" t="s">
        <v>66</v>
      </c>
      <c r="C24" s="14" t="s">
        <v>67</v>
      </c>
      <c r="D24" s="22"/>
      <c r="E24" s="14"/>
      <c r="F24" s="14"/>
    </row>
    <row r="25" spans="1:6" ht="29.15" customHeight="1" x14ac:dyDescent="0.35">
      <c r="A25" s="18" t="s">
        <v>68</v>
      </c>
      <c r="B25" s="14" t="s">
        <v>69</v>
      </c>
      <c r="C25" s="14" t="s">
        <v>922</v>
      </c>
      <c r="D25" s="22"/>
      <c r="E25" s="14"/>
      <c r="F25" s="14"/>
    </row>
    <row r="26" spans="1:6" ht="72" customHeight="1" x14ac:dyDescent="0.35">
      <c r="A26" s="20" t="s">
        <v>70</v>
      </c>
      <c r="B26" s="21" t="s">
        <v>71</v>
      </c>
      <c r="C26" s="21" t="s">
        <v>72</v>
      </c>
      <c r="D26" s="23"/>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E22" sqref="E22"/>
    </sheetView>
  </sheetViews>
  <sheetFormatPr defaultColWidth="11.453125" defaultRowHeight="14.5" x14ac:dyDescent="0.35"/>
  <sheetData>
    <row r="1" spans="2:32" x14ac:dyDescent="0.35">
      <c r="B1" s="1433" t="s">
        <v>1467</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2" x14ac:dyDescent="0.35">
      <c r="B2" s="1434" t="s">
        <v>1470</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row>
    <row r="3" spans="2:32"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row>
    <row r="4" spans="2:32"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row>
    <row r="5" spans="2:32" x14ac:dyDescent="0.35">
      <c r="B5" s="377"/>
      <c r="C5" s="171"/>
      <c r="D5" s="171"/>
      <c r="E5" s="171"/>
      <c r="F5" s="171"/>
      <c r="G5" s="171"/>
      <c r="H5" s="171"/>
      <c r="I5" s="171"/>
      <c r="J5" s="171"/>
      <c r="K5" s="171"/>
      <c r="L5" s="171"/>
      <c r="M5" s="171"/>
      <c r="N5" s="171"/>
      <c r="O5" s="171"/>
      <c r="P5" s="171"/>
      <c r="Q5" s="171"/>
      <c r="R5" s="171"/>
      <c r="S5" s="171"/>
      <c r="T5" s="171"/>
      <c r="U5" s="171"/>
      <c r="V5" s="171"/>
      <c r="W5" s="171"/>
      <c r="X5" s="171"/>
      <c r="Y5" s="171"/>
    </row>
    <row r="6" spans="2:32" x14ac:dyDescent="0.35">
      <c r="B6" s="1437" t="s">
        <v>1791</v>
      </c>
      <c r="C6" s="1475"/>
      <c r="D6" s="1523" t="s">
        <v>325</v>
      </c>
      <c r="E6" s="1524"/>
      <c r="F6" s="1524"/>
      <c r="G6" s="1524"/>
      <c r="H6" s="1524"/>
      <c r="I6" s="1524"/>
      <c r="J6" s="1524"/>
      <c r="K6" s="1524"/>
      <c r="L6" s="1524"/>
      <c r="M6" s="1524"/>
      <c r="N6" s="1524"/>
      <c r="O6" s="1524"/>
      <c r="P6" s="1524"/>
      <c r="Q6" s="1475"/>
      <c r="R6" s="1475"/>
      <c r="S6" s="165"/>
      <c r="T6" s="1525" t="s">
        <v>326</v>
      </c>
      <c r="U6" s="1525"/>
      <c r="V6" s="1525"/>
      <c r="W6" s="1525"/>
      <c r="X6" s="1525"/>
      <c r="Y6" s="1525"/>
      <c r="Z6" s="1525"/>
      <c r="AA6" s="1525"/>
      <c r="AB6" s="1525"/>
      <c r="AC6" s="1525"/>
      <c r="AD6" s="1525"/>
      <c r="AE6" s="1525"/>
      <c r="AF6" s="1526"/>
    </row>
    <row r="7" spans="2:32" x14ac:dyDescent="0.35">
      <c r="B7" s="1439"/>
      <c r="C7" s="1440"/>
      <c r="D7" s="137">
        <v>2018</v>
      </c>
      <c r="E7" s="1465">
        <v>2019</v>
      </c>
      <c r="F7" s="1466"/>
      <c r="G7" s="1466"/>
      <c r="H7" s="1473"/>
      <c r="I7" s="1465">
        <v>2020</v>
      </c>
      <c r="J7" s="1466"/>
      <c r="K7" s="1466"/>
      <c r="L7" s="1466"/>
      <c r="M7" s="1465">
        <v>2021</v>
      </c>
      <c r="N7" s="1466"/>
      <c r="O7" s="1466"/>
      <c r="P7" s="1466"/>
      <c r="Q7" s="1445">
        <v>2022</v>
      </c>
      <c r="R7" s="1527"/>
      <c r="S7" s="260"/>
      <c r="T7" s="152"/>
      <c r="U7" s="1444">
        <v>2023</v>
      </c>
      <c r="V7" s="1442"/>
      <c r="W7" s="1442"/>
      <c r="X7" s="1442"/>
      <c r="Y7" s="1444">
        <v>2024</v>
      </c>
      <c r="Z7" s="1442"/>
      <c r="AA7" s="1442"/>
      <c r="AB7" s="1443"/>
      <c r="AC7" s="1444">
        <v>2025</v>
      </c>
      <c r="AD7" s="1442"/>
      <c r="AE7" s="1442"/>
      <c r="AF7" s="1443"/>
    </row>
    <row r="8" spans="2:32" x14ac:dyDescent="0.35">
      <c r="B8" s="1454"/>
      <c r="C8" s="1455"/>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90" t="s">
        <v>328</v>
      </c>
      <c r="R8" s="192" t="s">
        <v>329</v>
      </c>
      <c r="S8" s="172" t="s">
        <v>238</v>
      </c>
      <c r="T8" s="291" t="s">
        <v>327</v>
      </c>
      <c r="U8" s="289" t="s">
        <v>328</v>
      </c>
      <c r="V8" s="290" t="s">
        <v>329</v>
      </c>
      <c r="W8" s="290" t="s">
        <v>238</v>
      </c>
      <c r="X8" s="290" t="s">
        <v>327</v>
      </c>
      <c r="Y8" s="289" t="s">
        <v>328</v>
      </c>
      <c r="Z8" s="285" t="s">
        <v>329</v>
      </c>
      <c r="AA8" s="290" t="s">
        <v>238</v>
      </c>
      <c r="AB8" s="291" t="s">
        <v>327</v>
      </c>
      <c r="AC8" s="293" t="s">
        <v>328</v>
      </c>
      <c r="AD8" s="290" t="s">
        <v>329</v>
      </c>
      <c r="AE8" s="290" t="s">
        <v>238</v>
      </c>
      <c r="AF8" s="291" t="s">
        <v>327</v>
      </c>
    </row>
    <row r="9" spans="2:32" x14ac:dyDescent="0.35">
      <c r="B9" s="139" t="s">
        <v>1469</v>
      </c>
      <c r="C9" s="615"/>
      <c r="D9" s="616"/>
      <c r="E9" s="615"/>
      <c r="F9" s="615"/>
      <c r="G9" s="615"/>
      <c r="H9" s="615"/>
      <c r="I9" s="615"/>
      <c r="J9" s="617"/>
      <c r="K9" s="617"/>
      <c r="L9" s="617"/>
      <c r="M9" s="617"/>
      <c r="N9" s="617"/>
      <c r="O9" s="617"/>
      <c r="P9" s="617"/>
      <c r="Q9" s="617"/>
      <c r="R9" s="613">
        <v>0</v>
      </c>
      <c r="S9" s="614">
        <v>0</v>
      </c>
      <c r="T9" s="618">
        <v>0</v>
      </c>
      <c r="U9" s="618">
        <v>0</v>
      </c>
      <c r="V9" s="618">
        <v>0</v>
      </c>
      <c r="W9" s="618">
        <v>-7.7999999999999999E-4</v>
      </c>
      <c r="X9" s="618">
        <v>-7.7999999999999999E-4</v>
      </c>
      <c r="Y9" s="618">
        <v>-9.5E-4</v>
      </c>
      <c r="Z9" s="618">
        <v>-9.5E-4</v>
      </c>
      <c r="AA9" s="618">
        <v>-9.5E-4</v>
      </c>
      <c r="AB9" s="618">
        <v>-9.5E-4</v>
      </c>
      <c r="AC9" s="618">
        <v>-9.3999999999999997E-4</v>
      </c>
      <c r="AD9" s="618">
        <v>-9.3999999999999997E-4</v>
      </c>
      <c r="AE9" s="618">
        <v>-9.3999999999999997E-4</v>
      </c>
      <c r="AF9" s="619">
        <v>-9.3999999999999997E-4</v>
      </c>
    </row>
    <row r="10" spans="2:32" x14ac:dyDescent="0.35">
      <c r="B10" s="35" t="s">
        <v>1468</v>
      </c>
      <c r="C10" s="273"/>
      <c r="D10" s="544"/>
      <c r="E10" s="273"/>
      <c r="F10" s="273"/>
      <c r="G10" s="273"/>
      <c r="H10" s="273"/>
      <c r="I10" s="273"/>
      <c r="J10" s="596"/>
      <c r="K10" s="596"/>
      <c r="L10" s="596"/>
      <c r="M10" s="596"/>
      <c r="N10" s="596"/>
      <c r="O10" s="596"/>
      <c r="P10" s="596"/>
      <c r="Q10" s="596"/>
      <c r="R10" s="83"/>
      <c r="S10" s="101"/>
      <c r="T10" s="83"/>
      <c r="U10" s="83">
        <v>26095</v>
      </c>
      <c r="V10" s="83">
        <v>26404</v>
      </c>
      <c r="W10" s="83">
        <v>26686</v>
      </c>
      <c r="X10" s="83">
        <v>26931</v>
      </c>
      <c r="Y10" s="83">
        <v>27174</v>
      </c>
      <c r="Z10" s="83">
        <v>27411</v>
      </c>
      <c r="AA10" s="83">
        <v>27647</v>
      </c>
      <c r="AB10" s="83">
        <v>27893</v>
      </c>
      <c r="AC10" s="83">
        <v>28143</v>
      </c>
      <c r="AD10" s="83">
        <v>28400</v>
      </c>
      <c r="AE10" s="83">
        <v>28649</v>
      </c>
      <c r="AF10" s="101">
        <v>28910</v>
      </c>
    </row>
    <row r="11" spans="2:32" x14ac:dyDescent="0.35">
      <c r="B11" s="35" t="s">
        <v>359</v>
      </c>
      <c r="C11" s="501"/>
      <c r="D11" s="500"/>
      <c r="E11" s="501"/>
      <c r="F11" s="501"/>
      <c r="G11" s="501"/>
      <c r="H11" s="501"/>
      <c r="I11" s="501"/>
      <c r="J11" s="610"/>
      <c r="K11" s="610"/>
      <c r="L11" s="610"/>
      <c r="M11" s="610"/>
      <c r="N11" s="610"/>
      <c r="O11" s="610"/>
      <c r="P11" s="610"/>
      <c r="Q11" s="610"/>
      <c r="R11" s="227">
        <f>R9*R10</f>
        <v>0</v>
      </c>
      <c r="S11" s="612">
        <f t="shared" ref="S11:T11" si="0">S9*S10</f>
        <v>0</v>
      </c>
      <c r="T11" s="227">
        <f t="shared" si="0"/>
        <v>0</v>
      </c>
      <c r="U11" s="620">
        <f>U9*U10*-1</f>
        <v>0</v>
      </c>
      <c r="V11" s="620">
        <f t="shared" ref="V11:AF11" si="1">V9*V10*-1</f>
        <v>0</v>
      </c>
      <c r="W11" s="620">
        <f t="shared" si="1"/>
        <v>20.815079999999998</v>
      </c>
      <c r="X11" s="620">
        <f t="shared" si="1"/>
        <v>21.006180000000001</v>
      </c>
      <c r="Y11" s="620">
        <f t="shared" si="1"/>
        <v>25.815300000000001</v>
      </c>
      <c r="Z11" s="620">
        <f t="shared" si="1"/>
        <v>26.04045</v>
      </c>
      <c r="AA11" s="620">
        <f t="shared" si="1"/>
        <v>26.26465</v>
      </c>
      <c r="AB11" s="620">
        <f t="shared" si="1"/>
        <v>26.498349999999999</v>
      </c>
      <c r="AC11" s="620">
        <f t="shared" si="1"/>
        <v>26.454419999999999</v>
      </c>
      <c r="AD11" s="620">
        <f t="shared" si="1"/>
        <v>26.695999999999998</v>
      </c>
      <c r="AE11" s="620">
        <f t="shared" si="1"/>
        <v>26.930059999999997</v>
      </c>
      <c r="AF11" s="620">
        <f t="shared" si="1"/>
        <v>27.1754</v>
      </c>
    </row>
    <row r="12" spans="2:32" x14ac:dyDescent="0.3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3" spans="2:32" x14ac:dyDescent="0.35">
      <c r="B13" s="1522" t="s">
        <v>2228</v>
      </c>
      <c r="C13" s="1522"/>
      <c r="D13" s="1522"/>
      <c r="E13" s="1522"/>
      <c r="F13" s="1522"/>
      <c r="G13" s="1522"/>
      <c r="H13" s="1522"/>
      <c r="I13" s="1522"/>
      <c r="J13" s="1522"/>
      <c r="K13" s="1522"/>
      <c r="L13" s="1522"/>
      <c r="M13" s="1522"/>
      <c r="N13" s="1522"/>
      <c r="O13" s="1522"/>
      <c r="P13" s="1522"/>
      <c r="Q13" s="1522"/>
      <c r="R13" s="1522"/>
      <c r="S13" s="1522"/>
      <c r="T13" s="1522"/>
      <c r="U13" s="1522"/>
      <c r="V13" s="1522"/>
      <c r="W13" s="1522"/>
      <c r="X13" s="1522"/>
      <c r="Y13" s="1522"/>
      <c r="Z13" s="1522"/>
      <c r="AA13" s="1522"/>
      <c r="AB13" s="1522"/>
      <c r="AC13" s="1522"/>
      <c r="AD13" s="1522"/>
      <c r="AE13" s="1522"/>
      <c r="AF13" s="1522"/>
    </row>
    <row r="14" spans="2:32" x14ac:dyDescent="0.35">
      <c r="B14" s="1437" t="s">
        <v>1790</v>
      </c>
      <c r="C14" s="1475"/>
      <c r="D14" s="1523" t="s">
        <v>325</v>
      </c>
      <c r="E14" s="1524"/>
      <c r="F14" s="1524"/>
      <c r="G14" s="1524"/>
      <c r="H14" s="1524"/>
      <c r="I14" s="1524"/>
      <c r="J14" s="1524"/>
      <c r="K14" s="1524"/>
      <c r="L14" s="1524"/>
      <c r="M14" s="1524"/>
      <c r="N14" s="1524"/>
      <c r="O14" s="1524"/>
      <c r="P14" s="1524"/>
      <c r="Q14" s="1475"/>
      <c r="R14" s="1475"/>
      <c r="S14" s="165"/>
      <c r="T14" s="1525" t="s">
        <v>326</v>
      </c>
      <c r="U14" s="1525"/>
      <c r="V14" s="1525"/>
      <c r="W14" s="1525"/>
      <c r="X14" s="1525"/>
      <c r="Y14" s="1525"/>
      <c r="Z14" s="1525"/>
      <c r="AA14" s="1525"/>
      <c r="AB14" s="1525"/>
      <c r="AC14" s="1525"/>
      <c r="AD14" s="1525"/>
      <c r="AE14" s="1525"/>
      <c r="AF14" s="1526"/>
    </row>
    <row r="15" spans="2:32" x14ac:dyDescent="0.35">
      <c r="B15" s="1439"/>
      <c r="C15" s="1440"/>
      <c r="D15" s="137">
        <v>2018</v>
      </c>
      <c r="E15" s="1465">
        <v>2019</v>
      </c>
      <c r="F15" s="1466"/>
      <c r="G15" s="1466"/>
      <c r="H15" s="1473"/>
      <c r="I15" s="1465">
        <v>2020</v>
      </c>
      <c r="J15" s="1466"/>
      <c r="K15" s="1466"/>
      <c r="L15" s="1466"/>
      <c r="M15" s="1465">
        <v>2021</v>
      </c>
      <c r="N15" s="1466"/>
      <c r="O15" s="1466"/>
      <c r="P15" s="1466"/>
      <c r="Q15" s="1445">
        <v>2022</v>
      </c>
      <c r="R15" s="1527"/>
      <c r="S15" s="260"/>
      <c r="T15" s="152"/>
      <c r="U15" s="1444">
        <v>2023</v>
      </c>
      <c r="V15" s="1442"/>
      <c r="W15" s="1442"/>
      <c r="X15" s="1442"/>
      <c r="Y15" s="1444">
        <v>2024</v>
      </c>
      <c r="Z15" s="1442"/>
      <c r="AA15" s="1442"/>
      <c r="AB15" s="1443"/>
      <c r="AC15" s="1444">
        <v>2025</v>
      </c>
      <c r="AD15" s="1442"/>
      <c r="AE15" s="1442"/>
      <c r="AF15" s="1443"/>
    </row>
    <row r="16" spans="2:32" x14ac:dyDescent="0.35">
      <c r="B16" s="1454"/>
      <c r="C16" s="1455"/>
      <c r="D16" s="137" t="s">
        <v>327</v>
      </c>
      <c r="E16" s="137" t="s">
        <v>328</v>
      </c>
      <c r="F16" s="150" t="s">
        <v>329</v>
      </c>
      <c r="G16" s="150" t="s">
        <v>238</v>
      </c>
      <c r="H16" s="226" t="s">
        <v>327</v>
      </c>
      <c r="I16" s="150" t="s">
        <v>328</v>
      </c>
      <c r="J16" s="150" t="s">
        <v>329</v>
      </c>
      <c r="K16" s="150" t="s">
        <v>238</v>
      </c>
      <c r="L16" s="150" t="s">
        <v>327</v>
      </c>
      <c r="M16" s="137" t="s">
        <v>328</v>
      </c>
      <c r="N16" s="150" t="s">
        <v>329</v>
      </c>
      <c r="O16" s="150" t="s">
        <v>238</v>
      </c>
      <c r="P16" s="150" t="s">
        <v>327</v>
      </c>
      <c r="Q16" s="190" t="s">
        <v>328</v>
      </c>
      <c r="R16" s="192" t="s">
        <v>329</v>
      </c>
      <c r="S16" s="172" t="s">
        <v>238</v>
      </c>
      <c r="T16" s="291" t="s">
        <v>327</v>
      </c>
      <c r="U16" s="289" t="s">
        <v>328</v>
      </c>
      <c r="V16" s="290" t="s">
        <v>329</v>
      </c>
      <c r="W16" s="290" t="s">
        <v>238</v>
      </c>
      <c r="X16" s="290" t="s">
        <v>327</v>
      </c>
      <c r="Y16" s="289" t="s">
        <v>328</v>
      </c>
      <c r="Z16" s="285" t="s">
        <v>329</v>
      </c>
      <c r="AA16" s="290" t="s">
        <v>238</v>
      </c>
      <c r="AB16" s="291" t="s">
        <v>327</v>
      </c>
      <c r="AC16" s="293" t="s">
        <v>328</v>
      </c>
      <c r="AD16" s="290" t="s">
        <v>329</v>
      </c>
      <c r="AE16" s="290" t="s">
        <v>238</v>
      </c>
      <c r="AF16" s="291" t="s">
        <v>327</v>
      </c>
    </row>
    <row r="17" spans="2:32" x14ac:dyDescent="0.35">
      <c r="B17" s="139" t="s">
        <v>1469</v>
      </c>
      <c r="C17" s="615"/>
      <c r="D17" s="616"/>
      <c r="E17" s="615"/>
      <c r="F17" s="615"/>
      <c r="G17" s="615"/>
      <c r="H17" s="615"/>
      <c r="I17" s="615"/>
      <c r="J17" s="617"/>
      <c r="K17" s="617"/>
      <c r="L17" s="617"/>
      <c r="M17" s="617"/>
      <c r="N17" s="617"/>
      <c r="O17" s="617"/>
      <c r="P17" s="617"/>
      <c r="Q17" s="617"/>
      <c r="R17" s="613">
        <v>0</v>
      </c>
      <c r="S17" s="614">
        <v>0</v>
      </c>
      <c r="T17" s="618">
        <v>0</v>
      </c>
      <c r="U17" s="618">
        <v>-7.7999999999999999E-4</v>
      </c>
      <c r="V17" s="618">
        <v>-7.7999999999999999E-4</v>
      </c>
      <c r="W17" s="618">
        <v>-7.7999999999999999E-4</v>
      </c>
      <c r="X17" s="618">
        <v>-7.7999999999999999E-4</v>
      </c>
      <c r="Y17" s="618">
        <v>-9.5E-4</v>
      </c>
      <c r="Z17" s="618">
        <v>-9.5E-4</v>
      </c>
      <c r="AA17" s="618">
        <v>-9.5E-4</v>
      </c>
      <c r="AB17" s="618">
        <v>-9.5E-4</v>
      </c>
      <c r="AC17" s="618">
        <v>-9.3999999999999997E-4</v>
      </c>
      <c r="AD17" s="618">
        <v>-9.3999999999999997E-4</v>
      </c>
      <c r="AE17" s="618">
        <v>-9.3999999999999997E-4</v>
      </c>
      <c r="AF17" s="619">
        <v>-9.3999999999999997E-4</v>
      </c>
    </row>
    <row r="18" spans="2:32" x14ac:dyDescent="0.35">
      <c r="B18" s="35" t="s">
        <v>1468</v>
      </c>
      <c r="C18" s="273"/>
      <c r="D18" s="544"/>
      <c r="E18" s="273"/>
      <c r="F18" s="273"/>
      <c r="G18" s="273"/>
      <c r="H18" s="273"/>
      <c r="I18" s="273"/>
      <c r="J18" s="596"/>
      <c r="K18" s="596"/>
      <c r="L18" s="596"/>
      <c r="M18" s="596"/>
      <c r="N18" s="596"/>
      <c r="O18" s="596"/>
      <c r="P18" s="596"/>
      <c r="Q18" s="596"/>
      <c r="R18" s="83"/>
      <c r="S18" s="101"/>
      <c r="T18" s="83"/>
      <c r="U18" s="83">
        <v>26095</v>
      </c>
      <c r="V18" s="83">
        <v>26404</v>
      </c>
      <c r="W18" s="83">
        <v>26686</v>
      </c>
      <c r="X18" s="83">
        <v>26931</v>
      </c>
      <c r="Y18" s="83">
        <v>27174</v>
      </c>
      <c r="Z18" s="83">
        <v>27411</v>
      </c>
      <c r="AA18" s="83">
        <v>27647</v>
      </c>
      <c r="AB18" s="83">
        <v>27893</v>
      </c>
      <c r="AC18" s="83">
        <v>28143</v>
      </c>
      <c r="AD18" s="83">
        <v>28400</v>
      </c>
      <c r="AE18" s="83">
        <v>28649</v>
      </c>
      <c r="AF18" s="101">
        <v>28910</v>
      </c>
    </row>
    <row r="19" spans="2:32" x14ac:dyDescent="0.35">
      <c r="B19" s="35" t="s">
        <v>359</v>
      </c>
      <c r="C19" s="501"/>
      <c r="D19" s="500"/>
      <c r="E19" s="501"/>
      <c r="F19" s="501"/>
      <c r="G19" s="501"/>
      <c r="H19" s="501"/>
      <c r="I19" s="501"/>
      <c r="J19" s="610"/>
      <c r="K19" s="610"/>
      <c r="L19" s="610"/>
      <c r="M19" s="610"/>
      <c r="N19" s="610"/>
      <c r="O19" s="610"/>
      <c r="P19" s="610"/>
      <c r="Q19" s="610"/>
      <c r="R19" s="227">
        <f>R17*R18</f>
        <v>0</v>
      </c>
      <c r="S19" s="612">
        <f t="shared" ref="S19:T19" si="2">S17*S18</f>
        <v>0</v>
      </c>
      <c r="T19" s="227">
        <f t="shared" si="2"/>
        <v>0</v>
      </c>
      <c r="U19" s="620">
        <f>U17*U18*-1</f>
        <v>20.354099999999999</v>
      </c>
      <c r="V19" s="620">
        <f t="shared" ref="V19:AF19" si="3">V17*V18*-1</f>
        <v>20.595119999999998</v>
      </c>
      <c r="W19" s="620">
        <f t="shared" si="3"/>
        <v>20.815079999999998</v>
      </c>
      <c r="X19" s="620">
        <f t="shared" si="3"/>
        <v>21.006180000000001</v>
      </c>
      <c r="Y19" s="620">
        <f t="shared" si="3"/>
        <v>25.815300000000001</v>
      </c>
      <c r="Z19" s="620">
        <f t="shared" si="3"/>
        <v>26.04045</v>
      </c>
      <c r="AA19" s="620">
        <f t="shared" si="3"/>
        <v>26.26465</v>
      </c>
      <c r="AB19" s="620">
        <f t="shared" si="3"/>
        <v>26.498349999999999</v>
      </c>
      <c r="AC19" s="620">
        <f t="shared" si="3"/>
        <v>26.454419999999999</v>
      </c>
      <c r="AD19" s="620">
        <f t="shared" si="3"/>
        <v>26.695999999999998</v>
      </c>
      <c r="AE19" s="620">
        <f t="shared" si="3"/>
        <v>26.930059999999997</v>
      </c>
      <c r="AF19" s="620">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73"/>
  <sheetViews>
    <sheetView topLeftCell="L4" zoomScale="80" zoomScaleNormal="80" workbookViewId="0">
      <selection activeCell="AD21" sqref="AD21"/>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535" t="s">
        <v>514</v>
      </c>
      <c r="C1" s="1535"/>
      <c r="D1" s="1535"/>
      <c r="E1" s="1535"/>
      <c r="F1" s="1535"/>
      <c r="G1" s="1535"/>
      <c r="H1" s="1535"/>
      <c r="I1" s="1535"/>
      <c r="J1" s="1535"/>
      <c r="K1" s="1535"/>
      <c r="L1" s="1535"/>
      <c r="M1" s="1535"/>
      <c r="N1" s="1535"/>
      <c r="O1" s="1535"/>
      <c r="P1" s="1535"/>
      <c r="Q1" s="1535"/>
      <c r="R1" s="1535"/>
      <c r="S1" s="1535"/>
      <c r="T1" s="1535"/>
      <c r="U1" s="1535"/>
      <c r="V1" s="1535"/>
      <c r="W1" s="1535"/>
      <c r="X1" s="1535"/>
      <c r="Y1" s="1535"/>
      <c r="Z1" s="1535"/>
      <c r="AA1" s="1535"/>
      <c r="AB1" s="1535"/>
      <c r="AC1" s="1535"/>
    </row>
    <row r="2" spans="2:29" ht="34.5" customHeight="1" x14ac:dyDescent="0.35">
      <c r="B2" s="1434" t="s">
        <v>921</v>
      </c>
      <c r="C2" s="1458"/>
      <c r="D2" s="1458"/>
      <c r="E2" s="1458"/>
      <c r="F2" s="1458"/>
      <c r="G2" s="1458"/>
      <c r="H2" s="1458"/>
      <c r="I2" s="1458"/>
      <c r="J2" s="1458"/>
      <c r="K2" s="1458"/>
      <c r="L2" s="1458"/>
      <c r="M2" s="1458"/>
      <c r="N2" s="1458"/>
      <c r="O2" s="1458"/>
      <c r="P2" s="1458"/>
      <c r="Q2" s="1458"/>
      <c r="R2" s="1458"/>
      <c r="S2" s="1458"/>
      <c r="T2" s="1458"/>
      <c r="U2" s="1458"/>
      <c r="V2" s="1458"/>
      <c r="W2" s="1458"/>
      <c r="X2" s="1458"/>
      <c r="Y2" s="1458"/>
      <c r="Z2" s="1458"/>
      <c r="AA2" s="1458"/>
      <c r="AB2" s="1458"/>
      <c r="AC2" s="1458"/>
    </row>
    <row r="3" spans="2:29" ht="3" customHeight="1" x14ac:dyDescent="0.35">
      <c r="B3" s="1458"/>
      <c r="C3" s="1458"/>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row>
    <row r="4" spans="2:29" ht="10.4" customHeight="1" x14ac:dyDescent="0.35">
      <c r="B4" s="1458"/>
      <c r="C4" s="1458"/>
      <c r="D4" s="1458"/>
      <c r="E4" s="1458"/>
      <c r="F4" s="1458"/>
      <c r="G4" s="1458"/>
      <c r="H4" s="1458"/>
      <c r="I4" s="1458"/>
      <c r="J4" s="1458"/>
      <c r="K4" s="1458"/>
      <c r="L4" s="1458"/>
      <c r="M4" s="1458"/>
      <c r="N4" s="1458"/>
      <c r="O4" s="1458"/>
      <c r="P4" s="1458"/>
      <c r="Q4" s="1458"/>
      <c r="R4" s="1458"/>
      <c r="S4" s="1458"/>
      <c r="T4" s="1458"/>
      <c r="U4" s="1458"/>
      <c r="V4" s="1458"/>
      <c r="W4" s="1458"/>
      <c r="X4" s="1458"/>
      <c r="Y4" s="1458"/>
      <c r="Z4" s="1458"/>
      <c r="AA4" s="1458"/>
      <c r="AB4" s="1458"/>
      <c r="AC4" s="1458"/>
    </row>
    <row r="5" spans="2:29" ht="14.25" customHeight="1" x14ac:dyDescent="0.35">
      <c r="B5" s="1458"/>
      <c r="C5" s="1458"/>
      <c r="D5" s="1458"/>
      <c r="E5" s="1458"/>
      <c r="F5" s="1458"/>
      <c r="G5" s="1458"/>
      <c r="H5" s="1458"/>
      <c r="I5" s="1458"/>
      <c r="J5" s="1458"/>
      <c r="K5" s="1458"/>
      <c r="L5" s="1458"/>
      <c r="M5" s="1458"/>
      <c r="N5" s="1458"/>
      <c r="O5" s="1458"/>
      <c r="P5" s="1458"/>
      <c r="Q5" s="1458"/>
      <c r="R5" s="1458"/>
      <c r="S5" s="1458"/>
      <c r="T5" s="1458"/>
      <c r="U5" s="1458"/>
      <c r="V5" s="1458"/>
      <c r="W5" s="1458"/>
      <c r="X5" s="1458"/>
      <c r="Y5" s="1458"/>
      <c r="Z5" s="1458"/>
      <c r="AA5" s="1458"/>
      <c r="AB5" s="1458"/>
      <c r="AC5" s="1458"/>
    </row>
    <row r="6" spans="2:29" ht="14.25" customHeight="1" x14ac:dyDescent="0.35">
      <c r="B6" s="1458"/>
      <c r="C6" s="1458"/>
      <c r="D6" s="1458"/>
      <c r="E6" s="1458"/>
      <c r="F6" s="1458"/>
      <c r="G6" s="1458"/>
      <c r="H6" s="1458"/>
      <c r="I6" s="1458"/>
      <c r="J6" s="1458"/>
      <c r="K6" s="1458"/>
      <c r="L6" s="1458"/>
      <c r="M6" s="1458"/>
      <c r="N6" s="1458"/>
      <c r="O6" s="1458"/>
      <c r="P6" s="1458"/>
      <c r="Q6" s="1458"/>
      <c r="R6" s="1458"/>
      <c r="S6" s="1458"/>
      <c r="T6" s="1458"/>
      <c r="U6" s="1458"/>
      <c r="V6" s="1458"/>
      <c r="W6" s="1458"/>
      <c r="X6" s="1458"/>
      <c r="Y6" s="1458"/>
      <c r="Z6" s="1458"/>
      <c r="AA6" s="1458"/>
      <c r="AB6" s="1458"/>
      <c r="AC6" s="1458"/>
    </row>
    <row r="7" spans="2:29" x14ac:dyDescent="0.35">
      <c r="B7" s="648" t="s">
        <v>380</v>
      </c>
      <c r="C7" s="283"/>
      <c r="D7" s="283"/>
      <c r="E7" s="283"/>
      <c r="F7" s="283"/>
      <c r="G7" s="283"/>
      <c r="H7" s="284"/>
      <c r="I7" s="284"/>
      <c r="J7" s="284"/>
      <c r="K7" s="284"/>
      <c r="L7" s="284"/>
      <c r="M7" s="284"/>
      <c r="N7" s="284"/>
      <c r="O7" s="284"/>
      <c r="P7" s="284"/>
      <c r="Q7" s="284"/>
      <c r="R7" s="284"/>
      <c r="S7" s="284"/>
      <c r="T7" s="284"/>
      <c r="U7" s="284"/>
    </row>
    <row r="8" spans="2:29" ht="14.9" customHeight="1" x14ac:dyDescent="0.35">
      <c r="B8" s="1437" t="s">
        <v>351</v>
      </c>
      <c r="C8" s="1438"/>
      <c r="D8" s="1447" t="s">
        <v>325</v>
      </c>
      <c r="E8" s="1448"/>
      <c r="F8" s="1448"/>
      <c r="G8" s="1448"/>
      <c r="H8" s="1448"/>
      <c r="I8" s="1448"/>
      <c r="J8" s="1448"/>
      <c r="K8" s="1448"/>
      <c r="L8" s="1448"/>
      <c r="M8" s="1448"/>
      <c r="N8" s="1448"/>
      <c r="O8" s="1448"/>
      <c r="P8" s="1448"/>
      <c r="Q8" s="1456"/>
      <c r="R8" s="1456"/>
      <c r="S8" s="1456"/>
      <c r="T8" s="1438"/>
      <c r="U8" s="1451" t="s">
        <v>326</v>
      </c>
      <c r="V8" s="1451"/>
      <c r="W8" s="1451"/>
      <c r="X8" s="1451"/>
      <c r="Y8" s="1451"/>
      <c r="Z8" s="1451"/>
      <c r="AA8" s="1451"/>
      <c r="AB8" s="1451"/>
      <c r="AC8" s="1452"/>
    </row>
    <row r="9" spans="2:29" ht="14.9" customHeight="1" x14ac:dyDescent="0.35">
      <c r="B9" s="1439"/>
      <c r="C9" s="1476"/>
      <c r="D9" s="133">
        <v>2018</v>
      </c>
      <c r="E9" s="1418">
        <v>2019</v>
      </c>
      <c r="F9" s="1435"/>
      <c r="G9" s="1435"/>
      <c r="H9" s="1436"/>
      <c r="I9" s="1418">
        <v>2020</v>
      </c>
      <c r="J9" s="1435"/>
      <c r="K9" s="1435"/>
      <c r="L9" s="1435"/>
      <c r="M9" s="1418">
        <v>2021</v>
      </c>
      <c r="N9" s="1435"/>
      <c r="O9" s="1435"/>
      <c r="P9" s="1435"/>
      <c r="Q9" s="1418">
        <v>2022</v>
      </c>
      <c r="R9" s="1419"/>
      <c r="S9" s="1419"/>
      <c r="T9" s="1436"/>
      <c r="U9" s="1441">
        <v>2023</v>
      </c>
      <c r="V9" s="1442"/>
      <c r="W9" s="1442"/>
      <c r="X9" s="1442"/>
      <c r="Y9" s="1444">
        <v>2024</v>
      </c>
      <c r="Z9" s="1442"/>
      <c r="AA9" s="1442"/>
      <c r="AB9" s="1443"/>
      <c r="AC9" s="274">
        <v>2025</v>
      </c>
    </row>
    <row r="10" spans="2:29" x14ac:dyDescent="0.35">
      <c r="B10" s="1439"/>
      <c r="C10" s="1476"/>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0" t="s">
        <v>328</v>
      </c>
      <c r="V10" s="310" t="s">
        <v>329</v>
      </c>
      <c r="W10" s="310" t="s">
        <v>238</v>
      </c>
      <c r="X10" s="310" t="s">
        <v>327</v>
      </c>
      <c r="Y10" s="379" t="s">
        <v>328</v>
      </c>
      <c r="Z10" s="267" t="s">
        <v>329</v>
      </c>
      <c r="AA10" s="310" t="s">
        <v>238</v>
      </c>
      <c r="AB10" s="155" t="s">
        <v>327</v>
      </c>
      <c r="AC10" s="404" t="s">
        <v>328</v>
      </c>
    </row>
    <row r="11" spans="2:29" x14ac:dyDescent="0.35">
      <c r="B11" s="1528" t="s">
        <v>515</v>
      </c>
      <c r="C11" s="1529"/>
      <c r="D11" s="621"/>
      <c r="E11" s="625"/>
      <c r="F11" s="625"/>
      <c r="G11" s="625"/>
      <c r="H11" s="264"/>
      <c r="I11" s="264"/>
      <c r="J11" s="264"/>
      <c r="K11" s="264"/>
      <c r="L11" s="264"/>
      <c r="M11" s="524"/>
      <c r="N11" s="524"/>
      <c r="O11" s="524"/>
      <c r="P11" s="264"/>
      <c r="Q11" s="264"/>
      <c r="R11" s="264"/>
      <c r="S11" s="264"/>
      <c r="T11" s="626"/>
      <c r="U11" s="252"/>
      <c r="V11" s="252"/>
      <c r="W11" s="252"/>
      <c r="X11" s="252"/>
      <c r="Y11" s="252"/>
      <c r="Z11" s="252"/>
      <c r="AA11" s="252"/>
      <c r="AB11" s="252"/>
      <c r="AC11" s="253"/>
    </row>
    <row r="12" spans="2:29" ht="17.149999999999999" customHeight="1" x14ac:dyDescent="0.35">
      <c r="B12" s="462" t="s">
        <v>516</v>
      </c>
      <c r="C12" s="171" t="s">
        <v>517</v>
      </c>
      <c r="D12" s="561">
        <f>'Haver Pivoted'!GO31</f>
        <v>2224.3000000000002</v>
      </c>
      <c r="E12" s="435">
        <f>'Haver Pivoted'!GP31</f>
        <v>2303.4</v>
      </c>
      <c r="F12" s="435">
        <f>'Haver Pivoted'!GQ31</f>
        <v>2319.4</v>
      </c>
      <c r="G12" s="435">
        <f>'Haver Pivoted'!GR31</f>
        <v>2333.8000000000002</v>
      </c>
      <c r="H12" s="435">
        <f>'Haver Pivoted'!GS31</f>
        <v>2346.4</v>
      </c>
      <c r="I12" s="435">
        <f>'Haver Pivoted'!GT31</f>
        <v>2407.5</v>
      </c>
      <c r="J12" s="435">
        <f>'Haver Pivoted'!GU31</f>
        <v>4698.7</v>
      </c>
      <c r="K12" s="435">
        <f>'Haver Pivoted'!GV31</f>
        <v>3492.4</v>
      </c>
      <c r="L12" s="435">
        <f>'Haver Pivoted'!GW31</f>
        <v>2881.6</v>
      </c>
      <c r="M12" s="435">
        <f>'Haver Pivoted'!GX31</f>
        <v>5094.8</v>
      </c>
      <c r="N12" s="435">
        <f>'Haver Pivoted'!GY31</f>
        <v>3395.6</v>
      </c>
      <c r="O12" s="435">
        <f>'Haver Pivoted'!GZ31</f>
        <v>3146.3</v>
      </c>
      <c r="P12" s="435">
        <f>'Haver Pivoted'!HA31</f>
        <v>2937.4</v>
      </c>
      <c r="Q12" s="435">
        <f>'Haver Pivoted'!HB31</f>
        <v>2863</v>
      </c>
      <c r="R12" s="435">
        <f>'Haver Pivoted'!HC31</f>
        <v>2846.5</v>
      </c>
      <c r="S12" s="437">
        <f>'Haver Pivoted'!HD31</f>
        <v>2840.1</v>
      </c>
      <c r="T12" s="451">
        <f>'Haver Pivoted'!HE31</f>
        <v>2879.8</v>
      </c>
      <c r="U12" s="453">
        <f>SUM(U14:U25)-U24</f>
        <v>2927.3701649589207</v>
      </c>
      <c r="V12" s="453">
        <f t="shared" ref="V12:AC12" si="0">SUM(V14:V25)-V24</f>
        <v>2954.6008388064411</v>
      </c>
      <c r="W12" s="453">
        <f t="shared" si="0"/>
        <v>2981.0138896366498</v>
      </c>
      <c r="X12" s="453">
        <f t="shared" si="0"/>
        <v>3005.4813504820609</v>
      </c>
      <c r="Y12" s="453">
        <f t="shared" si="0"/>
        <v>3074.897881514144</v>
      </c>
      <c r="Z12" s="453">
        <f t="shared" si="0"/>
        <v>3106.1476704874876</v>
      </c>
      <c r="AA12" s="453">
        <f t="shared" si="0"/>
        <v>3138.411527833649</v>
      </c>
      <c r="AB12" s="453">
        <f t="shared" si="0"/>
        <v>3169.7330680969335</v>
      </c>
      <c r="AC12" s="480">
        <f t="shared" si="0"/>
        <v>3229.5452848988912</v>
      </c>
    </row>
    <row r="13" spans="2:29" x14ac:dyDescent="0.35">
      <c r="B13" s="462"/>
      <c r="C13" s="171"/>
      <c r="D13" s="561"/>
      <c r="E13" s="435"/>
      <c r="F13" s="435"/>
      <c r="G13" s="435"/>
      <c r="H13" s="435"/>
      <c r="I13" s="435"/>
      <c r="J13" s="435"/>
      <c r="K13" s="435"/>
      <c r="L13" s="435"/>
      <c r="M13" s="435"/>
      <c r="N13" s="435"/>
      <c r="O13" s="435"/>
      <c r="P13" s="171"/>
      <c r="Q13" s="159"/>
      <c r="R13" s="159"/>
      <c r="S13" s="159"/>
      <c r="T13" s="170"/>
      <c r="U13" s="310"/>
      <c r="V13" s="310"/>
      <c r="W13" s="310"/>
      <c r="X13" s="310"/>
      <c r="Y13" s="310"/>
      <c r="Z13" s="310"/>
      <c r="AA13" s="310"/>
      <c r="AB13" s="310"/>
      <c r="AC13" s="155"/>
    </row>
    <row r="14" spans="2:29" ht="35.9" customHeight="1" x14ac:dyDescent="0.35">
      <c r="B14" s="286" t="s">
        <v>518</v>
      </c>
      <c r="C14" s="171"/>
      <c r="D14" s="561">
        <f>'Unemployment Insurance'!D20+'Unemployment Insurance'!D19</f>
        <v>27.8</v>
      </c>
      <c r="E14" s="435">
        <f>'Unemployment Insurance'!E20+'Unemployment Insurance'!E19</f>
        <v>29.4</v>
      </c>
      <c r="F14" s="435">
        <f>'Unemployment Insurance'!F20+'Unemployment Insurance'!F19</f>
        <v>26.9</v>
      </c>
      <c r="G14" s="435">
        <f>'Unemployment Insurance'!G20+'Unemployment Insurance'!G19</f>
        <v>26.4</v>
      </c>
      <c r="H14" s="435">
        <f>'Unemployment Insurance'!H20+'Unemployment Insurance'!H19</f>
        <v>27.7</v>
      </c>
      <c r="I14" s="435">
        <f>'Unemployment Insurance'!I20+'Unemployment Insurance'!I19</f>
        <v>40.700000000000003</v>
      </c>
      <c r="J14" s="435">
        <f>'Unemployment Insurance'!J20+'Unemployment Insurance'!J19</f>
        <v>1007.5</v>
      </c>
      <c r="K14" s="435">
        <f>'Unemployment Insurance'!K20+'Unemployment Insurance'!K19</f>
        <v>792.89999999999986</v>
      </c>
      <c r="L14" s="435">
        <f>'Unemployment Insurance'!L20+'Unemployment Insurance'!L19</f>
        <v>308.5</v>
      </c>
      <c r="M14" s="435">
        <f>'Unemployment Insurance'!M20+'Unemployment Insurance'!M19</f>
        <v>556.20000000000005</v>
      </c>
      <c r="N14" s="435">
        <f>'Unemployment Insurance'!N20+'Unemployment Insurance'!N19</f>
        <v>448.6</v>
      </c>
      <c r="O14" s="435">
        <f>'Unemployment Insurance'!O20+'Unemployment Insurance'!O19</f>
        <v>245.1</v>
      </c>
      <c r="P14" s="435">
        <f>'Unemployment Insurance'!P20+'Unemployment Insurance'!P19</f>
        <v>33.799999999999997</v>
      </c>
      <c r="Q14" s="435">
        <f>'Unemployment Insurance'!Q20+'Unemployment Insurance'!Q19</f>
        <v>23.6</v>
      </c>
      <c r="R14" s="435">
        <f>'Unemployment Insurance'!R20+'Unemployment Insurance'!R19</f>
        <v>18.600000000000001</v>
      </c>
      <c r="S14" s="435">
        <f>'Unemployment Insurance'!S20+'Unemployment Insurance'!S19</f>
        <v>18.5</v>
      </c>
      <c r="T14" s="627">
        <f>'Unemployment Insurance'!T20+'Unemployment Insurance'!T19</f>
        <v>20.399999999999999</v>
      </c>
      <c r="U14" s="453">
        <f>'Unemployment Insurance'!U20+'Unemployment Insurance'!U19</f>
        <v>23.227666666666668</v>
      </c>
      <c r="V14" s="453">
        <f>'Unemployment Insurance'!V20+'Unemployment Insurance'!V19</f>
        <v>26.060999999999996</v>
      </c>
      <c r="W14" s="453">
        <f>'Unemployment Insurance'!W20+'Unemployment Insurance'!W19</f>
        <v>27.760999999999996</v>
      </c>
      <c r="X14" s="453">
        <f>'Unemployment Insurance'!X20+'Unemployment Insurance'!X19</f>
        <v>28.979333333333329</v>
      </c>
      <c r="Y14" s="453">
        <f>'Unemployment Insurance'!Y20+'Unemployment Insurance'!Y19</f>
        <v>28.894333333333332</v>
      </c>
      <c r="Z14" s="453">
        <f>'Unemployment Insurance'!Z20+'Unemployment Insurance'!Z19</f>
        <v>28.010333333333332</v>
      </c>
      <c r="AA14" s="453">
        <f>'Unemployment Insurance'!AA20+'Unemployment Insurance'!AA19</f>
        <v>27.534333333333333</v>
      </c>
      <c r="AB14" s="453">
        <f>'Unemployment Insurance'!AB20+'Unemployment Insurance'!AB19</f>
        <v>27.194333333333333</v>
      </c>
      <c r="AC14" s="480">
        <f>'Unemployment Insurance'!AC20+'Unemployment Insurance'!AC19</f>
        <v>27.063999999999997</v>
      </c>
    </row>
    <row r="15" spans="2:29" ht="17.899999999999999" customHeight="1" x14ac:dyDescent="0.35">
      <c r="B15" s="286" t="s">
        <v>55</v>
      </c>
      <c r="C15" s="171"/>
      <c r="D15" s="561">
        <f>Medicare!D10</f>
        <v>755.3</v>
      </c>
      <c r="E15" s="435">
        <f>Medicare!E10</f>
        <v>772.6</v>
      </c>
      <c r="F15" s="435">
        <f>Medicare!F10</f>
        <v>785.8</v>
      </c>
      <c r="G15" s="435">
        <f>Medicare!G10</f>
        <v>793.7</v>
      </c>
      <c r="H15" s="435">
        <f>Medicare!H10</f>
        <v>796.3</v>
      </c>
      <c r="I15" s="435">
        <f>Medicare!I10</f>
        <v>795.3</v>
      </c>
      <c r="J15" s="435">
        <f>Medicare!J10</f>
        <v>808</v>
      </c>
      <c r="K15" s="435">
        <f>Medicare!K10</f>
        <v>822.1</v>
      </c>
      <c r="L15" s="435">
        <f>Medicare!L10</f>
        <v>837.5</v>
      </c>
      <c r="M15" s="435">
        <f>Medicare!M10</f>
        <v>857.6</v>
      </c>
      <c r="N15" s="435">
        <f>Medicare!N10</f>
        <v>875.4</v>
      </c>
      <c r="O15" s="435">
        <f>Medicare!O10</f>
        <v>889.5</v>
      </c>
      <c r="P15" s="435">
        <f>Medicare!P10</f>
        <v>900</v>
      </c>
      <c r="Q15" s="435">
        <f>Medicare!Q10</f>
        <v>908</v>
      </c>
      <c r="R15" s="435">
        <f>Medicare!R10</f>
        <v>911.8</v>
      </c>
      <c r="S15" s="435">
        <f>Medicare!S10</f>
        <v>920.3</v>
      </c>
      <c r="T15" s="627">
        <f>Medicare!T10</f>
        <v>941.6</v>
      </c>
      <c r="U15" s="453">
        <f>Medicare!U10</f>
        <v>958.68725729225423</v>
      </c>
      <c r="V15" s="453">
        <f>Medicare!V10</f>
        <v>976.08459780644091</v>
      </c>
      <c r="W15" s="453">
        <f>Medicare!W10</f>
        <v>993.79764863665025</v>
      </c>
      <c r="X15" s="453">
        <f>Medicare!X10</f>
        <v>1017.7617761487271</v>
      </c>
      <c r="Y15" s="453">
        <f>Medicare!Y10</f>
        <v>1042.3037671808102</v>
      </c>
      <c r="Z15" s="453">
        <f>Medicare!Z10</f>
        <v>1067.437556154154</v>
      </c>
      <c r="AA15" s="453">
        <f>Medicare!AA10</f>
        <v>1093.1774135003152</v>
      </c>
      <c r="AB15" s="453">
        <f>Medicare!AB10</f>
        <v>1119.5379537635997</v>
      </c>
      <c r="AC15" s="480">
        <f>Medicare!AC10</f>
        <v>1146.534143898891</v>
      </c>
    </row>
    <row r="16" spans="2:29" ht="18" customHeight="1" x14ac:dyDescent="0.35">
      <c r="B16" s="462" t="s">
        <v>519</v>
      </c>
      <c r="C16" s="171"/>
      <c r="D16" s="298"/>
      <c r="E16" s="159"/>
      <c r="F16" s="159"/>
      <c r="G16" s="159"/>
      <c r="H16" s="435">
        <f>'Rebate Checks (expired)'!H10 +'Rebate Checks (expired)'!H11</f>
        <v>0</v>
      </c>
      <c r="I16" s="435">
        <f>'Rebate Checks (expired)'!I10 +'Rebate Checks (expired)'!I11</f>
        <v>0</v>
      </c>
      <c r="J16" s="435">
        <f>'Rebate Checks (expired)'!J10 +'Rebate Checks (expired)'!J11</f>
        <v>1078.0999999999999</v>
      </c>
      <c r="K16" s="435">
        <f>'Rebate Checks (expired)'!K10 +'Rebate Checks (expired)'!K11</f>
        <v>15.6</v>
      </c>
      <c r="L16" s="435">
        <f>'Rebate Checks (expired)'!L10 +'Rebate Checks (expired)'!L11</f>
        <v>5</v>
      </c>
      <c r="M16" s="435">
        <f>'Rebate Checks (expired)'!M10 +'Rebate Checks (expired)'!M11</f>
        <v>1933.6999999999998</v>
      </c>
      <c r="N16" s="435">
        <f>'Rebate Checks (expired)'!N10 +'Rebate Checks (expired)'!N11</f>
        <v>290.10000000000002</v>
      </c>
      <c r="O16" s="435">
        <f>'Rebate Checks (expired)'!O10 +'Rebate Checks (expired)'!O11</f>
        <v>38.9</v>
      </c>
      <c r="P16" s="435">
        <f>'Rebate Checks (expired)'!P10 +'Rebate Checks (expired)'!P11</f>
        <v>14.2</v>
      </c>
      <c r="Q16" s="435">
        <f>'Rebate Checks (expired)'!Q10 +'Rebate Checks (expired)'!Q11</f>
        <v>0</v>
      </c>
      <c r="R16" s="435">
        <f>'Rebate Checks (expired)'!Q10 +'Rebate Checks (expired)'!R11</f>
        <v>0</v>
      </c>
      <c r="S16" s="435">
        <f>'Rebate Checks (expired)'!S10 +'Rebate Checks (expired)'!S11</f>
        <v>0</v>
      </c>
      <c r="T16" s="627">
        <f>'Rebate Checks (expired)'!T10 +'Rebate Checks (expired)'!T11</f>
        <v>0</v>
      </c>
      <c r="U16" s="453">
        <f>'Rebate Checks (expired)'!U10 +'Rebate Checks (expired)'!U11</f>
        <v>0</v>
      </c>
      <c r="V16" s="453">
        <f>'Rebate Checks (expired)'!V10 +'Rebate Checks (expired)'!V11</f>
        <v>0</v>
      </c>
      <c r="W16" s="453">
        <f>'Rebate Checks (expired)'!W10 +'Rebate Checks (expired)'!W11</f>
        <v>0</v>
      </c>
      <c r="X16" s="453">
        <f>'Rebate Checks (expired)'!X10 +'Rebate Checks (expired)'!X11</f>
        <v>0</v>
      </c>
      <c r="Y16" s="453">
        <f>'Rebate Checks (expired)'!Y10 +'Rebate Checks (expired)'!Y11</f>
        <v>0</v>
      </c>
      <c r="Z16" s="453">
        <f>'Rebate Checks (expired)'!Z10 +'Rebate Checks (expired)'!Z11</f>
        <v>0</v>
      </c>
      <c r="AA16" s="453">
        <f>'Rebate Checks (expired)'!AA10 +'Rebate Checks (expired)'!AA11</f>
        <v>0</v>
      </c>
      <c r="AB16" s="453">
        <f>'Rebate Checks (expired)'!AB10 +'Rebate Checks (expired)'!AB11</f>
        <v>0</v>
      </c>
      <c r="AC16" s="480">
        <f>'Rebate Checks (expired)'!AC10 +'Rebate Checks (expired)'!AC11</f>
        <v>0</v>
      </c>
    </row>
    <row r="17" spans="2:101" ht="20.149999999999999" customHeight="1" x14ac:dyDescent="0.35">
      <c r="B17" s="287" t="s">
        <v>522</v>
      </c>
      <c r="C17" s="273"/>
      <c r="D17" s="637"/>
      <c r="E17" s="596"/>
      <c r="F17" s="596"/>
      <c r="G17" s="596"/>
      <c r="H17" s="528"/>
      <c r="I17" s="528"/>
      <c r="J17" s="528"/>
      <c r="K17" s="528"/>
      <c r="L17" s="528"/>
      <c r="M17" s="528">
        <f>'ARP Quarterly'!C5</f>
        <v>0</v>
      </c>
      <c r="N17" s="528">
        <f>'ARP Quarterly'!D5</f>
        <v>33.921840000000024</v>
      </c>
      <c r="O17" s="528">
        <f>'ARP Quarterly'!E5</f>
        <v>44.966160000000031</v>
      </c>
      <c r="P17" s="528">
        <f>'ARP Quarterly'!F5</f>
        <v>52.756999999999998</v>
      </c>
      <c r="Q17" s="528">
        <f>'ARP Quarterly'!G5</f>
        <v>52.756999999999998</v>
      </c>
      <c r="R17" s="528">
        <f>'ARP Quarterly'!H5</f>
        <v>52.756999999999998</v>
      </c>
      <c r="S17" s="528">
        <f>'ARP Quarterly'!I5</f>
        <v>52.756999999999998</v>
      </c>
      <c r="T17" s="534">
        <v>30</v>
      </c>
      <c r="U17" s="536">
        <f>'ARP Quarterly'!K5</f>
        <v>12</v>
      </c>
      <c r="V17" s="536">
        <f>'ARP Quarterly'!L5</f>
        <v>12</v>
      </c>
      <c r="W17" s="536">
        <f>'ARP Quarterly'!M5</f>
        <v>12</v>
      </c>
      <c r="X17" s="536">
        <f>'ARP Quarterly'!N5</f>
        <v>4.2219999999999995</v>
      </c>
      <c r="Y17" s="536">
        <f>'ARP Quarterly'!O5</f>
        <v>4.2219999999999995</v>
      </c>
      <c r="Z17" s="536">
        <f>'ARP Quarterly'!P5</f>
        <v>4.2219999999999995</v>
      </c>
      <c r="AA17" s="536">
        <f>'ARP Quarterly'!Q5</f>
        <v>4.2219999999999995</v>
      </c>
      <c r="AB17" s="536">
        <f>'ARP Quarterly'!R5</f>
        <v>2.3719999999999999</v>
      </c>
      <c r="AC17" s="642">
        <f>'ARP Quarterly'!S5</f>
        <v>2.3719999999999999</v>
      </c>
    </row>
    <row r="18" spans="2:101" ht="22.4" customHeight="1" x14ac:dyDescent="0.35">
      <c r="B18" s="286" t="s">
        <v>218</v>
      </c>
      <c r="C18" s="649"/>
      <c r="D18" s="297"/>
      <c r="E18" s="168"/>
      <c r="F18" s="168"/>
      <c r="G18" s="168"/>
      <c r="H18" s="168"/>
      <c r="I18" s="168"/>
      <c r="J18" s="168"/>
      <c r="K18" s="168"/>
      <c r="L18" s="168"/>
      <c r="M18" s="435">
        <f>'ARP Quarterly'!C4</f>
        <v>0</v>
      </c>
      <c r="N18" s="435">
        <f>'ARP Quarterly'!D4</f>
        <v>0</v>
      </c>
      <c r="O18" s="435">
        <f>'ARP Quarterly'!E4</f>
        <v>3.1040000000000418</v>
      </c>
      <c r="P18" s="435">
        <f>'ARP Quarterly'!F4</f>
        <v>19.719000000000005</v>
      </c>
      <c r="Q18" s="435">
        <f>'ARP Quarterly'!G4</f>
        <v>19.719000000000005</v>
      </c>
      <c r="R18" s="435">
        <f>'ARP Quarterly'!H4</f>
        <v>19.719000000000005</v>
      </c>
      <c r="S18" s="435">
        <f>'ARP Quarterly'!I4</f>
        <v>19.719000000000005</v>
      </c>
      <c r="T18" s="627">
        <f>'ARP Quarterly'!J4</f>
        <v>1.4159999999999999</v>
      </c>
      <c r="U18" s="453">
        <f>'ARP Quarterly'!K4</f>
        <v>1.4159999999999999</v>
      </c>
      <c r="V18" s="453">
        <f>'ARP Quarterly'!L4</f>
        <v>1.4159999999999999</v>
      </c>
      <c r="W18" s="453">
        <f>'ARP Quarterly'!M4</f>
        <v>1.4159999999999999</v>
      </c>
      <c r="X18" s="453">
        <f>'ARP Quarterly'!N4</f>
        <v>1.4790000000000001</v>
      </c>
      <c r="Y18" s="453">
        <f>'ARP Quarterly'!O4</f>
        <v>1.4790000000000001</v>
      </c>
      <c r="Z18" s="453">
        <f>'ARP Quarterly'!P4</f>
        <v>1.4790000000000001</v>
      </c>
      <c r="AA18" s="453">
        <f>'ARP Quarterly'!Q4</f>
        <v>1.4790000000000001</v>
      </c>
      <c r="AB18" s="453">
        <f>'ARP Quarterly'!R4</f>
        <v>1.63</v>
      </c>
      <c r="AC18" s="480">
        <f>'ARP Quarterly'!S4</f>
        <v>1.63</v>
      </c>
      <c r="AE18" s="649"/>
      <c r="AF18" s="649"/>
      <c r="AG18" s="649"/>
      <c r="AH18" s="649"/>
      <c r="AI18" s="649"/>
      <c r="AJ18" s="649"/>
      <c r="AK18" s="649"/>
      <c r="AL18" s="649"/>
      <c r="AM18" s="649"/>
      <c r="AN18" s="649"/>
      <c r="AO18" s="649"/>
      <c r="AP18" s="649"/>
      <c r="AQ18" s="649"/>
      <c r="AR18" s="649"/>
      <c r="AS18" s="649"/>
      <c r="AT18" s="649"/>
      <c r="AU18" s="649"/>
      <c r="AV18" s="649"/>
      <c r="AW18" s="649"/>
      <c r="AX18" s="649"/>
      <c r="AY18" s="649"/>
      <c r="AZ18" s="649"/>
      <c r="BA18" s="649"/>
      <c r="BB18" s="649"/>
      <c r="BC18" s="649"/>
      <c r="BD18" s="649"/>
      <c r="BE18" s="649"/>
      <c r="BF18" s="649"/>
      <c r="BG18" s="649"/>
      <c r="BH18" s="649"/>
      <c r="BI18" s="649"/>
      <c r="BJ18" s="649"/>
      <c r="BK18" s="649"/>
      <c r="BL18" s="649"/>
      <c r="BM18" s="649"/>
      <c r="BN18" s="649"/>
      <c r="BO18" s="649"/>
      <c r="BP18" s="649"/>
      <c r="BQ18" s="649"/>
      <c r="BR18" s="649"/>
      <c r="BS18" s="649"/>
      <c r="BT18" s="649"/>
      <c r="BU18" s="649"/>
      <c r="BV18" s="649"/>
      <c r="BW18" s="649"/>
      <c r="BX18" s="649"/>
      <c r="BY18" s="649"/>
      <c r="BZ18" s="649"/>
      <c r="CA18" s="649"/>
      <c r="CB18" s="649"/>
      <c r="CC18" s="649"/>
      <c r="CD18" s="649"/>
      <c r="CE18" s="649"/>
      <c r="CF18" s="649"/>
      <c r="CG18" s="649"/>
      <c r="CH18" s="649"/>
      <c r="CI18" s="649"/>
      <c r="CJ18" s="649"/>
      <c r="CK18" s="649"/>
      <c r="CL18" s="649"/>
      <c r="CM18" s="649"/>
      <c r="CN18" s="649"/>
      <c r="CO18" s="649"/>
      <c r="CP18" s="649"/>
      <c r="CQ18" s="649"/>
      <c r="CR18" s="649"/>
      <c r="CS18" s="649"/>
      <c r="CT18" s="649"/>
      <c r="CU18" s="649"/>
      <c r="CV18" s="649"/>
      <c r="CW18" s="649"/>
    </row>
    <row r="19" spans="2:101" ht="19.5" customHeight="1" x14ac:dyDescent="0.35">
      <c r="B19" s="286" t="s">
        <v>49</v>
      </c>
      <c r="C19" s="649"/>
      <c r="D19" s="297">
        <f>'Provider Relief (expired)'!D11</f>
        <v>0</v>
      </c>
      <c r="E19" s="168">
        <f>'Provider Relief (expired)'!E11</f>
        <v>0</v>
      </c>
      <c r="F19" s="168">
        <f>'Provider Relief (expired)'!F11</f>
        <v>0</v>
      </c>
      <c r="G19" s="168">
        <f>'Provider Relief (expired)'!G11</f>
        <v>0</v>
      </c>
      <c r="H19" s="168">
        <f>'Provider Relief (expired)'!H11</f>
        <v>0</v>
      </c>
      <c r="I19" s="168">
        <f>'Provider Relief (expired)'!I11</f>
        <v>0</v>
      </c>
      <c r="J19" s="168">
        <f>'Provider Relief (expired)'!J11</f>
        <v>160.9</v>
      </c>
      <c r="K19" s="168">
        <f>'Provider Relief (expired)'!K11</f>
        <v>58.4</v>
      </c>
      <c r="L19" s="168">
        <f>'Provider Relief (expired)'!L11</f>
        <v>34.5</v>
      </c>
      <c r="M19" s="168">
        <f>'Provider Relief (expired)'!M11</f>
        <v>21.4</v>
      </c>
      <c r="N19" s="168">
        <f>'Provider Relief (expired)'!N11</f>
        <v>13.3</v>
      </c>
      <c r="O19" s="168">
        <f>'Provider Relief (expired)'!O11</f>
        <v>18.7</v>
      </c>
      <c r="P19" s="168">
        <f>'Provider Relief (expired)'!P11</f>
        <v>32.200000000000003</v>
      </c>
      <c r="Q19" s="168">
        <f>'Provider Relief (expired)'!Q11</f>
        <v>26.9</v>
      </c>
      <c r="R19" s="168">
        <f>'Provider Relief (expired)'!R11</f>
        <v>20</v>
      </c>
      <c r="S19" s="168">
        <f>'Provider Relief (expired)'!S11</f>
        <v>8.1</v>
      </c>
      <c r="T19" s="309">
        <f>'Provider Relief (expired)'!T11</f>
        <v>4.9000000000000004</v>
      </c>
      <c r="U19" s="638">
        <f>'Provider Relief (expired)'!U11</f>
        <v>0</v>
      </c>
      <c r="V19" s="638">
        <f>'Provider Relief (expired)'!V11</f>
        <v>0</v>
      </c>
      <c r="W19" s="638">
        <f>'Provider Relief (expired)'!W11</f>
        <v>0</v>
      </c>
      <c r="X19" s="638">
        <f>'Provider Relief (expired)'!X11</f>
        <v>0</v>
      </c>
      <c r="Y19" s="638">
        <f>'Provider Relief (expired)'!Y11</f>
        <v>0</v>
      </c>
      <c r="Z19" s="638">
        <f>'Provider Relief (expired)'!Z11</f>
        <v>0</v>
      </c>
      <c r="AA19" s="638">
        <f>'Provider Relief (expired)'!AA11</f>
        <v>0</v>
      </c>
      <c r="AB19" s="638">
        <f>'Provider Relief (expired)'!AB11</f>
        <v>0</v>
      </c>
      <c r="AC19" s="650">
        <f>'Provider Relief (expired)'!AC11</f>
        <v>0</v>
      </c>
      <c r="AE19" s="649"/>
      <c r="AF19" s="649"/>
      <c r="AG19" s="649"/>
      <c r="AH19" s="649"/>
      <c r="AI19" s="649"/>
      <c r="AJ19" s="649"/>
      <c r="AK19" s="649"/>
      <c r="AL19" s="649"/>
      <c r="AM19" s="649"/>
      <c r="AN19" s="649"/>
      <c r="AO19" s="649"/>
      <c r="AP19" s="649"/>
      <c r="AQ19" s="649"/>
      <c r="AR19" s="649"/>
      <c r="AS19" s="649"/>
      <c r="AT19" s="649"/>
      <c r="AU19" s="649"/>
      <c r="AV19" s="649"/>
      <c r="AW19" s="649"/>
      <c r="AX19" s="649"/>
      <c r="AY19" s="649"/>
      <c r="AZ19" s="649"/>
      <c r="BA19" s="649"/>
      <c r="BB19" s="649"/>
      <c r="BC19" s="649"/>
      <c r="BD19" s="649"/>
      <c r="BE19" s="649"/>
      <c r="BF19" s="649"/>
      <c r="BG19" s="649"/>
      <c r="BH19" s="649"/>
      <c r="BI19" s="649"/>
      <c r="BJ19" s="649"/>
      <c r="BK19" s="649"/>
      <c r="BL19" s="649"/>
      <c r="BM19" s="649"/>
      <c r="BN19" s="649"/>
      <c r="BO19" s="649"/>
      <c r="BP19" s="649"/>
      <c r="BQ19" s="649"/>
      <c r="BR19" s="649"/>
      <c r="BS19" s="649"/>
      <c r="BT19" s="649"/>
      <c r="BU19" s="649"/>
      <c r="BV19" s="649"/>
      <c r="BW19" s="649"/>
      <c r="BX19" s="649"/>
      <c r="BY19" s="649"/>
      <c r="BZ19" s="649"/>
      <c r="CA19" s="649"/>
      <c r="CB19" s="649"/>
      <c r="CC19" s="649"/>
      <c r="CD19" s="649"/>
      <c r="CE19" s="649"/>
      <c r="CF19" s="649"/>
      <c r="CG19" s="649"/>
      <c r="CH19" s="649"/>
      <c r="CI19" s="649"/>
      <c r="CJ19" s="649"/>
      <c r="CK19" s="649"/>
      <c r="CL19" s="649"/>
      <c r="CM19" s="649"/>
      <c r="CN19" s="649"/>
      <c r="CO19" s="649"/>
      <c r="CP19" s="649"/>
      <c r="CQ19" s="649"/>
      <c r="CR19" s="649"/>
      <c r="CS19" s="649"/>
      <c r="CT19" s="649"/>
      <c r="CU19" s="649"/>
      <c r="CV19" s="649"/>
      <c r="CW19" s="649"/>
    </row>
    <row r="20" spans="2:101" ht="36.65" customHeight="1" x14ac:dyDescent="0.35">
      <c r="B20" s="286" t="s">
        <v>1525</v>
      </c>
      <c r="C20" s="171"/>
      <c r="D20" s="298">
        <f>D42</f>
        <v>0</v>
      </c>
      <c r="E20" s="159">
        <f t="shared" ref="E20:AC20" si="1">E42</f>
        <v>0</v>
      </c>
      <c r="F20" s="159">
        <f t="shared" si="1"/>
        <v>0</v>
      </c>
      <c r="G20" s="159">
        <f t="shared" si="1"/>
        <v>0</v>
      </c>
      <c r="H20" s="159">
        <f t="shared" si="1"/>
        <v>0</v>
      </c>
      <c r="I20" s="435">
        <f t="shared" si="1"/>
        <v>5.0234999999999914</v>
      </c>
      <c r="J20" s="435">
        <f t="shared" si="1"/>
        <v>45.406499999999987</v>
      </c>
      <c r="K20" s="435">
        <f t="shared" si="1"/>
        <v>50.178499999999993</v>
      </c>
      <c r="L20" s="435">
        <f t="shared" si="1"/>
        <v>60.014499999999991</v>
      </c>
      <c r="M20" s="435">
        <f t="shared" si="1"/>
        <v>86.04249999999999</v>
      </c>
      <c r="N20" s="435">
        <f t="shared" si="1"/>
        <v>100.69149999999999</v>
      </c>
      <c r="O20" s="435">
        <f t="shared" si="1"/>
        <v>95.460499999999996</v>
      </c>
      <c r="P20" s="435">
        <f t="shared" si="1"/>
        <v>100.72550000000001</v>
      </c>
      <c r="Q20" s="435">
        <f t="shared" si="1"/>
        <v>80.643499999999989</v>
      </c>
      <c r="R20" s="435">
        <f t="shared" si="1"/>
        <v>63.702499999999993</v>
      </c>
      <c r="S20" s="435">
        <f t="shared" si="1"/>
        <v>56.879499999999986</v>
      </c>
      <c r="T20" s="627">
        <f t="shared" si="1"/>
        <v>68.868499999999983</v>
      </c>
      <c r="U20" s="453">
        <f t="shared" si="1"/>
        <v>65.425074999999978</v>
      </c>
      <c r="V20" s="453">
        <f t="shared" si="1"/>
        <v>65.425074999999978</v>
      </c>
      <c r="W20" s="453">
        <f t="shared" si="1"/>
        <v>65.425074999999978</v>
      </c>
      <c r="X20" s="453">
        <f t="shared" si="1"/>
        <v>65.425074999999978</v>
      </c>
      <c r="Y20" s="453">
        <f t="shared" si="1"/>
        <v>65.425074999999978</v>
      </c>
      <c r="Z20" s="453">
        <f t="shared" si="1"/>
        <v>65.425074999999978</v>
      </c>
      <c r="AA20" s="453">
        <f t="shared" si="1"/>
        <v>65.425074999999978</v>
      </c>
      <c r="AB20" s="453">
        <f t="shared" si="1"/>
        <v>65.425074999999978</v>
      </c>
      <c r="AC20" s="480">
        <f t="shared" si="1"/>
        <v>65.425074999999978</v>
      </c>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row>
    <row r="21" spans="2:101" ht="15.65" customHeight="1" x14ac:dyDescent="0.35">
      <c r="B21" s="286" t="s">
        <v>853</v>
      </c>
      <c r="C21" s="171" t="s">
        <v>881</v>
      </c>
      <c r="D21" s="297">
        <v>30</v>
      </c>
      <c r="E21" s="168">
        <v>30</v>
      </c>
      <c r="F21" s="168">
        <v>30</v>
      </c>
      <c r="G21" s="168">
        <v>30</v>
      </c>
      <c r="H21" s="168">
        <v>30</v>
      </c>
      <c r="I21" s="168">
        <v>30</v>
      </c>
      <c r="J21" s="168">
        <v>30</v>
      </c>
      <c r="K21" s="166">
        <v>30.2</v>
      </c>
      <c r="L21" s="166">
        <v>30.2</v>
      </c>
      <c r="M21" s="166">
        <f>'Haver Pivoted'!GX89</f>
        <v>34.4</v>
      </c>
      <c r="N21" s="166">
        <f>'Haver Pivoted'!GY89</f>
        <v>34.4</v>
      </c>
      <c r="O21" s="166">
        <f>'Haver Pivoted'!GZ89</f>
        <v>218.933333333333</v>
      </c>
      <c r="P21" s="166">
        <f>'Haver Pivoted'!HA89</f>
        <v>223.13333333333301</v>
      </c>
      <c r="Q21" s="166">
        <f>'Haver Pivoted'!HB89</f>
        <v>94.3</v>
      </c>
      <c r="R21" s="166">
        <f>'Haver Pivoted'!HC89</f>
        <v>94.3</v>
      </c>
      <c r="S21" s="624">
        <f>'Haver Pivoted'!HD89</f>
        <v>94.3</v>
      </c>
      <c r="T21" s="628">
        <f>'Haver Pivoted'!HE89</f>
        <v>94.3</v>
      </c>
      <c r="U21" s="453">
        <v>34</v>
      </c>
      <c r="V21" s="453">
        <v>34</v>
      </c>
      <c r="W21" s="453">
        <v>34</v>
      </c>
      <c r="X21" s="453">
        <v>34</v>
      </c>
      <c r="Y21" s="453">
        <v>34</v>
      </c>
      <c r="Z21" s="453">
        <v>34</v>
      </c>
      <c r="AA21" s="453">
        <v>34</v>
      </c>
      <c r="AB21" s="453">
        <v>34</v>
      </c>
      <c r="AC21" s="480">
        <v>34</v>
      </c>
    </row>
    <row r="22" spans="2:101" ht="21.65" customHeight="1" x14ac:dyDescent="0.35">
      <c r="B22" s="286" t="s">
        <v>520</v>
      </c>
      <c r="C22" s="171"/>
      <c r="D22" s="298"/>
      <c r="E22" s="159"/>
      <c r="F22" s="159"/>
      <c r="G22" s="159"/>
      <c r="H22" s="435"/>
      <c r="I22" s="435"/>
      <c r="J22" s="435">
        <f>'PPP (expired)'!J53</f>
        <v>57.2</v>
      </c>
      <c r="K22" s="435">
        <f>'PPP (expired)'!K53</f>
        <v>81.2</v>
      </c>
      <c r="L22" s="435">
        <f>'PPP (expired)'!L53</f>
        <v>24.4</v>
      </c>
      <c r="M22" s="435">
        <f>'PPP (expired)'!M53</f>
        <v>11.7</v>
      </c>
      <c r="N22" s="435">
        <f>'PPP (expired)'!N53</f>
        <v>28.5</v>
      </c>
      <c r="O22" s="435">
        <f>'PPP (expired)'!O53</f>
        <v>18.8</v>
      </c>
      <c r="P22" s="435">
        <f>'PPP (expired)'!P53</f>
        <v>1.6</v>
      </c>
      <c r="Q22" s="435">
        <f>'PPP (expired)'!Q53</f>
        <v>0</v>
      </c>
      <c r="R22" s="435">
        <f>'PPP (expired)'!Q61</f>
        <v>0</v>
      </c>
      <c r="S22" s="435">
        <f>'PPP (expired)'!S53</f>
        <v>0</v>
      </c>
      <c r="T22" s="627">
        <f>'PPP (expired)'!T53</f>
        <v>0</v>
      </c>
      <c r="U22" s="453">
        <f>'PPP (expired)'!U53</f>
        <v>0</v>
      </c>
      <c r="V22" s="453">
        <f>'PPP (expired)'!V53</f>
        <v>0</v>
      </c>
      <c r="W22" s="453">
        <f>'PPP (expired)'!W53</f>
        <v>0</v>
      </c>
      <c r="X22" s="453">
        <f>'PPP (expired)'!X53</f>
        <v>0</v>
      </c>
      <c r="Y22" s="453">
        <f>'PPP (expired)'!Y53</f>
        <v>0</v>
      </c>
      <c r="Z22" s="453">
        <f>'PPP (expired)'!Z53</f>
        <v>0</v>
      </c>
      <c r="AA22" s="453">
        <f>'PPP (expired)'!AA53</f>
        <v>0</v>
      </c>
      <c r="AB22" s="453">
        <f>'PPP (expired)'!AB53</f>
        <v>0</v>
      </c>
      <c r="AC22" s="480">
        <f>'PPP (expired)'!AC53</f>
        <v>0</v>
      </c>
    </row>
    <row r="23" spans="2:101" ht="21.65" customHeight="1" x14ac:dyDescent="0.35">
      <c r="B23" s="462" t="s">
        <v>854</v>
      </c>
      <c r="C23" s="171"/>
      <c r="D23" s="561">
        <f t="shared" ref="D23:AC23" si="2">D58</f>
        <v>0</v>
      </c>
      <c r="E23" s="435">
        <f t="shared" si="2"/>
        <v>0</v>
      </c>
      <c r="F23" s="435">
        <f t="shared" si="2"/>
        <v>0</v>
      </c>
      <c r="G23" s="435">
        <f t="shared" si="2"/>
        <v>0</v>
      </c>
      <c r="H23" s="435">
        <f t="shared" si="2"/>
        <v>0</v>
      </c>
      <c r="I23" s="435">
        <f t="shared" si="2"/>
        <v>-5.0235000000002401</v>
      </c>
      <c r="J23" s="435">
        <f t="shared" si="2"/>
        <v>-36.906500000000278</v>
      </c>
      <c r="K23" s="435">
        <f t="shared" si="2"/>
        <v>86.321499999999787</v>
      </c>
      <c r="L23" s="435">
        <f t="shared" si="2"/>
        <v>18.985499999999547</v>
      </c>
      <c r="M23" s="435">
        <f t="shared" si="2"/>
        <v>6.8144999999999527</v>
      </c>
      <c r="N23" s="435">
        <f t="shared" si="2"/>
        <v>-23.256340000000137</v>
      </c>
      <c r="O23" s="435">
        <f t="shared" si="2"/>
        <v>-28.106993333332866</v>
      </c>
      <c r="P23" s="435">
        <f t="shared" si="2"/>
        <v>-48.677833333332956</v>
      </c>
      <c r="Q23" s="435">
        <f t="shared" si="2"/>
        <v>-29.785220000000209</v>
      </c>
      <c r="R23" s="435">
        <f t="shared" si="2"/>
        <v>-28.244220000000269</v>
      </c>
      <c r="S23" s="435">
        <f t="shared" si="2"/>
        <v>-31.321220000000267</v>
      </c>
      <c r="T23" s="627">
        <f t="shared" si="2"/>
        <v>10.449779999999919</v>
      </c>
      <c r="U23" s="453">
        <f t="shared" si="2"/>
        <v>10.449779999999919</v>
      </c>
      <c r="V23" s="453">
        <f t="shared" si="2"/>
        <v>10.449779999999919</v>
      </c>
      <c r="W23" s="453">
        <f t="shared" si="2"/>
        <v>10.449779999999919</v>
      </c>
      <c r="X23" s="453">
        <f t="shared" si="2"/>
        <v>10.449779999999919</v>
      </c>
      <c r="Y23" s="453">
        <f t="shared" si="2"/>
        <v>10.449779999999919</v>
      </c>
      <c r="Z23" s="453">
        <f t="shared" si="2"/>
        <v>10.449779999999919</v>
      </c>
      <c r="AA23" s="453">
        <f t="shared" si="2"/>
        <v>10.449779999999919</v>
      </c>
      <c r="AB23" s="453">
        <f t="shared" si="2"/>
        <v>10.449779999999919</v>
      </c>
      <c r="AC23" s="480">
        <f t="shared" si="2"/>
        <v>10.449779999999919</v>
      </c>
    </row>
    <row r="24" spans="2:101" ht="21" customHeight="1" x14ac:dyDescent="0.35">
      <c r="B24" s="287" t="s">
        <v>851</v>
      </c>
      <c r="C24" s="273"/>
      <c r="D24" s="637">
        <f t="shared" ref="D24:AC24" si="3">D18+D19</f>
        <v>0</v>
      </c>
      <c r="E24" s="596">
        <f t="shared" si="3"/>
        <v>0</v>
      </c>
      <c r="F24" s="596">
        <f t="shared" si="3"/>
        <v>0</v>
      </c>
      <c r="G24" s="596">
        <f t="shared" si="3"/>
        <v>0</v>
      </c>
      <c r="H24" s="596">
        <f t="shared" si="3"/>
        <v>0</v>
      </c>
      <c r="I24" s="596">
        <f t="shared" si="3"/>
        <v>0</v>
      </c>
      <c r="J24" s="596">
        <f t="shared" si="3"/>
        <v>160.9</v>
      </c>
      <c r="K24" s="596">
        <f t="shared" si="3"/>
        <v>58.4</v>
      </c>
      <c r="L24" s="596">
        <f t="shared" si="3"/>
        <v>34.5</v>
      </c>
      <c r="M24" s="596">
        <f t="shared" si="3"/>
        <v>21.4</v>
      </c>
      <c r="N24" s="596">
        <f t="shared" si="3"/>
        <v>13.3</v>
      </c>
      <c r="O24" s="596">
        <f t="shared" si="3"/>
        <v>21.804000000000041</v>
      </c>
      <c r="P24" s="528">
        <f>P18+P19</f>
        <v>51.919000000000011</v>
      </c>
      <c r="Q24" s="596">
        <f t="shared" si="3"/>
        <v>46.619</v>
      </c>
      <c r="R24" s="596">
        <f t="shared" si="3"/>
        <v>39.719000000000008</v>
      </c>
      <c r="S24" s="596">
        <f t="shared" si="3"/>
        <v>27.819000000000003</v>
      </c>
      <c r="T24" s="629">
        <f t="shared" si="3"/>
        <v>6.3160000000000007</v>
      </c>
      <c r="U24" s="602">
        <f t="shared" si="3"/>
        <v>1.4159999999999999</v>
      </c>
      <c r="V24" s="602">
        <f t="shared" si="3"/>
        <v>1.4159999999999999</v>
      </c>
      <c r="W24" s="602">
        <f t="shared" si="3"/>
        <v>1.4159999999999999</v>
      </c>
      <c r="X24" s="602">
        <f t="shared" si="3"/>
        <v>1.4790000000000001</v>
      </c>
      <c r="Y24" s="602">
        <f t="shared" si="3"/>
        <v>1.4790000000000001</v>
      </c>
      <c r="Z24" s="602">
        <f t="shared" si="3"/>
        <v>1.4790000000000001</v>
      </c>
      <c r="AA24" s="602">
        <f t="shared" si="3"/>
        <v>1.4790000000000001</v>
      </c>
      <c r="AB24" s="602">
        <f t="shared" si="3"/>
        <v>1.63</v>
      </c>
      <c r="AC24" s="611">
        <f t="shared" si="3"/>
        <v>1.63</v>
      </c>
    </row>
    <row r="25" spans="2:101" ht="44.9" customHeight="1" x14ac:dyDescent="0.35">
      <c r="B25" s="286" t="s">
        <v>859</v>
      </c>
      <c r="C25" s="171"/>
      <c r="D25" s="561">
        <f t="shared" ref="D25:AC25" si="4">D56</f>
        <v>1411.2</v>
      </c>
      <c r="E25" s="435">
        <f t="shared" si="4"/>
        <v>1471.4</v>
      </c>
      <c r="F25" s="435">
        <f t="shared" si="4"/>
        <v>1476.7</v>
      </c>
      <c r="G25" s="435">
        <f t="shared" si="4"/>
        <v>1483.7</v>
      </c>
      <c r="H25" s="435">
        <f t="shared" si="4"/>
        <v>1492.4000000000003</v>
      </c>
      <c r="I25" s="435">
        <f t="shared" si="4"/>
        <v>1541.5000000000002</v>
      </c>
      <c r="J25" s="435">
        <f t="shared" si="4"/>
        <v>1548.5000000000002</v>
      </c>
      <c r="K25" s="435">
        <f t="shared" si="4"/>
        <v>1555.5000000000002</v>
      </c>
      <c r="L25" s="435">
        <f t="shared" si="4"/>
        <v>1562.5000000000002</v>
      </c>
      <c r="M25" s="435">
        <f t="shared" si="4"/>
        <v>1586.9430000000002</v>
      </c>
      <c r="N25" s="435">
        <f t="shared" si="4"/>
        <v>1593.9430000000002</v>
      </c>
      <c r="O25" s="435">
        <f t="shared" si="4"/>
        <v>1600.9430000000002</v>
      </c>
      <c r="P25" s="435">
        <f>P56</f>
        <v>1607.9430000000002</v>
      </c>
      <c r="Q25" s="435">
        <f t="shared" si="4"/>
        <v>1686.8657200000002</v>
      </c>
      <c r="R25" s="435">
        <f t="shared" si="4"/>
        <v>1693.8657200000002</v>
      </c>
      <c r="S25" s="435">
        <f t="shared" si="4"/>
        <v>1700.8657200000002</v>
      </c>
      <c r="T25" s="627">
        <f t="shared" si="4"/>
        <v>1707.8657200000002</v>
      </c>
      <c r="U25" s="453">
        <f t="shared" si="4"/>
        <v>1822.1643860000001</v>
      </c>
      <c r="V25" s="453">
        <f t="shared" si="4"/>
        <v>1829.1643860000001</v>
      </c>
      <c r="W25" s="453">
        <f t="shared" si="4"/>
        <v>1836.1643860000001</v>
      </c>
      <c r="X25" s="453">
        <f t="shared" si="4"/>
        <v>1843.1643860000001</v>
      </c>
      <c r="Y25" s="453">
        <f t="shared" si="4"/>
        <v>1888.1239260000002</v>
      </c>
      <c r="Z25" s="453">
        <f t="shared" si="4"/>
        <v>1895.1239260000002</v>
      </c>
      <c r="AA25" s="453">
        <f t="shared" si="4"/>
        <v>1902.1239260000002</v>
      </c>
      <c r="AB25" s="453">
        <f t="shared" si="4"/>
        <v>1909.1239260000002</v>
      </c>
      <c r="AC25" s="480">
        <f t="shared" si="4"/>
        <v>1942.0702860000001</v>
      </c>
    </row>
    <row r="26" spans="2:101" s="1174" customFormat="1" ht="44.9" customHeight="1" x14ac:dyDescent="0.35">
      <c r="B26" s="1362" t="s">
        <v>1268</v>
      </c>
      <c r="D26" s="1363"/>
      <c r="E26" s="1364"/>
      <c r="F26" s="1364"/>
      <c r="G26" s="1364"/>
      <c r="H26" s="1364"/>
      <c r="I26" s="1364"/>
      <c r="J26" s="1364"/>
      <c r="K26" s="1364"/>
      <c r="L26" s="1364"/>
      <c r="M26" s="1364"/>
      <c r="N26" s="1364"/>
      <c r="O26" s="1364"/>
      <c r="P26" s="1364"/>
      <c r="Q26" s="1364"/>
      <c r="R26" s="1364"/>
      <c r="S26" s="1365">
        <f>'IRA and CHIPS'!E191</f>
        <v>-0.622</v>
      </c>
      <c r="T26" s="1366">
        <f>'IRA and CHIPS'!F191</f>
        <v>21.89</v>
      </c>
      <c r="U26" s="1367">
        <f>'IRA and CHIPS'!G191</f>
        <v>21.89</v>
      </c>
      <c r="V26" s="1367">
        <f>'IRA and CHIPS'!H191</f>
        <v>21.89</v>
      </c>
      <c r="W26" s="1367">
        <f>'IRA and CHIPS'!I191</f>
        <v>21.89</v>
      </c>
      <c r="X26" s="1367">
        <f>'IRA and CHIPS'!J191</f>
        <v>15.439</v>
      </c>
      <c r="Y26" s="1367">
        <f>'IRA and CHIPS'!K191</f>
        <v>15.439</v>
      </c>
      <c r="Z26" s="1367">
        <f>'IRA and CHIPS'!L191</f>
        <v>15.439</v>
      </c>
      <c r="AA26" s="1367">
        <f>'IRA and CHIPS'!M191</f>
        <v>15.439</v>
      </c>
      <c r="AB26" s="1367">
        <f>'IRA and CHIPS'!N191</f>
        <v>16.966999999999999</v>
      </c>
      <c r="AC26" s="1368">
        <f>'IRA and CHIPS'!O191</f>
        <v>16.966999999999999</v>
      </c>
    </row>
    <row r="27" spans="2:101" ht="31.4" customHeight="1" x14ac:dyDescent="0.35">
      <c r="B27" s="544" t="s">
        <v>855</v>
      </c>
      <c r="C27" s="273"/>
      <c r="D27" s="528">
        <f t="shared" ref="D27:R27" si="5">D25+SUM(D20:D23)+D26</f>
        <v>1441.2</v>
      </c>
      <c r="E27" s="528">
        <f t="shared" si="5"/>
        <v>1501.4</v>
      </c>
      <c r="F27" s="528">
        <f t="shared" si="5"/>
        <v>1506.7</v>
      </c>
      <c r="G27" s="528">
        <f t="shared" si="5"/>
        <v>1513.7</v>
      </c>
      <c r="H27" s="528">
        <f t="shared" si="5"/>
        <v>1522.4000000000003</v>
      </c>
      <c r="I27" s="528">
        <f t="shared" si="5"/>
        <v>1571.5</v>
      </c>
      <c r="J27" s="528">
        <f t="shared" si="5"/>
        <v>1644.1999999999998</v>
      </c>
      <c r="K27" s="528">
        <f t="shared" si="5"/>
        <v>1803.4</v>
      </c>
      <c r="L27" s="528">
        <f t="shared" si="5"/>
        <v>1696.0999999999997</v>
      </c>
      <c r="M27" s="528">
        <f t="shared" si="5"/>
        <v>1725.9</v>
      </c>
      <c r="N27" s="528">
        <f t="shared" si="5"/>
        <v>1734.2781600000001</v>
      </c>
      <c r="O27" s="528">
        <f t="shared" si="5"/>
        <v>1906.0298400000004</v>
      </c>
      <c r="P27" s="528">
        <f t="shared" si="5"/>
        <v>1884.7240000000002</v>
      </c>
      <c r="Q27" s="528">
        <f t="shared" si="5"/>
        <v>1832.0239999999999</v>
      </c>
      <c r="R27" s="528">
        <f t="shared" si="5"/>
        <v>1823.624</v>
      </c>
      <c r="S27" s="528">
        <f>S25+SUM(S20:S23)+S26</f>
        <v>1820.1019999999999</v>
      </c>
      <c r="T27" s="528">
        <f t="shared" ref="T27" si="6">T25+SUM(T20:T23)+T26</f>
        <v>1903.3740000000003</v>
      </c>
      <c r="U27" s="536">
        <f t="shared" ref="U27" si="7">U25+SUM(U20:U23)+U26</f>
        <v>1953.929241</v>
      </c>
      <c r="V27" s="536">
        <f t="shared" ref="V27" si="8">V25+SUM(V20:V23)+V26</f>
        <v>1960.929241</v>
      </c>
      <c r="W27" s="536">
        <f t="shared" ref="W27" si="9">W25+SUM(W20:W23)+W26</f>
        <v>1967.929241</v>
      </c>
      <c r="X27" s="536">
        <f t="shared" ref="X27" si="10">X25+SUM(X20:X23)+X26</f>
        <v>1968.478241</v>
      </c>
      <c r="Y27" s="536">
        <f t="shared" ref="Y27" si="11">Y25+SUM(Y20:Y23)+Y26</f>
        <v>2013.4377810000001</v>
      </c>
      <c r="Z27" s="536">
        <f t="shared" ref="Z27" si="12">Z25+SUM(Z20:Z23)+Z26</f>
        <v>2020.4377810000001</v>
      </c>
      <c r="AA27" s="536">
        <f t="shared" ref="AA27" si="13">AA25+SUM(AA20:AA23)+AA26</f>
        <v>2027.4377810000001</v>
      </c>
      <c r="AB27" s="536">
        <f t="shared" ref="AB27" si="14">AB25+SUM(AB20:AB23)+AB26</f>
        <v>2035.9657810000001</v>
      </c>
      <c r="AC27" s="536">
        <f t="shared" ref="AC27" si="15">AC25+SUM(AC20:AC23)+AC26</f>
        <v>2068.9121410000002</v>
      </c>
    </row>
    <row r="28" spans="2:101" ht="31.4" customHeight="1" x14ac:dyDescent="0.35">
      <c r="B28" s="1528" t="s">
        <v>523</v>
      </c>
      <c r="C28" s="1529"/>
      <c r="D28" s="530"/>
      <c r="E28" s="531"/>
      <c r="F28" s="531"/>
      <c r="G28" s="531"/>
      <c r="H28" s="531"/>
      <c r="I28" s="531"/>
      <c r="J28" s="531"/>
      <c r="K28" s="531"/>
      <c r="L28" s="531"/>
      <c r="M28" s="531"/>
      <c r="N28" s="531"/>
      <c r="O28" s="531"/>
      <c r="P28" s="531"/>
      <c r="Q28" s="531"/>
      <c r="R28" s="531"/>
      <c r="S28" s="531"/>
      <c r="T28" s="630"/>
      <c r="U28" s="536"/>
      <c r="V28" s="536"/>
      <c r="W28" s="536"/>
      <c r="X28" s="536"/>
      <c r="Y28" s="536"/>
      <c r="Z28" s="536"/>
      <c r="AA28" s="536"/>
      <c r="AB28" s="536"/>
      <c r="AC28" s="642"/>
    </row>
    <row r="29" spans="2:101" x14ac:dyDescent="0.35">
      <c r="B29" s="462" t="s">
        <v>861</v>
      </c>
      <c r="C29" s="171" t="s">
        <v>524</v>
      </c>
      <c r="D29" s="298">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83">
        <f>'Haver Pivoted'!HD37</f>
        <v>982.9</v>
      </c>
      <c r="T29" s="1120">
        <f>'Haver Pivoted'!HE37</f>
        <v>1033.7</v>
      </c>
      <c r="U29" s="639"/>
      <c r="V29" s="639"/>
      <c r="W29" s="639"/>
      <c r="X29" s="639"/>
      <c r="Y29" s="639"/>
      <c r="Z29" s="639"/>
      <c r="AA29" s="639"/>
      <c r="AB29" s="639"/>
      <c r="AC29" s="662"/>
    </row>
    <row r="30" spans="2:101" x14ac:dyDescent="0.35">
      <c r="B30" s="194" t="s">
        <v>209</v>
      </c>
      <c r="C30" s="171"/>
      <c r="D30" s="561">
        <f>Medicaid!D27</f>
        <v>589.5</v>
      </c>
      <c r="E30" s="435">
        <f>Medicaid!E27</f>
        <v>598.70000000000005</v>
      </c>
      <c r="F30" s="435">
        <f>Medicaid!F27</f>
        <v>614.4</v>
      </c>
      <c r="G30" s="435">
        <f>Medicaid!G27</f>
        <v>622.4</v>
      </c>
      <c r="H30" s="435">
        <f>Medicaid!H27</f>
        <v>620.70000000000005</v>
      </c>
      <c r="I30" s="435">
        <f>Medicaid!I27</f>
        <v>606.6</v>
      </c>
      <c r="J30" s="435">
        <f>Medicaid!J27</f>
        <v>654.70000000000005</v>
      </c>
      <c r="K30" s="435">
        <f>Medicaid!K27</f>
        <v>690.7</v>
      </c>
      <c r="L30" s="435">
        <f>Medicaid!L27</f>
        <v>678.3</v>
      </c>
      <c r="M30" s="435">
        <f>Medicaid!M27</f>
        <v>704.4</v>
      </c>
      <c r="N30" s="435">
        <f>Medicaid!N27</f>
        <v>744.8</v>
      </c>
      <c r="O30" s="435">
        <f>Medicaid!O27</f>
        <v>748.2</v>
      </c>
      <c r="P30" s="435">
        <f>Medicaid!P27</f>
        <v>745</v>
      </c>
      <c r="Q30" s="435">
        <f>Medicaid!Q27</f>
        <v>763.1</v>
      </c>
      <c r="R30" s="435">
        <f>Medicaid!R27</f>
        <v>789.5</v>
      </c>
      <c r="S30" s="83">
        <f>Medicaid!S27</f>
        <v>786.1</v>
      </c>
      <c r="T30" s="627">
        <f>Medicaid!T27</f>
        <v>784.6</v>
      </c>
      <c r="U30" s="453">
        <f>Medicaid!U27</f>
        <v>786.22859405082568</v>
      </c>
      <c r="V30" s="453">
        <f>Medicaid!V27</f>
        <v>787.86056857397148</v>
      </c>
      <c r="W30" s="453">
        <f>Medicaid!W27</f>
        <v>789.49593058628307</v>
      </c>
      <c r="X30" s="453">
        <f>Medicaid!X27</f>
        <v>779.83155088112517</v>
      </c>
      <c r="Y30" s="453">
        <f>Medicaid!Y27</f>
        <v>770.28547480676127</v>
      </c>
      <c r="Z30" s="453">
        <f>Medicaid!Z27</f>
        <v>760.85625418446853</v>
      </c>
      <c r="AA30" s="453">
        <f>Medicaid!AA27</f>
        <v>751.54245856297325</v>
      </c>
      <c r="AB30" s="453">
        <f>Medicaid!AB27</f>
        <v>742.34267500144574</v>
      </c>
      <c r="AC30" s="480">
        <f>Medicaid!AC27</f>
        <v>733.25550785515156</v>
      </c>
    </row>
    <row r="31" spans="2:101" ht="14.9" customHeight="1" x14ac:dyDescent="0.35">
      <c r="B31" s="544" t="s">
        <v>862</v>
      </c>
      <c r="C31" s="273"/>
      <c r="D31" s="560">
        <f>D29-D30</f>
        <v>144.79999999999995</v>
      </c>
      <c r="E31" s="528">
        <f t="shared" ref="E31:O31" si="16">E29-E30</f>
        <v>146.5</v>
      </c>
      <c r="F31" s="528">
        <f t="shared" si="16"/>
        <v>148.80000000000007</v>
      </c>
      <c r="G31" s="528">
        <f t="shared" si="16"/>
        <v>151.10000000000002</v>
      </c>
      <c r="H31" s="528">
        <f t="shared" si="16"/>
        <v>153.09999999999991</v>
      </c>
      <c r="I31" s="528">
        <f t="shared" si="16"/>
        <v>155.79999999999995</v>
      </c>
      <c r="J31" s="528">
        <f t="shared" si="16"/>
        <v>158.59999999999991</v>
      </c>
      <c r="K31" s="528">
        <f t="shared" si="16"/>
        <v>161.19999999999993</v>
      </c>
      <c r="L31" s="528">
        <f t="shared" si="16"/>
        <v>162.30000000000007</v>
      </c>
      <c r="M31" s="528">
        <f t="shared" si="16"/>
        <v>163.60000000000002</v>
      </c>
      <c r="N31" s="528">
        <f t="shared" si="16"/>
        <v>165.30000000000007</v>
      </c>
      <c r="O31" s="528">
        <f t="shared" si="16"/>
        <v>169.89999999999998</v>
      </c>
      <c r="P31" s="528">
        <f>P29-P30</f>
        <v>170.20000000000005</v>
      </c>
      <c r="Q31" s="528">
        <f>Q29-Q30</f>
        <v>171.60000000000002</v>
      </c>
      <c r="R31" s="528">
        <f>R29-R30</f>
        <v>173.20000000000005</v>
      </c>
      <c r="S31" s="83">
        <f>S29-S30</f>
        <v>196.79999999999995</v>
      </c>
      <c r="T31" s="1120">
        <f>T29-T30</f>
        <v>249.10000000000002</v>
      </c>
      <c r="U31" s="536">
        <f>T31*(1+AVERAGE($F$33:$I$33))+U32</f>
        <v>182.96282157770224</v>
      </c>
      <c r="V31" s="536">
        <f t="shared" ref="V31:AC31" si="17">U31*(1+AVERAGE($F$33:$I$33))</f>
        <v>185.80004652795367</v>
      </c>
      <c r="W31" s="536">
        <f t="shared" si="17"/>
        <v>188.68126864303298</v>
      </c>
      <c r="X31" s="536">
        <f t="shared" si="17"/>
        <v>191.60717019189906</v>
      </c>
      <c r="Y31" s="536">
        <f t="shared" si="17"/>
        <v>194.57844402353186</v>
      </c>
      <c r="Z31" s="536">
        <f t="shared" si="17"/>
        <v>197.59579373099803</v>
      </c>
      <c r="AA31" s="536">
        <f t="shared" si="17"/>
        <v>200.65993381806064</v>
      </c>
      <c r="AB31" s="536">
        <f t="shared" si="17"/>
        <v>203.77158986837259</v>
      </c>
      <c r="AC31" s="642">
        <f t="shared" si="17"/>
        <v>206.93149871729366</v>
      </c>
    </row>
    <row r="32" spans="2:101" ht="14.9" customHeight="1" x14ac:dyDescent="0.35">
      <c r="B32" s="544" t="s">
        <v>1788</v>
      </c>
      <c r="C32" s="273"/>
      <c r="D32" s="560"/>
      <c r="E32" s="528"/>
      <c r="F32" s="528"/>
      <c r="G32" s="528"/>
      <c r="H32" s="528"/>
      <c r="I32" s="528"/>
      <c r="J32" s="528"/>
      <c r="K32" s="528"/>
      <c r="L32" s="528"/>
      <c r="M32" s="528"/>
      <c r="N32" s="528"/>
      <c r="O32" s="528"/>
      <c r="P32" s="528"/>
      <c r="Q32" s="528"/>
      <c r="R32" s="528"/>
      <c r="S32" s="83"/>
      <c r="T32" s="534"/>
      <c r="U32" s="536">
        <v>-70</v>
      </c>
      <c r="V32" s="536"/>
      <c r="W32" s="536"/>
      <c r="X32" s="536"/>
      <c r="Y32" s="536"/>
      <c r="Z32" s="536"/>
      <c r="AA32" s="536"/>
      <c r="AB32" s="536"/>
      <c r="AC32" s="642"/>
    </row>
    <row r="33" spans="2:29" x14ac:dyDescent="0.35">
      <c r="B33" s="590" t="s">
        <v>863</v>
      </c>
      <c r="C33" s="280"/>
      <c r="D33" s="562"/>
      <c r="E33" s="542">
        <f>E31/D31-1</f>
        <v>1.1740331491713052E-2</v>
      </c>
      <c r="F33" s="542">
        <f t="shared" ref="F33:N33" si="18">F31/E31-1</f>
        <v>1.5699658703072217E-2</v>
      </c>
      <c r="G33" s="542">
        <f t="shared" si="18"/>
        <v>1.5456989247311537E-2</v>
      </c>
      <c r="H33" s="542">
        <f t="shared" si="18"/>
        <v>1.3236267372600086E-2</v>
      </c>
      <c r="I33" s="542">
        <f t="shared" si="18"/>
        <v>1.7635532331809589E-2</v>
      </c>
      <c r="J33" s="542">
        <f t="shared" si="18"/>
        <v>1.7971758664954818E-2</v>
      </c>
      <c r="K33" s="542">
        <f t="shared" si="18"/>
        <v>1.639344262295106E-2</v>
      </c>
      <c r="L33" s="542">
        <f t="shared" si="18"/>
        <v>6.823821339951186E-3</v>
      </c>
      <c r="M33" s="542">
        <f t="shared" si="18"/>
        <v>8.0098582871224178E-3</v>
      </c>
      <c r="N33" s="542">
        <f t="shared" si="18"/>
        <v>1.0391198044010119E-2</v>
      </c>
      <c r="O33" s="542">
        <f>O31/N31-1</f>
        <v>2.7828191167573513E-2</v>
      </c>
      <c r="P33" s="542">
        <f t="shared" ref="P33:S33" si="19">P31/O31-1</f>
        <v>1.7657445556213958E-3</v>
      </c>
      <c r="Q33" s="542">
        <f t="shared" si="19"/>
        <v>8.2256169212688857E-3</v>
      </c>
      <c r="R33" s="542">
        <f t="shared" si="19"/>
        <v>9.3240093240094524E-3</v>
      </c>
      <c r="S33" s="227">
        <f t="shared" si="19"/>
        <v>0.13625866050808266</v>
      </c>
      <c r="T33" s="535"/>
      <c r="U33" s="555"/>
      <c r="V33" s="555"/>
      <c r="W33" s="555"/>
      <c r="X33" s="555"/>
      <c r="Y33" s="555"/>
      <c r="Z33" s="555"/>
      <c r="AA33" s="555"/>
      <c r="AB33" s="555"/>
      <c r="AC33" s="556"/>
    </row>
    <row r="36" spans="2:29" x14ac:dyDescent="0.35">
      <c r="P36" s="456"/>
      <c r="Q36" s="456"/>
    </row>
    <row r="37" spans="2:29" x14ac:dyDescent="0.35">
      <c r="B37" s="196" t="s">
        <v>399</v>
      </c>
      <c r="D37" s="435"/>
      <c r="E37" s="435"/>
      <c r="F37" s="435"/>
      <c r="G37" s="435"/>
      <c r="H37" s="435"/>
      <c r="I37" s="435"/>
      <c r="J37" s="435"/>
      <c r="K37" s="435"/>
      <c r="L37" s="435"/>
      <c r="M37" s="435"/>
      <c r="N37" s="435"/>
      <c r="O37" s="435"/>
      <c r="P37" s="435"/>
      <c r="Q37" s="435"/>
      <c r="R37" s="435"/>
      <c r="S37" s="435"/>
      <c r="T37" s="435"/>
      <c r="U37" s="435"/>
      <c r="V37" s="435"/>
      <c r="W37" s="435"/>
      <c r="X37" s="435"/>
      <c r="Y37" s="435"/>
      <c r="Z37" s="435"/>
      <c r="AA37" s="435"/>
      <c r="AB37" s="435"/>
      <c r="AC37" s="435"/>
    </row>
    <row r="38" spans="2:29" ht="45.75" customHeight="1" x14ac:dyDescent="0.35">
      <c r="B38" s="1530" t="s">
        <v>527</v>
      </c>
      <c r="C38" s="1530"/>
      <c r="D38" s="1530"/>
      <c r="E38" s="1530"/>
      <c r="F38" s="1530"/>
      <c r="G38" s="1530"/>
      <c r="H38" s="1530"/>
      <c r="I38" s="1530"/>
      <c r="J38" s="1530"/>
      <c r="K38" s="1530"/>
      <c r="L38" s="1530"/>
      <c r="M38" s="1530"/>
      <c r="N38" s="1530"/>
      <c r="O38" s="1530"/>
      <c r="P38" s="1530"/>
      <c r="Q38" s="1530"/>
      <c r="R38" s="1530"/>
      <c r="S38" s="1530"/>
      <c r="T38" s="1530"/>
      <c r="U38" s="1530"/>
      <c r="V38" s="1530"/>
      <c r="W38" s="1530"/>
      <c r="X38" s="1530"/>
      <c r="Y38" s="1530"/>
      <c r="Z38" s="1530"/>
      <c r="AA38" s="1530"/>
      <c r="AB38" s="1530"/>
      <c r="AC38" s="1530"/>
    </row>
    <row r="39" spans="2:29" ht="14.9" customHeight="1" x14ac:dyDescent="0.35">
      <c r="B39" s="1439" t="s">
        <v>528</v>
      </c>
      <c r="C39" s="1440"/>
      <c r="D39" s="1447" t="s">
        <v>325</v>
      </c>
      <c r="E39" s="1448"/>
      <c r="F39" s="1448"/>
      <c r="G39" s="1448"/>
      <c r="H39" s="1448"/>
      <c r="I39" s="1448"/>
      <c r="J39" s="1448"/>
      <c r="K39" s="1448"/>
      <c r="L39" s="1448"/>
      <c r="M39" s="1448"/>
      <c r="N39" s="1448"/>
      <c r="O39" s="1448"/>
      <c r="P39" s="1448"/>
      <c r="Q39" s="1456"/>
      <c r="R39" s="1456"/>
      <c r="S39" s="1456"/>
      <c r="T39" s="1438"/>
      <c r="U39" s="1451" t="s">
        <v>326</v>
      </c>
      <c r="V39" s="1451"/>
      <c r="W39" s="1451"/>
      <c r="X39" s="1451"/>
      <c r="Y39" s="1451"/>
      <c r="Z39" s="1451"/>
      <c r="AA39" s="1451"/>
      <c r="AB39" s="1451"/>
      <c r="AC39" s="1452"/>
    </row>
    <row r="40" spans="2:29" x14ac:dyDescent="0.35">
      <c r="B40" s="1439"/>
      <c r="C40" s="1440"/>
      <c r="D40" s="133">
        <v>2018</v>
      </c>
      <c r="E40" s="1418">
        <v>2019</v>
      </c>
      <c r="F40" s="1435"/>
      <c r="G40" s="1435"/>
      <c r="H40" s="1436"/>
      <c r="I40" s="1418">
        <v>2020</v>
      </c>
      <c r="J40" s="1435"/>
      <c r="K40" s="1435"/>
      <c r="L40" s="1435"/>
      <c r="M40" s="1418">
        <v>2021</v>
      </c>
      <c r="N40" s="1435"/>
      <c r="O40" s="1435"/>
      <c r="P40" s="1435"/>
      <c r="Q40" s="1418">
        <v>2022</v>
      </c>
      <c r="R40" s="1419"/>
      <c r="S40" s="1419"/>
      <c r="T40" s="1436"/>
      <c r="U40" s="1441">
        <v>2023</v>
      </c>
      <c r="V40" s="1442"/>
      <c r="W40" s="1442"/>
      <c r="X40" s="1442"/>
      <c r="Y40" s="1444">
        <v>2024</v>
      </c>
      <c r="Z40" s="1442"/>
      <c r="AA40" s="1442"/>
      <c r="AB40" s="1443"/>
      <c r="AC40" s="274">
        <v>2025</v>
      </c>
    </row>
    <row r="41" spans="2:29" x14ac:dyDescent="0.35">
      <c r="B41" s="1454"/>
      <c r="C41" s="1455"/>
      <c r="D41" s="137" t="s">
        <v>327</v>
      </c>
      <c r="E41" s="137" t="s">
        <v>328</v>
      </c>
      <c r="F41" s="150" t="s">
        <v>329</v>
      </c>
      <c r="G41" s="150" t="s">
        <v>238</v>
      </c>
      <c r="H41" s="226" t="s">
        <v>327</v>
      </c>
      <c r="I41" s="150" t="s">
        <v>328</v>
      </c>
      <c r="J41" s="150" t="s">
        <v>329</v>
      </c>
      <c r="K41" s="150" t="s">
        <v>238</v>
      </c>
      <c r="L41" s="150" t="s">
        <v>327</v>
      </c>
      <c r="M41" s="137" t="s">
        <v>328</v>
      </c>
      <c r="N41" s="150" t="s">
        <v>329</v>
      </c>
      <c r="O41" s="150" t="s">
        <v>238</v>
      </c>
      <c r="P41" s="150" t="s">
        <v>327</v>
      </c>
      <c r="Q41" s="137" t="s">
        <v>328</v>
      </c>
      <c r="R41" s="150" t="s">
        <v>329</v>
      </c>
      <c r="S41" s="150" t="s">
        <v>238</v>
      </c>
      <c r="T41" s="226" t="s">
        <v>327</v>
      </c>
      <c r="U41" s="310" t="s">
        <v>328</v>
      </c>
      <c r="V41" s="310" t="s">
        <v>329</v>
      </c>
      <c r="W41" s="310" t="s">
        <v>238</v>
      </c>
      <c r="X41" s="310" t="s">
        <v>327</v>
      </c>
      <c r="Y41" s="379" t="s">
        <v>328</v>
      </c>
      <c r="Z41" s="267" t="s">
        <v>329</v>
      </c>
      <c r="AA41" s="310" t="s">
        <v>238</v>
      </c>
      <c r="AB41" s="155" t="s">
        <v>327</v>
      </c>
      <c r="AC41" s="404" t="s">
        <v>328</v>
      </c>
    </row>
    <row r="42" spans="2:29" x14ac:dyDescent="0.35">
      <c r="B42" s="194" t="s">
        <v>1526</v>
      </c>
      <c r="D42" s="263"/>
      <c r="E42" s="264"/>
      <c r="F42" s="264"/>
      <c r="G42" s="264"/>
      <c r="H42" s="264"/>
      <c r="I42" s="524">
        <f>(I43-AVERAGE($E43:$H43))</f>
        <v>5.0234999999999914</v>
      </c>
      <c r="J42" s="524">
        <f t="shared" ref="J42:N42" si="20">(J43-AVERAGE($E43:$H43))</f>
        <v>45.406499999999987</v>
      </c>
      <c r="K42" s="524">
        <f t="shared" si="20"/>
        <v>50.178499999999993</v>
      </c>
      <c r="L42" s="524">
        <f t="shared" si="20"/>
        <v>60.014499999999991</v>
      </c>
      <c r="M42" s="524">
        <f t="shared" si="20"/>
        <v>86.04249999999999</v>
      </c>
      <c r="N42" s="524">
        <f t="shared" si="20"/>
        <v>100.69149999999999</v>
      </c>
      <c r="O42" s="524">
        <f t="shared" ref="O42:T42" si="21">(O43-AVERAGE($E43:$H43))</f>
        <v>95.460499999999996</v>
      </c>
      <c r="P42" s="524">
        <f t="shared" si="21"/>
        <v>100.72550000000001</v>
      </c>
      <c r="Q42" s="524">
        <f t="shared" si="21"/>
        <v>80.643499999999989</v>
      </c>
      <c r="R42" s="524">
        <f t="shared" si="21"/>
        <v>63.702499999999993</v>
      </c>
      <c r="S42" s="525">
        <f t="shared" si="21"/>
        <v>56.879499999999986</v>
      </c>
      <c r="T42" s="526">
        <f t="shared" si="21"/>
        <v>68.868499999999983</v>
      </c>
      <c r="U42" s="641">
        <f t="shared" ref="U42" si="22">T42*0.95</f>
        <v>65.425074999999978</v>
      </c>
      <c r="V42" s="641">
        <f>U42</f>
        <v>65.425074999999978</v>
      </c>
      <c r="W42" s="641">
        <f t="shared" ref="W42:AC42" si="23">V42</f>
        <v>65.425074999999978</v>
      </c>
      <c r="X42" s="641">
        <f t="shared" si="23"/>
        <v>65.425074999999978</v>
      </c>
      <c r="Y42" s="641">
        <f t="shared" si="23"/>
        <v>65.425074999999978</v>
      </c>
      <c r="Z42" s="641">
        <f t="shared" si="23"/>
        <v>65.425074999999978</v>
      </c>
      <c r="AA42" s="641">
        <f t="shared" si="23"/>
        <v>65.425074999999978</v>
      </c>
      <c r="AB42" s="641">
        <f t="shared" si="23"/>
        <v>65.425074999999978</v>
      </c>
      <c r="AC42" s="641">
        <f t="shared" si="23"/>
        <v>65.425074999999978</v>
      </c>
    </row>
    <row r="43" spans="2:29" x14ac:dyDescent="0.35">
      <c r="B43" s="194" t="s">
        <v>160</v>
      </c>
      <c r="C43" s="171" t="s">
        <v>529</v>
      </c>
      <c r="D43" s="298">
        <f>'Haver Pivoted'!GO66</f>
        <v>57.347000000000001</v>
      </c>
      <c r="E43" s="159">
        <f>'Haver Pivoted'!GP66</f>
        <v>56.009</v>
      </c>
      <c r="F43" s="159">
        <f>'Haver Pivoted'!GQ66</f>
        <v>54.273000000000003</v>
      </c>
      <c r="G43" s="159">
        <f>'Haver Pivoted'!GR66</f>
        <v>54.103999999999999</v>
      </c>
      <c r="H43" s="159">
        <f>'Haver Pivoted'!GS66</f>
        <v>54.46</v>
      </c>
      <c r="I43" s="159">
        <f>'Haver Pivoted'!GT66</f>
        <v>59.734999999999999</v>
      </c>
      <c r="J43" s="159">
        <f>'Haver Pivoted'!GU66</f>
        <v>100.11799999999999</v>
      </c>
      <c r="K43" s="159">
        <f>'Haver Pivoted'!GV66</f>
        <v>104.89</v>
      </c>
      <c r="L43" s="159">
        <f>'Haver Pivoted'!GW66</f>
        <v>114.726</v>
      </c>
      <c r="M43" s="159">
        <f>'Haver Pivoted'!GX66</f>
        <v>140.75399999999999</v>
      </c>
      <c r="N43" s="159">
        <f>'Haver Pivoted'!GY66</f>
        <v>155.40299999999999</v>
      </c>
      <c r="O43" s="159">
        <f>'Haver Pivoted'!GZ66</f>
        <v>150.172</v>
      </c>
      <c r="P43" s="159">
        <f>'Haver Pivoted'!HA66</f>
        <v>155.43700000000001</v>
      </c>
      <c r="Q43" s="159">
        <f>'Haver Pivoted'!HB66</f>
        <v>135.35499999999999</v>
      </c>
      <c r="R43" s="159">
        <f>'Haver Pivoted'!HC66</f>
        <v>118.414</v>
      </c>
      <c r="S43" s="150">
        <f>'Haver Pivoted'!HD66</f>
        <v>111.59099999999999</v>
      </c>
      <c r="T43" s="226">
        <f>'Haver Pivoted'!HE66</f>
        <v>123.58</v>
      </c>
      <c r="U43" s="310"/>
      <c r="V43" s="310"/>
      <c r="W43" s="310"/>
      <c r="X43" s="310"/>
      <c r="Y43" s="310"/>
      <c r="Z43" s="310"/>
      <c r="AA43" s="310"/>
      <c r="AB43" s="310"/>
      <c r="AC43" s="155"/>
    </row>
    <row r="44" spans="2:29" ht="29.15" customHeight="1" x14ac:dyDescent="0.35">
      <c r="B44" s="167" t="s">
        <v>530</v>
      </c>
      <c r="C44" s="280"/>
      <c r="D44" s="299"/>
      <c r="E44" s="173"/>
      <c r="F44" s="173"/>
      <c r="G44" s="173"/>
      <c r="H44" s="173"/>
      <c r="I44" s="173"/>
      <c r="J44" s="173">
        <f t="shared" ref="J44:T44" si="24">J43-$H43</f>
        <v>45.657999999999994</v>
      </c>
      <c r="K44" s="173">
        <f t="shared" si="24"/>
        <v>50.43</v>
      </c>
      <c r="L44" s="173">
        <f t="shared" si="24"/>
        <v>60.265999999999998</v>
      </c>
      <c r="M44" s="173">
        <f t="shared" si="24"/>
        <v>86.293999999999983</v>
      </c>
      <c r="N44" s="173">
        <f>N43-$H43</f>
        <v>100.94299999999998</v>
      </c>
      <c r="O44" s="173">
        <f>O43-$H43</f>
        <v>95.711999999999989</v>
      </c>
      <c r="P44" s="173">
        <f t="shared" si="24"/>
        <v>100.977</v>
      </c>
      <c r="Q44" s="173">
        <f t="shared" si="24"/>
        <v>80.894999999999982</v>
      </c>
      <c r="R44" s="173">
        <f t="shared" si="24"/>
        <v>63.954000000000001</v>
      </c>
      <c r="S44" s="192">
        <f t="shared" si="24"/>
        <v>57.130999999999993</v>
      </c>
      <c r="T44" s="172">
        <f t="shared" si="24"/>
        <v>69.12</v>
      </c>
      <c r="U44" s="290"/>
      <c r="V44" s="290"/>
      <c r="W44" s="290"/>
      <c r="X44" s="290"/>
      <c r="Y44" s="290"/>
      <c r="Z44" s="290"/>
      <c r="AA44" s="290"/>
      <c r="AB44" s="290"/>
      <c r="AC44" s="291"/>
    </row>
    <row r="45" spans="2:29" ht="29.15" customHeight="1" x14ac:dyDescent="0.35">
      <c r="B45" s="171"/>
      <c r="C45" s="171"/>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row>
    <row r="46" spans="2:29" ht="29.15" customHeight="1" x14ac:dyDescent="0.35">
      <c r="B46" s="171"/>
      <c r="C46" s="171"/>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row>
    <row r="47" spans="2:29" ht="29.15" customHeight="1" x14ac:dyDescent="0.35">
      <c r="B47" s="171"/>
      <c r="C47" s="171"/>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row>
    <row r="48" spans="2:29" ht="35.9" customHeight="1" x14ac:dyDescent="0.35"/>
    <row r="49" spans="2:29" x14ac:dyDescent="0.35">
      <c r="B49" s="196" t="s">
        <v>412</v>
      </c>
    </row>
    <row r="50" spans="2:29" x14ac:dyDescent="0.35">
      <c r="B50" s="1531" t="s">
        <v>860</v>
      </c>
      <c r="C50" s="1532"/>
      <c r="D50" s="1447" t="s">
        <v>325</v>
      </c>
      <c r="E50" s="1448"/>
      <c r="F50" s="1448"/>
      <c r="G50" s="1448"/>
      <c r="H50" s="1448"/>
      <c r="I50" s="1448"/>
      <c r="J50" s="1448"/>
      <c r="K50" s="1448"/>
      <c r="L50" s="1448"/>
      <c r="M50" s="1448"/>
      <c r="N50" s="1448"/>
      <c r="O50" s="1448"/>
      <c r="P50" s="1448"/>
      <c r="Q50" s="1456"/>
      <c r="R50" s="1456"/>
      <c r="S50" s="1456"/>
      <c r="T50" s="1438"/>
      <c r="U50" s="1451" t="s">
        <v>326</v>
      </c>
      <c r="V50" s="1451"/>
      <c r="W50" s="1451"/>
      <c r="X50" s="1451"/>
      <c r="Y50" s="1451"/>
      <c r="Z50" s="1451"/>
      <c r="AA50" s="1451"/>
      <c r="AB50" s="1451"/>
      <c r="AC50" s="1452"/>
    </row>
    <row r="51" spans="2:29" x14ac:dyDescent="0.35">
      <c r="B51" s="1533"/>
      <c r="C51" s="1534"/>
      <c r="D51" s="133">
        <v>2018</v>
      </c>
      <c r="E51" s="1418">
        <v>2019</v>
      </c>
      <c r="F51" s="1435"/>
      <c r="G51" s="1435"/>
      <c r="H51" s="1436"/>
      <c r="I51" s="1418">
        <v>2020</v>
      </c>
      <c r="J51" s="1435"/>
      <c r="K51" s="1435"/>
      <c r="L51" s="1435"/>
      <c r="M51" s="1418">
        <v>2021</v>
      </c>
      <c r="N51" s="1435"/>
      <c r="O51" s="1435"/>
      <c r="P51" s="1435"/>
      <c r="Q51" s="1418">
        <v>2022</v>
      </c>
      <c r="R51" s="1419"/>
      <c r="S51" s="1419"/>
      <c r="T51" s="1436"/>
      <c r="U51" s="1441">
        <v>2023</v>
      </c>
      <c r="V51" s="1442"/>
      <c r="W51" s="1442"/>
      <c r="X51" s="1442"/>
      <c r="Y51" s="1444">
        <v>2024</v>
      </c>
      <c r="Z51" s="1442"/>
      <c r="AA51" s="1442"/>
      <c r="AB51" s="1443"/>
      <c r="AC51" s="274">
        <v>2025</v>
      </c>
    </row>
    <row r="52" spans="2:29" x14ac:dyDescent="0.35">
      <c r="B52" s="1533"/>
      <c r="C52" s="1534"/>
      <c r="D52" s="137" t="s">
        <v>327</v>
      </c>
      <c r="E52" s="137" t="s">
        <v>328</v>
      </c>
      <c r="F52" s="150" t="s">
        <v>329</v>
      </c>
      <c r="G52" s="150" t="s">
        <v>238</v>
      </c>
      <c r="H52" s="226" t="s">
        <v>327</v>
      </c>
      <c r="I52" s="150" t="s">
        <v>328</v>
      </c>
      <c r="J52" s="150" t="s">
        <v>329</v>
      </c>
      <c r="K52" s="150" t="s">
        <v>238</v>
      </c>
      <c r="L52" s="150" t="s">
        <v>327</v>
      </c>
      <c r="M52" s="137" t="s">
        <v>328</v>
      </c>
      <c r="N52" s="150" t="s">
        <v>329</v>
      </c>
      <c r="O52" s="150" t="s">
        <v>238</v>
      </c>
      <c r="P52" s="150" t="s">
        <v>327</v>
      </c>
      <c r="Q52" s="137" t="s">
        <v>328</v>
      </c>
      <c r="R52" s="150" t="s">
        <v>329</v>
      </c>
      <c r="S52" s="150" t="s">
        <v>238</v>
      </c>
      <c r="T52" s="226" t="s">
        <v>327</v>
      </c>
      <c r="U52" s="310" t="s">
        <v>328</v>
      </c>
      <c r="V52" s="310" t="s">
        <v>329</v>
      </c>
      <c r="W52" s="310" t="s">
        <v>238</v>
      </c>
      <c r="X52" s="310" t="s">
        <v>327</v>
      </c>
      <c r="Y52" s="379" t="s">
        <v>328</v>
      </c>
      <c r="Z52" s="267" t="s">
        <v>329</v>
      </c>
      <c r="AA52" s="310" t="s">
        <v>238</v>
      </c>
      <c r="AB52" s="155" t="s">
        <v>327</v>
      </c>
      <c r="AC52" s="404" t="s">
        <v>328</v>
      </c>
    </row>
    <row r="53" spans="2:29" x14ac:dyDescent="0.35">
      <c r="B53" s="543" t="s">
        <v>516</v>
      </c>
      <c r="C53" s="455" t="s">
        <v>517</v>
      </c>
      <c r="D53" s="523">
        <f>'Haver Pivoted'!GO31</f>
        <v>2224.3000000000002</v>
      </c>
      <c r="E53" s="524">
        <f>'Haver Pivoted'!GP31</f>
        <v>2303.4</v>
      </c>
      <c r="F53" s="524">
        <f>'Haver Pivoted'!GQ31</f>
        <v>2319.4</v>
      </c>
      <c r="G53" s="524">
        <f>'Haver Pivoted'!GR31</f>
        <v>2333.8000000000002</v>
      </c>
      <c r="H53" s="524">
        <f>'Haver Pivoted'!GS31</f>
        <v>2346.4</v>
      </c>
      <c r="I53" s="524">
        <f>'Haver Pivoted'!GT31</f>
        <v>2407.5</v>
      </c>
      <c r="J53" s="524">
        <f>'Haver Pivoted'!GU31</f>
        <v>4698.7</v>
      </c>
      <c r="K53" s="524">
        <f>'Haver Pivoted'!GV31</f>
        <v>3492.4</v>
      </c>
      <c r="L53" s="524">
        <f>'Haver Pivoted'!GW31</f>
        <v>2881.6</v>
      </c>
      <c r="M53" s="524">
        <f>'Haver Pivoted'!GX31</f>
        <v>5094.8</v>
      </c>
      <c r="N53" s="524">
        <f>'Haver Pivoted'!GY31</f>
        <v>3395.6</v>
      </c>
      <c r="O53" s="524">
        <f>'Haver Pivoted'!GZ31</f>
        <v>3146.3</v>
      </c>
      <c r="P53" s="524">
        <f>'Haver Pivoted'!HA31</f>
        <v>2937.4</v>
      </c>
      <c r="Q53" s="524">
        <f>'Haver Pivoted'!HB31</f>
        <v>2863</v>
      </c>
      <c r="R53" s="524">
        <f>'Haver Pivoted'!HC31</f>
        <v>2846.5</v>
      </c>
      <c r="S53" s="525">
        <f>'Haver Pivoted'!HD31</f>
        <v>2840.1</v>
      </c>
      <c r="T53" s="526">
        <f>'Haver Pivoted'!HE31</f>
        <v>2879.8</v>
      </c>
      <c r="U53" s="640"/>
      <c r="V53" s="640"/>
      <c r="W53" s="640"/>
      <c r="X53" s="640"/>
      <c r="Y53" s="640"/>
      <c r="Z53" s="640"/>
      <c r="AA53" s="640"/>
      <c r="AB53" s="640"/>
      <c r="AC53" s="152"/>
    </row>
    <row r="54" spans="2:29" ht="27.65" customHeight="1" x14ac:dyDescent="0.35">
      <c r="B54" s="202" t="s">
        <v>856</v>
      </c>
      <c r="C54" s="171"/>
      <c r="D54" s="592">
        <f t="shared" ref="D54:T54" si="25">SUM(D14:D22)</f>
        <v>813.09999999999991</v>
      </c>
      <c r="E54" s="288">
        <f t="shared" si="25"/>
        <v>832</v>
      </c>
      <c r="F54" s="288">
        <f t="shared" si="25"/>
        <v>842.69999999999993</v>
      </c>
      <c r="G54" s="288">
        <f t="shared" si="25"/>
        <v>850.1</v>
      </c>
      <c r="H54" s="288">
        <f t="shared" si="25"/>
        <v>854</v>
      </c>
      <c r="I54" s="288">
        <f t="shared" si="25"/>
        <v>871.02350000000001</v>
      </c>
      <c r="J54" s="288">
        <f t="shared" si="25"/>
        <v>3187.1064999999999</v>
      </c>
      <c r="K54" s="288">
        <f t="shared" si="25"/>
        <v>1850.5785000000001</v>
      </c>
      <c r="L54" s="288">
        <f t="shared" si="25"/>
        <v>1300.1145000000001</v>
      </c>
      <c r="M54" s="288">
        <f t="shared" si="25"/>
        <v>3501.0425</v>
      </c>
      <c r="N54" s="288">
        <f t="shared" si="25"/>
        <v>1824.9133399999998</v>
      </c>
      <c r="O54" s="288">
        <f t="shared" si="25"/>
        <v>1573.4639933333328</v>
      </c>
      <c r="P54" s="288">
        <f t="shared" si="25"/>
        <v>1378.1348333333328</v>
      </c>
      <c r="Q54" s="288">
        <f t="shared" si="25"/>
        <v>1205.9195</v>
      </c>
      <c r="R54" s="288">
        <f t="shared" si="25"/>
        <v>1180.8785</v>
      </c>
      <c r="S54" s="631">
        <f t="shared" si="25"/>
        <v>1170.5554999999999</v>
      </c>
      <c r="T54" s="635">
        <f t="shared" si="25"/>
        <v>1161.4845</v>
      </c>
      <c r="U54" s="639"/>
      <c r="V54" s="639"/>
      <c r="W54" s="639"/>
      <c r="X54" s="639"/>
      <c r="Y54" s="639"/>
      <c r="Z54" s="639"/>
      <c r="AA54" s="639"/>
      <c r="AB54" s="639"/>
      <c r="AC54" s="662"/>
    </row>
    <row r="55" spans="2:29" ht="27.65" customHeight="1" x14ac:dyDescent="0.35">
      <c r="B55" s="202" t="s">
        <v>857</v>
      </c>
      <c r="C55" s="171"/>
      <c r="D55" s="592">
        <f>D53-D54</f>
        <v>1411.2000000000003</v>
      </c>
      <c r="E55" s="288">
        <f t="shared" ref="E55:O55" si="26">E53-E54</f>
        <v>1471.4</v>
      </c>
      <c r="F55" s="288">
        <f t="shared" si="26"/>
        <v>1476.7000000000003</v>
      </c>
      <c r="G55" s="288">
        <f t="shared" si="26"/>
        <v>1483.7000000000003</v>
      </c>
      <c r="H55" s="288">
        <f t="shared" si="26"/>
        <v>1492.4</v>
      </c>
      <c r="I55" s="288">
        <f t="shared" si="26"/>
        <v>1536.4765</v>
      </c>
      <c r="J55" s="288">
        <f t="shared" si="26"/>
        <v>1511.5934999999999</v>
      </c>
      <c r="K55" s="288">
        <f t="shared" si="26"/>
        <v>1641.8215</v>
      </c>
      <c r="L55" s="288">
        <f t="shared" si="26"/>
        <v>1581.4854999999998</v>
      </c>
      <c r="M55" s="288">
        <f t="shared" si="26"/>
        <v>1593.7575000000002</v>
      </c>
      <c r="N55" s="288">
        <f t="shared" si="26"/>
        <v>1570.6866600000001</v>
      </c>
      <c r="O55" s="288">
        <f t="shared" si="26"/>
        <v>1572.8360066666673</v>
      </c>
      <c r="P55" s="288">
        <f>P53-P54</f>
        <v>1559.2651666666673</v>
      </c>
      <c r="Q55" s="288">
        <f>Q53-Q54</f>
        <v>1657.0805</v>
      </c>
      <c r="R55" s="288">
        <f>R53-R54</f>
        <v>1665.6215</v>
      </c>
      <c r="S55" s="631">
        <f>S53-S54</f>
        <v>1669.5445</v>
      </c>
      <c r="T55" s="635">
        <f>T53-T54</f>
        <v>1718.3155000000002</v>
      </c>
      <c r="U55" s="639"/>
      <c r="V55" s="639"/>
      <c r="W55" s="639"/>
      <c r="X55" s="639"/>
      <c r="Y55" s="639"/>
      <c r="Z55" s="639"/>
      <c r="AA55" s="639"/>
      <c r="AB55" s="639"/>
      <c r="AC55" s="662"/>
    </row>
    <row r="56" spans="2:29" ht="24" customHeight="1" x14ac:dyDescent="0.35">
      <c r="B56" s="194" t="s">
        <v>858</v>
      </c>
      <c r="C56" s="171"/>
      <c r="D56" s="592">
        <f t="shared" ref="D56:I56" si="27">D12-D14-D15-D21</f>
        <v>1411.2</v>
      </c>
      <c r="E56" s="288">
        <f t="shared" si="27"/>
        <v>1471.4</v>
      </c>
      <c r="F56" s="288">
        <f t="shared" si="27"/>
        <v>1476.7</v>
      </c>
      <c r="G56" s="288">
        <f t="shared" si="27"/>
        <v>1483.7</v>
      </c>
      <c r="H56" s="288">
        <f t="shared" si="27"/>
        <v>1492.4000000000003</v>
      </c>
      <c r="I56" s="288">
        <f t="shared" si="27"/>
        <v>1541.5000000000002</v>
      </c>
      <c r="J56" s="632">
        <f>I56+($H$56-$E$56)/3</f>
        <v>1548.5000000000002</v>
      </c>
      <c r="K56" s="632">
        <f>J56+($H$56-$E$56)/3</f>
        <v>1555.5000000000002</v>
      </c>
      <c r="L56" s="632">
        <f>K56+($H$56-$E$56)/3</f>
        <v>1562.5000000000002</v>
      </c>
      <c r="M56" s="633">
        <f>L56+($H$56-$E$56)/3 +(M57-L57)</f>
        <v>1586.9430000000002</v>
      </c>
      <c r="N56" s="632">
        <f>M56+($H$56-$E$56)/3</f>
        <v>1593.9430000000002</v>
      </c>
      <c r="O56" s="632">
        <f>N56+($H$56-$E$56)/3</f>
        <v>1600.9430000000002</v>
      </c>
      <c r="P56" s="632">
        <f>O56+($H$56-$E$56)/3</f>
        <v>1607.9430000000002</v>
      </c>
      <c r="Q56" s="633">
        <f>P56+($H$56-$E$56)/3 + 0.06*Q57</f>
        <v>1686.8657200000002</v>
      </c>
      <c r="R56" s="632">
        <f>Q56+($H$56-$E$56)/3</f>
        <v>1693.8657200000002</v>
      </c>
      <c r="S56" s="632">
        <f>R56+($H$56-$E$56)/3</f>
        <v>1700.8657200000002</v>
      </c>
      <c r="T56" s="664">
        <f>S56+($H$56-$E$56)/3</f>
        <v>1707.8657200000002</v>
      </c>
      <c r="U56" s="652">
        <f>T56+($H$56-$E$56)/3+0.087*U57</f>
        <v>1822.1643860000001</v>
      </c>
      <c r="V56" s="651">
        <f>U56+($H$56-$E$56)/3</f>
        <v>1829.1643860000001</v>
      </c>
      <c r="W56" s="651">
        <f>V56+($H$56-$E$56)/3</f>
        <v>1836.1643860000001</v>
      </c>
      <c r="X56" s="651">
        <f>W56+($H$56-$E$56)/3</f>
        <v>1843.1643860000001</v>
      </c>
      <c r="Y56" s="652">
        <f>X56+($H$56-$E$56)/3 + 0.03*Y57</f>
        <v>1888.1239260000002</v>
      </c>
      <c r="Z56" s="651">
        <f>Y56+($H$56-$E$56)/3</f>
        <v>1895.1239260000002</v>
      </c>
      <c r="AA56" s="651">
        <f>Z56+($H$56-$E$56)/3</f>
        <v>1902.1239260000002</v>
      </c>
      <c r="AB56" s="651">
        <f>AA56+($H$56-$E$56)/3</f>
        <v>1909.1239260000002</v>
      </c>
      <c r="AC56" s="653">
        <f>AB56+($H$56-$E$56)/3 + 0.02*AC57</f>
        <v>1942.0702860000001</v>
      </c>
    </row>
    <row r="57" spans="2:29" x14ac:dyDescent="0.35">
      <c r="B57" s="194" t="s">
        <v>525</v>
      </c>
      <c r="C57" s="171" t="s">
        <v>526</v>
      </c>
      <c r="D57" s="194">
        <f>'Haver Pivoted'!GO88/1000</f>
        <v>983.88599999999997</v>
      </c>
      <c r="E57" s="171">
        <f>'Haver Pivoted'!GP88/1000</f>
        <v>1019.2089999999999</v>
      </c>
      <c r="F57" s="171">
        <f>'Haver Pivoted'!GQ88/1000</f>
        <v>1026.6220000000001</v>
      </c>
      <c r="G57" s="171">
        <f>'Haver Pivoted'!GR88/1000</f>
        <v>1034.357</v>
      </c>
      <c r="H57" s="171">
        <f>'Haver Pivoted'!GS88/1000</f>
        <v>1042.7819999999999</v>
      </c>
      <c r="I57" s="171">
        <f>'Haver Pivoted'!GT88/1000</f>
        <v>1068.2280000000001</v>
      </c>
      <c r="J57" s="171">
        <f>'Haver Pivoted'!GU88/1000</f>
        <v>1074.912</v>
      </c>
      <c r="K57" s="171">
        <f>'Haver Pivoted'!GV88/1000</f>
        <v>1080.3399999999999</v>
      </c>
      <c r="L57" s="171">
        <f>'Haver Pivoted'!GW88/1000</f>
        <v>1088.2329999999999</v>
      </c>
      <c r="M57" s="171">
        <f>'Haver Pivoted'!GX88/1000</f>
        <v>1105.6759999999999</v>
      </c>
      <c r="N57" s="171">
        <f>'Haver Pivoted'!GY88/1000</f>
        <v>1109.3710000000001</v>
      </c>
      <c r="O57" s="171">
        <f>'Haver Pivoted'!GZ88/1000</f>
        <v>1116.8150000000001</v>
      </c>
      <c r="P57" s="171">
        <f>'Haver Pivoted'!HA88/1000</f>
        <v>1126.539</v>
      </c>
      <c r="Q57" s="171">
        <f>'Haver Pivoted'!HB88/1000</f>
        <v>1198.712</v>
      </c>
      <c r="R57" s="171">
        <f>'Haver Pivoted'!HC88/1000</f>
        <v>1206.8920000000001</v>
      </c>
      <c r="S57" s="623">
        <f>'Haver Pivoted'!HD88/1000</f>
        <v>1214.6369999999999</v>
      </c>
      <c r="T57" s="636">
        <f>'Haver Pivoted'!HE88/1000</f>
        <v>1225.318</v>
      </c>
      <c r="U57" s="639">
        <f t="shared" ref="U57:AC57" si="28">T57+8</f>
        <v>1233.318</v>
      </c>
      <c r="V57" s="639">
        <f t="shared" si="28"/>
        <v>1241.318</v>
      </c>
      <c r="W57" s="639">
        <f t="shared" si="28"/>
        <v>1249.318</v>
      </c>
      <c r="X57" s="639">
        <f t="shared" si="28"/>
        <v>1257.318</v>
      </c>
      <c r="Y57" s="639">
        <f t="shared" si="28"/>
        <v>1265.318</v>
      </c>
      <c r="Z57" s="639">
        <f t="shared" si="28"/>
        <v>1273.318</v>
      </c>
      <c r="AA57" s="639">
        <f t="shared" si="28"/>
        <v>1281.318</v>
      </c>
      <c r="AB57" s="639">
        <f t="shared" si="28"/>
        <v>1289.318</v>
      </c>
      <c r="AC57" s="662">
        <f t="shared" si="28"/>
        <v>1297.318</v>
      </c>
    </row>
    <row r="58" spans="2:29" ht="69" customHeight="1" x14ac:dyDescent="0.35">
      <c r="B58" s="663" t="s">
        <v>1523</v>
      </c>
      <c r="C58" s="280"/>
      <c r="D58" s="656">
        <f>D55-D56</f>
        <v>0</v>
      </c>
      <c r="E58" s="654">
        <f t="shared" ref="E58:O58" si="29">E55-E56</f>
        <v>0</v>
      </c>
      <c r="F58" s="654">
        <f t="shared" si="29"/>
        <v>0</v>
      </c>
      <c r="G58" s="654">
        <f t="shared" si="29"/>
        <v>0</v>
      </c>
      <c r="H58" s="654">
        <f t="shared" si="29"/>
        <v>0</v>
      </c>
      <c r="I58" s="654">
        <f t="shared" si="29"/>
        <v>-5.0235000000002401</v>
      </c>
      <c r="J58" s="654">
        <f t="shared" si="29"/>
        <v>-36.906500000000278</v>
      </c>
      <c r="K58" s="654">
        <f t="shared" si="29"/>
        <v>86.321499999999787</v>
      </c>
      <c r="L58" s="654">
        <f t="shared" si="29"/>
        <v>18.985499999999547</v>
      </c>
      <c r="M58" s="654">
        <f t="shared" si="29"/>
        <v>6.8144999999999527</v>
      </c>
      <c r="N58" s="654">
        <f t="shared" si="29"/>
        <v>-23.256340000000137</v>
      </c>
      <c r="O58" s="654">
        <f t="shared" si="29"/>
        <v>-28.106993333332866</v>
      </c>
      <c r="P58" s="654">
        <f>P55-P56</f>
        <v>-48.677833333332956</v>
      </c>
      <c r="Q58" s="654">
        <f>Q55-Q56</f>
        <v>-29.785220000000209</v>
      </c>
      <c r="R58" s="654">
        <f>R55-R56</f>
        <v>-28.244220000000269</v>
      </c>
      <c r="S58" s="634">
        <f>S55-S56</f>
        <v>-31.321220000000267</v>
      </c>
      <c r="T58" s="1060">
        <f>T55-T56</f>
        <v>10.449779999999919</v>
      </c>
      <c r="U58" s="655">
        <f t="shared" ref="U58:AC58" si="30">T58</f>
        <v>10.449779999999919</v>
      </c>
      <c r="V58" s="655">
        <f t="shared" si="30"/>
        <v>10.449779999999919</v>
      </c>
      <c r="W58" s="655">
        <f t="shared" si="30"/>
        <v>10.449779999999919</v>
      </c>
      <c r="X58" s="655">
        <f t="shared" si="30"/>
        <v>10.449779999999919</v>
      </c>
      <c r="Y58" s="655">
        <f t="shared" si="30"/>
        <v>10.449779999999919</v>
      </c>
      <c r="Z58" s="655">
        <f t="shared" si="30"/>
        <v>10.449779999999919</v>
      </c>
      <c r="AA58" s="655">
        <f t="shared" si="30"/>
        <v>10.449779999999919</v>
      </c>
      <c r="AB58" s="655">
        <f t="shared" si="30"/>
        <v>10.449779999999919</v>
      </c>
      <c r="AC58" s="655">
        <f t="shared" si="30"/>
        <v>10.449779999999919</v>
      </c>
    </row>
    <row r="59" spans="2:29" s="1174" customFormat="1" ht="69" customHeight="1" x14ac:dyDescent="0.35">
      <c r="B59" s="1296"/>
      <c r="C59" s="1297"/>
      <c r="D59" s="1298"/>
      <c r="E59" s="1298"/>
      <c r="F59" s="1298"/>
      <c r="G59" s="1298"/>
      <c r="H59" s="1298"/>
      <c r="I59" s="1298"/>
      <c r="J59" s="1298"/>
      <c r="K59" s="1298"/>
      <c r="L59" s="1298"/>
      <c r="M59" s="1298"/>
      <c r="N59" s="1298"/>
      <c r="O59" s="1298"/>
      <c r="P59" s="1298"/>
      <c r="Q59" s="1298"/>
      <c r="R59" s="1298"/>
      <c r="S59" s="1298"/>
      <c r="T59" s="1298"/>
      <c r="U59" s="1298"/>
      <c r="V59" s="1298"/>
      <c r="W59" s="1298"/>
      <c r="X59" s="1298"/>
      <c r="Y59" s="1298"/>
      <c r="Z59" s="1298"/>
      <c r="AA59" s="1298"/>
      <c r="AB59" s="1298"/>
      <c r="AC59" s="1298"/>
    </row>
    <row r="60" spans="2:29" s="1174" customFormat="1" ht="69" customHeight="1" x14ac:dyDescent="0.35">
      <c r="B60" s="1296"/>
      <c r="C60" s="1297"/>
      <c r="D60" s="1298"/>
      <c r="E60" s="1298"/>
      <c r="F60" s="1298"/>
      <c r="G60" s="1298"/>
      <c r="H60" s="1298"/>
      <c r="I60" s="1298"/>
      <c r="J60" s="1298"/>
      <c r="K60" s="1298"/>
      <c r="L60" s="1298"/>
      <c r="M60" s="1298"/>
      <c r="N60" s="1298"/>
      <c r="O60" s="1298"/>
      <c r="P60" s="1298"/>
      <c r="Q60" s="1298"/>
      <c r="R60" s="1298"/>
      <c r="S60" s="1298"/>
      <c r="T60" s="1298"/>
      <c r="U60" s="1298"/>
      <c r="V60" s="1298"/>
      <c r="W60" s="1298"/>
      <c r="X60" s="1298"/>
      <c r="Y60" s="1298"/>
      <c r="Z60" s="1298"/>
      <c r="AA60" s="1298"/>
      <c r="AB60" s="1298"/>
      <c r="AC60" s="1298"/>
    </row>
    <row r="61" spans="2:29" s="1174" customFormat="1" ht="69" customHeight="1" x14ac:dyDescent="0.35">
      <c r="B61" s="1296"/>
      <c r="C61" s="1297"/>
      <c r="D61" s="1298"/>
      <c r="E61" s="1298"/>
      <c r="F61" s="1298"/>
      <c r="G61" s="1298"/>
      <c r="H61" s="1298"/>
      <c r="I61" s="1298"/>
      <c r="J61" s="1298"/>
      <c r="K61" s="1298"/>
      <c r="L61" s="1298"/>
      <c r="M61" s="1298"/>
      <c r="N61" s="1298"/>
      <c r="O61" s="1298"/>
      <c r="P61" s="1298"/>
      <c r="Q61" s="1298"/>
      <c r="R61" s="1298"/>
      <c r="S61" s="1298"/>
      <c r="T61" s="1298"/>
      <c r="U61" s="1298"/>
      <c r="V61" s="1298"/>
      <c r="W61" s="1298"/>
      <c r="X61" s="1298"/>
      <c r="Y61" s="1298"/>
      <c r="Z61" s="1298"/>
      <c r="AA61" s="1298"/>
      <c r="AB61" s="1298"/>
      <c r="AC61" s="1298"/>
    </row>
    <row r="62" spans="2:29" x14ac:dyDescent="0.35">
      <c r="B62" s="76" t="s">
        <v>1522</v>
      </c>
      <c r="D62" s="171"/>
      <c r="E62" s="171"/>
      <c r="F62" s="171"/>
      <c r="G62" s="171"/>
      <c r="H62" s="171"/>
      <c r="I62" s="171"/>
      <c r="J62" s="171"/>
      <c r="K62" s="171"/>
      <c r="L62" s="171"/>
      <c r="M62" s="288"/>
      <c r="N62" s="288"/>
      <c r="O62" s="288"/>
      <c r="P62" s="171"/>
    </row>
    <row r="63" spans="2:29" x14ac:dyDescent="0.35">
      <c r="B63" s="543" t="s">
        <v>864</v>
      </c>
      <c r="C63" s="646"/>
      <c r="D63" s="658">
        <v>2021</v>
      </c>
      <c r="E63" s="658">
        <v>2022</v>
      </c>
      <c r="F63" s="658">
        <v>2023</v>
      </c>
      <c r="G63" s="659">
        <v>2024</v>
      </c>
      <c r="R63" s="541"/>
    </row>
    <row r="64" spans="2:29" x14ac:dyDescent="0.35">
      <c r="B64" s="657" t="s">
        <v>865</v>
      </c>
      <c r="C64" s="667"/>
      <c r="D64" s="643">
        <v>3605.8330000000001</v>
      </c>
      <c r="E64" s="643">
        <v>2900</v>
      </c>
      <c r="F64" s="643">
        <f>E64*1.02</f>
        <v>2958</v>
      </c>
      <c r="G64" s="644">
        <f>F64*1.06</f>
        <v>3135.48</v>
      </c>
    </row>
    <row r="65" spans="2:7" x14ac:dyDescent="0.35">
      <c r="B65" s="657" t="s">
        <v>868</v>
      </c>
      <c r="C65" s="645"/>
      <c r="D65" s="212">
        <f>AVERAGE(Medicare!L10:O10)</f>
        <v>865</v>
      </c>
      <c r="E65" s="212">
        <f>AVERAGE(Medicare!P10:S10)</f>
        <v>910.02500000000009</v>
      </c>
      <c r="F65" s="212">
        <f>AVERAGE(Medicare!T10:W10)</f>
        <v>967.5423759338363</v>
      </c>
      <c r="G65" s="665">
        <f>AVERAGE(Medicare!X10:AA10)</f>
        <v>1055.1701282460017</v>
      </c>
    </row>
    <row r="66" spans="2:7" ht="13.4" customHeight="1" x14ac:dyDescent="0.35">
      <c r="B66" s="657" t="s">
        <v>866</v>
      </c>
      <c r="C66" s="645"/>
      <c r="D66" s="212">
        <f>D64-D65</f>
        <v>2740.8330000000001</v>
      </c>
      <c r="E66" s="212">
        <f t="shared" ref="E66:G66" si="31">E64-E65</f>
        <v>1989.9749999999999</v>
      </c>
      <c r="F66" s="212">
        <f t="shared" si="31"/>
        <v>1990.4576240661636</v>
      </c>
      <c r="G66" s="665">
        <f t="shared" si="31"/>
        <v>2080.3098717539983</v>
      </c>
    </row>
    <row r="67" spans="2:7" x14ac:dyDescent="0.35">
      <c r="B67" s="657" t="s">
        <v>869</v>
      </c>
      <c r="C67" s="645"/>
      <c r="D67" s="212">
        <f>AVERAGE(L12:O12)</f>
        <v>3629.5749999999998</v>
      </c>
      <c r="E67" s="212">
        <f>AVERAGE(P12:S12)</f>
        <v>2871.75</v>
      </c>
      <c r="F67" s="212">
        <f>AVERAGE(T12:W12)</f>
        <v>2935.6962233505033</v>
      </c>
      <c r="G67" s="665">
        <f>AVERAGE(X12:AA12)</f>
        <v>3081.2346075793353</v>
      </c>
    </row>
    <row r="68" spans="2:7" x14ac:dyDescent="0.35">
      <c r="B68" s="657" t="s">
        <v>868</v>
      </c>
      <c r="C68" s="645"/>
      <c r="D68" s="212">
        <f>AVERAGE(Medicare!L10:O10)</f>
        <v>865</v>
      </c>
      <c r="E68" s="212">
        <f>AVERAGE(Medicare!P10:S10)</f>
        <v>910.02500000000009</v>
      </c>
      <c r="F68" s="212">
        <f>AVERAGE(Medicare!T10:W10)</f>
        <v>967.5423759338363</v>
      </c>
      <c r="G68" s="665">
        <f>AVERAGE(Medicare!X10:AA10)</f>
        <v>1055.1701282460017</v>
      </c>
    </row>
    <row r="69" spans="2:7" x14ac:dyDescent="0.35">
      <c r="B69" s="657" t="s">
        <v>587</v>
      </c>
      <c r="C69" s="645"/>
      <c r="D69" s="212">
        <f>AVERAGE(L25:O25)</f>
        <v>1586.0822500000002</v>
      </c>
      <c r="E69" s="212">
        <f>AVERAGE(P25:S25)</f>
        <v>1672.3850400000001</v>
      </c>
      <c r="F69" s="212">
        <f>AVERAGE(T25:W25)</f>
        <v>1798.8397195000002</v>
      </c>
      <c r="G69" s="665">
        <f>AVERAGE(X25:AA25)</f>
        <v>1882.1340410000003</v>
      </c>
    </row>
    <row r="70" spans="2:7" ht="27.65" customHeight="1" x14ac:dyDescent="0.35">
      <c r="B70" s="647" t="s">
        <v>867</v>
      </c>
      <c r="C70" s="167"/>
      <c r="D70" s="582"/>
      <c r="E70" s="660">
        <v>1.157</v>
      </c>
      <c r="F70" s="660">
        <v>1.0109999999999999</v>
      </c>
      <c r="G70" s="666">
        <v>1.0529999999999999</v>
      </c>
    </row>
    <row r="71" spans="2:7" x14ac:dyDescent="0.35">
      <c r="B71" s="171" t="s">
        <v>870</v>
      </c>
      <c r="D71" s="661">
        <f>D67-D64</f>
        <v>23.741999999999734</v>
      </c>
      <c r="E71" s="661">
        <f>E67-E64</f>
        <v>-28.25</v>
      </c>
      <c r="F71" s="661">
        <f>F67-F64</f>
        <v>-22.30377664949674</v>
      </c>
      <c r="G71" s="661">
        <f t="shared" ref="G71" si="32">G67-G64</f>
        <v>-54.245392420664757</v>
      </c>
    </row>
    <row r="73" spans="2:7" x14ac:dyDescent="0.35">
      <c r="B73" t="s">
        <v>865</v>
      </c>
      <c r="D73">
        <v>3605.8330000000001</v>
      </c>
      <c r="E73">
        <v>2832.5949999999998</v>
      </c>
      <c r="F73">
        <v>2833.72</v>
      </c>
      <c r="G73">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2"/>
  <sheetViews>
    <sheetView topLeftCell="C31" zoomScale="89" zoomScaleNormal="89" workbookViewId="0">
      <selection activeCell="E48" sqref="E48"/>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433" t="s">
        <v>58</v>
      </c>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4:56" ht="14.25" customHeight="1" x14ac:dyDescent="0.35">
      <c r="D2" s="1458" t="s">
        <v>991</v>
      </c>
      <c r="E2" s="1458"/>
      <c r="F2" s="1458"/>
      <c r="G2" s="1458"/>
      <c r="H2" s="1458"/>
      <c r="I2" s="1458"/>
      <c r="J2" s="1458"/>
      <c r="K2" s="1458"/>
      <c r="L2" s="1458"/>
      <c r="M2" s="1458"/>
      <c r="N2" s="1458"/>
      <c r="O2" s="1458"/>
      <c r="P2" s="1458"/>
      <c r="Q2" s="1458"/>
      <c r="R2" s="1458"/>
      <c r="S2" s="1458"/>
      <c r="T2" s="1458"/>
      <c r="U2" s="1458"/>
      <c r="V2" s="1458"/>
      <c r="W2" s="1458"/>
      <c r="X2" s="1458"/>
      <c r="Y2" s="1458"/>
      <c r="Z2" s="1458"/>
      <c r="AA2" s="1458"/>
      <c r="AB2" s="1458"/>
      <c r="AC2" s="1458"/>
    </row>
    <row r="3" spans="4:56" ht="84.75" customHeight="1" x14ac:dyDescent="0.35">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row>
    <row r="4" spans="4:56" x14ac:dyDescent="0.35">
      <c r="D4" s="790" t="s">
        <v>380</v>
      </c>
      <c r="S4">
        <f>SUM(P10:S10)/4</f>
        <v>2508.0749999999998</v>
      </c>
      <c r="W4" s="1066">
        <f>SUM(T10:W10)/4</f>
        <v>2575.5194240322289</v>
      </c>
      <c r="X4">
        <f>W4/S4</f>
        <v>1.0268909119672374</v>
      </c>
    </row>
    <row r="5" spans="4:56" x14ac:dyDescent="0.35">
      <c r="D5" s="1437" t="s">
        <v>453</v>
      </c>
      <c r="E5" s="1438"/>
      <c r="F5" s="1550" t="s">
        <v>325</v>
      </c>
      <c r="G5" s="1551"/>
      <c r="H5" s="1551"/>
      <c r="I5" s="1551"/>
      <c r="J5" s="1551"/>
      <c r="K5" s="1551"/>
      <c r="L5" s="1551"/>
      <c r="M5" s="1551"/>
      <c r="N5" s="1551"/>
      <c r="O5" s="1551"/>
      <c r="P5" s="1551"/>
      <c r="Q5" s="1552"/>
      <c r="R5" s="1552"/>
      <c r="S5" s="1552"/>
      <c r="T5" s="1532"/>
      <c r="U5" s="1451" t="s">
        <v>326</v>
      </c>
      <c r="V5" s="1451"/>
      <c r="W5" s="1451"/>
      <c r="X5" s="1451"/>
      <c r="Y5" s="1451"/>
      <c r="Z5" s="1451"/>
      <c r="AA5" s="1451"/>
      <c r="AB5" s="1451"/>
      <c r="AC5" s="1452"/>
      <c r="AD5" s="739"/>
      <c r="AE5" s="739"/>
      <c r="AF5" s="739"/>
      <c r="AG5" s="739"/>
      <c r="AH5" s="739"/>
      <c r="AI5" s="739"/>
      <c r="AJ5" s="739"/>
      <c r="AK5" s="739"/>
      <c r="AL5" s="739"/>
      <c r="AM5" s="739"/>
      <c r="AN5" s="739"/>
      <c r="AO5" s="739"/>
      <c r="AP5" s="739"/>
      <c r="AQ5" s="739"/>
      <c r="AR5" s="739"/>
      <c r="AS5" s="739"/>
      <c r="AT5" s="739"/>
      <c r="AU5" s="739"/>
      <c r="AV5" s="739"/>
      <c r="AW5" s="739"/>
      <c r="AX5" s="739"/>
      <c r="AY5" s="739"/>
      <c r="AZ5" s="739"/>
      <c r="BA5" s="739"/>
      <c r="BB5" s="739"/>
      <c r="BC5" s="739"/>
      <c r="BD5" s="739"/>
    </row>
    <row r="6" spans="4:56" x14ac:dyDescent="0.35">
      <c r="D6" s="1439"/>
      <c r="E6" s="1476"/>
      <c r="F6" s="1465">
        <v>2019</v>
      </c>
      <c r="G6" s="1466"/>
      <c r="H6" s="1473"/>
      <c r="I6" s="1466">
        <v>2020</v>
      </c>
      <c r="J6" s="1466"/>
      <c r="K6" s="1466"/>
      <c r="L6" s="1466"/>
      <c r="M6" s="1418">
        <v>2021</v>
      </c>
      <c r="N6" s="1435"/>
      <c r="O6" s="1435"/>
      <c r="P6" s="1435"/>
      <c r="Q6" s="1418">
        <v>2022</v>
      </c>
      <c r="R6" s="1419"/>
      <c r="S6" s="1419"/>
      <c r="T6" s="1436"/>
      <c r="U6" s="1541">
        <v>2023</v>
      </c>
      <c r="V6" s="1541"/>
      <c r="W6" s="1541"/>
      <c r="X6" s="1541"/>
      <c r="Y6" s="1444">
        <v>2024</v>
      </c>
      <c r="Z6" s="1442"/>
      <c r="AA6" s="1442"/>
      <c r="AB6" s="1442"/>
      <c r="AC6" s="274">
        <v>2025</v>
      </c>
      <c r="AD6" s="735"/>
      <c r="AE6" s="735"/>
      <c r="AF6" s="735"/>
      <c r="AG6" s="740"/>
      <c r="AH6" s="740"/>
      <c r="AI6" s="740"/>
      <c r="AJ6" s="740"/>
      <c r="AK6" s="740"/>
      <c r="AL6" s="740"/>
      <c r="AM6" s="740"/>
      <c r="AN6" s="740"/>
      <c r="AO6" s="740"/>
      <c r="AP6" s="740"/>
      <c r="AQ6" s="740"/>
      <c r="AR6" s="740"/>
      <c r="AS6" s="740"/>
      <c r="AT6" s="740"/>
      <c r="AU6" s="740"/>
      <c r="AV6" s="740"/>
      <c r="AW6" s="740"/>
      <c r="AX6" s="740"/>
      <c r="AY6" s="740"/>
      <c r="AZ6" s="740"/>
      <c r="BA6" s="740"/>
      <c r="BB6" s="740"/>
      <c r="BC6" s="740"/>
    </row>
    <row r="7" spans="4:56" x14ac:dyDescent="0.35">
      <c r="D7" s="1454"/>
      <c r="E7" s="1477"/>
      <c r="F7" s="137" t="s">
        <v>329</v>
      </c>
      <c r="G7" s="150" t="s">
        <v>238</v>
      </c>
      <c r="H7" s="226" t="s">
        <v>327</v>
      </c>
      <c r="I7" s="150" t="s">
        <v>328</v>
      </c>
      <c r="J7" s="150" t="s">
        <v>329</v>
      </c>
      <c r="K7" s="150" t="s">
        <v>238</v>
      </c>
      <c r="L7" s="150" t="s">
        <v>327</v>
      </c>
      <c r="M7" s="137" t="s">
        <v>328</v>
      </c>
      <c r="N7" s="150" t="s">
        <v>329</v>
      </c>
      <c r="O7" s="150" t="s">
        <v>238</v>
      </c>
      <c r="P7" s="150" t="s">
        <v>327</v>
      </c>
      <c r="Q7" s="137" t="s">
        <v>328</v>
      </c>
      <c r="R7" s="150" t="s">
        <v>329</v>
      </c>
      <c r="S7" s="150" t="s">
        <v>238</v>
      </c>
      <c r="T7" s="226" t="s">
        <v>327</v>
      </c>
      <c r="U7" s="1117" t="s">
        <v>328</v>
      </c>
      <c r="V7" s="1117" t="s">
        <v>329</v>
      </c>
      <c r="W7" s="1117" t="s">
        <v>238</v>
      </c>
      <c r="X7" s="1117" t="s">
        <v>327</v>
      </c>
      <c r="Y7" s="379" t="s">
        <v>328</v>
      </c>
      <c r="Z7" s="1057" t="s">
        <v>329</v>
      </c>
      <c r="AA7" s="1117" t="s">
        <v>238</v>
      </c>
      <c r="AB7" s="1117" t="s">
        <v>327</v>
      </c>
      <c r="AC7" s="404" t="s">
        <v>328</v>
      </c>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c r="BC7" s="737"/>
    </row>
    <row r="8" spans="4:56" x14ac:dyDescent="0.35">
      <c r="D8" s="388" t="s">
        <v>515</v>
      </c>
      <c r="E8" s="69"/>
      <c r="F8" s="682"/>
      <c r="G8" s="683"/>
      <c r="H8" s="683"/>
      <c r="I8" s="683"/>
      <c r="J8" s="683"/>
      <c r="K8" s="683"/>
      <c r="L8" s="683"/>
      <c r="M8" s="683"/>
      <c r="N8" s="683"/>
      <c r="O8" s="683"/>
      <c r="P8" s="683"/>
      <c r="Q8" s="683"/>
      <c r="R8" s="683"/>
      <c r="S8" s="683"/>
      <c r="T8" s="1301"/>
      <c r="U8" s="1314"/>
      <c r="V8" s="1315"/>
      <c r="W8" s="1315"/>
      <c r="X8" s="1315"/>
      <c r="Y8" s="1315"/>
      <c r="Z8" s="1315"/>
      <c r="AA8" s="1315"/>
      <c r="AB8" s="1315"/>
      <c r="AC8" s="131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c r="BC8" s="736"/>
    </row>
    <row r="9" spans="4:56" ht="14.9" customHeight="1" x14ac:dyDescent="0.35">
      <c r="D9" s="477" t="s">
        <v>531</v>
      </c>
      <c r="E9" s="715"/>
      <c r="F9" s="791">
        <f t="shared" ref="F9:P9" si="0">SUM(F10:F15)</f>
        <v>3266.5</v>
      </c>
      <c r="G9" s="675">
        <f t="shared" si="0"/>
        <v>3286.9</v>
      </c>
      <c r="H9" s="675">
        <f t="shared" si="0"/>
        <v>3332.3</v>
      </c>
      <c r="I9" s="675">
        <f t="shared" si="0"/>
        <v>3393.2999999999997</v>
      </c>
      <c r="J9" s="675">
        <f t="shared" si="0"/>
        <v>3128.1</v>
      </c>
      <c r="K9" s="675">
        <f t="shared" si="0"/>
        <v>3303.4</v>
      </c>
      <c r="L9" s="675">
        <f t="shared" si="0"/>
        <v>3457.8</v>
      </c>
      <c r="M9" s="675">
        <f>SUM(M10:M15)</f>
        <v>3596.7999999999997</v>
      </c>
      <c r="N9" s="675">
        <f t="shared" si="0"/>
        <v>3753.5</v>
      </c>
      <c r="O9" s="675">
        <f t="shared" si="0"/>
        <v>3871.9000000000005</v>
      </c>
      <c r="P9" s="675">
        <f t="shared" si="0"/>
        <v>4000.8999999999996</v>
      </c>
      <c r="Q9" s="675">
        <f t="shared" ref="Q9:S9" si="1">SUM(Q10:Q15)</f>
        <v>4383.5999999999995</v>
      </c>
      <c r="R9" s="675">
        <f t="shared" si="1"/>
        <v>4444.7999999999993</v>
      </c>
      <c r="S9" s="675">
        <f t="shared" si="1"/>
        <v>4500</v>
      </c>
      <c r="T9" s="1302">
        <f t="shared" ref="T9:AC9" si="2">SUM(T10,T13,T15)</f>
        <v>4528.8</v>
      </c>
      <c r="U9" s="1317">
        <f t="shared" si="2"/>
        <v>4467.3739968285072</v>
      </c>
      <c r="V9" s="1309">
        <f t="shared" si="2"/>
        <v>4457.4043214546246</v>
      </c>
      <c r="W9" s="1309">
        <f t="shared" si="2"/>
        <v>4447.8895270730181</v>
      </c>
      <c r="X9" s="1309">
        <f t="shared" si="2"/>
        <v>4460.0815040789694</v>
      </c>
      <c r="Y9" s="1309">
        <f t="shared" si="2"/>
        <v>4467.5864561878179</v>
      </c>
      <c r="Z9" s="1309">
        <f t="shared" si="2"/>
        <v>4475.4065403252825</v>
      </c>
      <c r="AA9" s="1309">
        <f t="shared" si="2"/>
        <v>4483.5439444895819</v>
      </c>
      <c r="AB9" s="1309">
        <f t="shared" si="2"/>
        <v>4513.5325415378738</v>
      </c>
      <c r="AC9" s="1267">
        <f t="shared" si="2"/>
        <v>4543.7701819739486</v>
      </c>
      <c r="AD9" s="745"/>
      <c r="AF9" s="1061"/>
      <c r="AG9" s="1061"/>
      <c r="AH9" s="1061"/>
      <c r="AI9" s="1061"/>
      <c r="AJ9" s="1061"/>
      <c r="AK9" s="1061"/>
      <c r="AL9" s="1061"/>
      <c r="AM9" s="1061"/>
      <c r="AN9" s="1061"/>
      <c r="AO9" s="1061"/>
      <c r="AU9" s="745"/>
      <c r="AV9" s="745"/>
      <c r="AW9" s="745"/>
      <c r="AX9" s="745"/>
      <c r="AY9" s="745"/>
      <c r="AZ9" s="745"/>
      <c r="BA9" s="745"/>
      <c r="BB9" s="745"/>
      <c r="BC9" s="745"/>
    </row>
    <row r="10" spans="4:56" s="1174" customFormat="1" x14ac:dyDescent="0.35">
      <c r="D10" s="1242" t="s">
        <v>532</v>
      </c>
      <c r="E10" s="1261" t="s">
        <v>115</v>
      </c>
      <c r="F10" s="1262">
        <f>'Haver Pivoted'!GQ27</f>
        <v>1692.6</v>
      </c>
      <c r="G10" s="1263">
        <f>'Haver Pivoted'!GR27</f>
        <v>1700.6</v>
      </c>
      <c r="H10" s="1263">
        <f>'Haver Pivoted'!GS27</f>
        <v>1726.4</v>
      </c>
      <c r="I10" s="1263">
        <f>'Haver Pivoted'!GT27</f>
        <v>1751.6</v>
      </c>
      <c r="J10" s="1263">
        <f>'Haver Pivoted'!GU27</f>
        <v>1610.2</v>
      </c>
      <c r="K10" s="1263">
        <f>'Haver Pivoted'!GV27</f>
        <v>1722.1</v>
      </c>
      <c r="L10" s="1263">
        <f>'Haver Pivoted'!GW27</f>
        <v>1837.8</v>
      </c>
      <c r="M10" s="1263">
        <f>'Haver Pivoted'!GX27</f>
        <v>1965.4</v>
      </c>
      <c r="N10" s="1263">
        <f>'Haver Pivoted'!GY27</f>
        <v>2071.9</v>
      </c>
      <c r="O10" s="1263">
        <f>'Haver Pivoted'!GZ27</f>
        <v>2158.8000000000002</v>
      </c>
      <c r="P10" s="1263">
        <f>'Haver Pivoted'!HA27</f>
        <v>2235.1999999999998</v>
      </c>
      <c r="Q10" s="1263">
        <f>'Haver Pivoted'!HB27</f>
        <v>2564.1</v>
      </c>
      <c r="R10" s="1263">
        <f>'Haver Pivoted'!HC27</f>
        <v>2598.6</v>
      </c>
      <c r="S10" s="1263">
        <f>'Haver Pivoted'!HD27</f>
        <v>2634.4</v>
      </c>
      <c r="T10" s="1303">
        <f>'Haver Pivoted'!HE27</f>
        <v>2654.8</v>
      </c>
      <c r="U10" s="1318">
        <f t="shared" ref="U10:AC10" si="3">SUM(U11:U12)</f>
        <v>2576.2528755408598</v>
      </c>
      <c r="V10" s="1306">
        <f t="shared" si="3"/>
        <v>2548.9966296718635</v>
      </c>
      <c r="W10" s="1306">
        <f t="shared" si="3"/>
        <v>2522.0281909161922</v>
      </c>
      <c r="X10" s="1306">
        <f t="shared" si="3"/>
        <v>2512.964184451414</v>
      </c>
      <c r="Y10" s="1306">
        <f t="shared" si="3"/>
        <v>2498.9784502744369</v>
      </c>
      <c r="Z10" s="1306">
        <f t="shared" si="3"/>
        <v>2485.0705527660757</v>
      </c>
      <c r="AA10" s="1306">
        <f t="shared" si="3"/>
        <v>2471.2400587315551</v>
      </c>
      <c r="AB10" s="1306">
        <f t="shared" si="3"/>
        <v>2482.1673749766228</v>
      </c>
      <c r="AC10" s="716">
        <f t="shared" si="3"/>
        <v>2493.1430095709734</v>
      </c>
      <c r="AD10" s="1265"/>
      <c r="AF10" s="1266"/>
      <c r="AG10" s="1266"/>
      <c r="AH10" s="1266"/>
      <c r="AI10" s="1266"/>
      <c r="AJ10" s="1266"/>
      <c r="AK10" s="1266"/>
      <c r="AL10" s="1266"/>
      <c r="AM10" s="1266"/>
      <c r="AN10" s="1266"/>
      <c r="AO10" s="1266"/>
      <c r="AU10" s="1265"/>
      <c r="AV10" s="1265"/>
      <c r="AW10" s="1265"/>
      <c r="AX10" s="1265"/>
      <c r="AY10" s="1265"/>
      <c r="AZ10" s="1265"/>
      <c r="BA10" s="1265"/>
      <c r="BB10" s="1265"/>
      <c r="BC10" s="1265"/>
    </row>
    <row r="11" spans="4:56" ht="15.65" customHeight="1" x14ac:dyDescent="0.35">
      <c r="D11" s="506" t="s">
        <v>1465</v>
      </c>
      <c r="E11" s="52"/>
      <c r="F11" s="767"/>
      <c r="G11" s="676"/>
      <c r="H11" s="676"/>
      <c r="I11" s="676"/>
      <c r="J11" s="676"/>
      <c r="K11" s="676"/>
      <c r="L11" s="676"/>
      <c r="M11" s="676"/>
      <c r="N11" s="676"/>
      <c r="O11" s="676"/>
      <c r="P11" s="676"/>
      <c r="Q11" s="676"/>
      <c r="R11" s="676"/>
      <c r="S11" s="678"/>
      <c r="T11" s="1304">
        <f>T10-T12</f>
        <v>2608.8000000000002</v>
      </c>
      <c r="U11" s="1318">
        <f>T11*(1+$J41)^0.25</f>
        <v>2581.2528755408598</v>
      </c>
      <c r="V11" s="1306">
        <f>U11*(1+$J41)^0.25</f>
        <v>2553.9966296718635</v>
      </c>
      <c r="W11" s="1306">
        <f>V11*(1+$J41)^0.25</f>
        <v>2527.0281909161922</v>
      </c>
      <c r="X11" s="1306">
        <f>W11*(1+$K41)^0.25</f>
        <v>2512.964184451414</v>
      </c>
      <c r="Y11" s="1306">
        <f>X11*(1+$K41)^0.25</f>
        <v>2498.9784502744369</v>
      </c>
      <c r="Z11" s="1306">
        <f>Y11*(1+$K41)^0.25</f>
        <v>2485.0705527660757</v>
      </c>
      <c r="AA11" s="1306">
        <f>Z11*(1+$K41)^0.25</f>
        <v>2471.2400587315551</v>
      </c>
      <c r="AB11" s="1306">
        <f>AA11*(1+$L41)^0.25</f>
        <v>2482.1673749766228</v>
      </c>
      <c r="AC11" s="716">
        <f>AB11*(1+$L41)^0.25</f>
        <v>2493.1430095709734</v>
      </c>
      <c r="AD11" s="736"/>
      <c r="AF11" s="1061"/>
      <c r="AG11" s="1061"/>
      <c r="AH11" s="1061"/>
      <c r="AI11" s="1061"/>
      <c r="AJ11" s="1061"/>
      <c r="AK11" s="1061"/>
      <c r="AL11" s="1061"/>
      <c r="AM11" s="1061"/>
      <c r="AN11" s="1061"/>
      <c r="AO11" s="1061"/>
      <c r="AU11" s="736"/>
      <c r="AV11" s="736"/>
      <c r="AW11" s="736"/>
      <c r="AX11" s="736"/>
      <c r="AY11" s="736"/>
      <c r="AZ11" s="736"/>
      <c r="BA11" s="736"/>
      <c r="BB11" s="736"/>
      <c r="BC11" s="736"/>
    </row>
    <row r="12" spans="4:56" x14ac:dyDescent="0.35">
      <c r="D12" s="728" t="s">
        <v>2229</v>
      </c>
      <c r="E12" s="729"/>
      <c r="F12" s="767"/>
      <c r="G12" s="676"/>
      <c r="H12" s="676"/>
      <c r="I12" s="676"/>
      <c r="J12" s="676"/>
      <c r="K12" s="676"/>
      <c r="L12" s="676"/>
      <c r="M12" s="676"/>
      <c r="N12" s="676"/>
      <c r="O12" s="676"/>
      <c r="P12" s="676"/>
      <c r="Q12" s="676"/>
      <c r="R12" s="676"/>
      <c r="S12" s="678"/>
      <c r="T12" s="730">
        <v>46</v>
      </c>
      <c r="U12" s="1318">
        <v>-5</v>
      </c>
      <c r="V12" s="1306">
        <v>-5</v>
      </c>
      <c r="W12" s="1306">
        <v>-5</v>
      </c>
      <c r="X12" s="1306"/>
      <c r="Y12" s="1306"/>
      <c r="Z12" s="1306"/>
      <c r="AA12" s="1306"/>
      <c r="AB12" s="1306"/>
      <c r="AC12" s="716"/>
      <c r="AD12" s="736"/>
      <c r="AF12" s="1061"/>
      <c r="AG12" s="1061"/>
      <c r="AH12" s="1061"/>
      <c r="AI12" s="1061"/>
      <c r="AJ12" s="1061"/>
      <c r="AK12" s="1061"/>
      <c r="AL12" s="1061"/>
      <c r="AM12" s="1061"/>
      <c r="AN12" s="1061"/>
      <c r="AO12" s="1061"/>
      <c r="AU12" s="736"/>
      <c r="AV12" s="736"/>
      <c r="AW12" s="736"/>
      <c r="AX12" s="736"/>
      <c r="AY12" s="736"/>
      <c r="AZ12" s="736"/>
      <c r="BA12" s="736"/>
      <c r="BB12" s="736"/>
      <c r="BC12" s="736"/>
    </row>
    <row r="13" spans="4:56" x14ac:dyDescent="0.35">
      <c r="D13" s="717" t="s">
        <v>533</v>
      </c>
      <c r="E13" s="731" t="s">
        <v>121</v>
      </c>
      <c r="F13" s="767">
        <f>'Haver Pivoted'!GQ30</f>
        <v>1402.6</v>
      </c>
      <c r="G13" s="676">
        <f>'Haver Pivoted'!GR30</f>
        <v>1410</v>
      </c>
      <c r="H13" s="676">
        <f>'Haver Pivoted'!GS30</f>
        <v>1429</v>
      </c>
      <c r="I13" s="676">
        <f>'Haver Pivoted'!GT30</f>
        <v>1455.1</v>
      </c>
      <c r="J13" s="676">
        <f>'Haver Pivoted'!GU30</f>
        <v>1385.3</v>
      </c>
      <c r="K13" s="676">
        <f>'Haver Pivoted'!GV30</f>
        <v>1432.2</v>
      </c>
      <c r="L13" s="676">
        <f>'Haver Pivoted'!GW30</f>
        <v>1465</v>
      </c>
      <c r="M13" s="676">
        <f>'Haver Pivoted'!GX30</f>
        <v>1474.8</v>
      </c>
      <c r="N13" s="676">
        <f>'Haver Pivoted'!GY30</f>
        <v>1504.3</v>
      </c>
      <c r="O13" s="676">
        <f>'Haver Pivoted'!GZ30</f>
        <v>1536.3</v>
      </c>
      <c r="P13" s="676">
        <f>'Haver Pivoted'!HA30</f>
        <v>1578.1</v>
      </c>
      <c r="Q13" s="676">
        <f>'Haver Pivoted'!HB30</f>
        <v>1617.1</v>
      </c>
      <c r="R13" s="676">
        <f>'Haver Pivoted'!HC30</f>
        <v>1636.8</v>
      </c>
      <c r="S13" s="677">
        <f>'Haver Pivoted'!HD30</f>
        <v>1662.8</v>
      </c>
      <c r="T13" s="1305">
        <f>'Haver Pivoted'!HE30</f>
        <v>1681.5</v>
      </c>
      <c r="U13" s="1318">
        <f>T13*(1+$J42)^0.25</f>
        <v>1698.1111830457512</v>
      </c>
      <c r="V13" s="1306">
        <f>U13*(1+$J42)^0.25</f>
        <v>1714.8864644573539</v>
      </c>
      <c r="W13" s="1306">
        <f>V13*(1+$J42)^0.25</f>
        <v>1731.8274653278754</v>
      </c>
      <c r="X13" s="1306">
        <f>W13*(1+$K42)^0.25</f>
        <v>1751.0724665349633</v>
      </c>
      <c r="Y13" s="1306">
        <f>X13*(1+$K42)^0.25</f>
        <v>1770.5313285791588</v>
      </c>
      <c r="Z13" s="1306">
        <f>Y13*(1+$K42)^0.25</f>
        <v>1790.2064279974729</v>
      </c>
      <c r="AA13" s="1306">
        <f>Z13*(1+$K42)^0.25</f>
        <v>1810.1001677362783</v>
      </c>
      <c r="AB13" s="1306">
        <f>AA13*(1+$L42)^0.25</f>
        <v>1829.1614485395021</v>
      </c>
      <c r="AC13" s="716">
        <f>AB13*(1+$L42)^0.25</f>
        <v>1848.4234543812267</v>
      </c>
      <c r="AD13" s="736"/>
      <c r="AF13" s="1061"/>
      <c r="AG13" s="1061"/>
      <c r="AH13" s="1061"/>
      <c r="AI13" s="1061"/>
      <c r="AJ13" s="1061"/>
      <c r="AK13" s="1061"/>
      <c r="AL13" s="1061"/>
      <c r="AM13" s="1061"/>
      <c r="AN13" s="1061"/>
      <c r="AO13" s="1061"/>
      <c r="AU13" s="736"/>
      <c r="AV13" s="736"/>
      <c r="AW13" s="736"/>
      <c r="AX13" s="736"/>
      <c r="AY13" s="736"/>
      <c r="AZ13" s="736"/>
      <c r="BA13" s="736"/>
      <c r="BB13" s="736"/>
      <c r="BC13" s="736"/>
    </row>
    <row r="14" spans="4:56" x14ac:dyDescent="0.35">
      <c r="D14" s="506" t="s">
        <v>1837</v>
      </c>
      <c r="E14" s="49"/>
      <c r="F14" s="767"/>
      <c r="G14" s="676"/>
      <c r="H14" s="676"/>
      <c r="I14" s="676"/>
      <c r="J14" s="676"/>
      <c r="K14" s="676"/>
      <c r="L14" s="676"/>
      <c r="M14" s="676"/>
      <c r="N14" s="676"/>
      <c r="O14" s="676"/>
      <c r="P14" s="676"/>
      <c r="Q14" s="676"/>
      <c r="R14" s="676"/>
      <c r="S14" s="677"/>
      <c r="T14" s="1062"/>
      <c r="U14" s="1318"/>
      <c r="V14" s="1306"/>
      <c r="W14" s="1306"/>
      <c r="X14" s="1306"/>
      <c r="Y14" s="1306"/>
      <c r="Z14" s="1306"/>
      <c r="AA14" s="1306"/>
      <c r="AB14" s="1306"/>
      <c r="AC14" s="716"/>
      <c r="AD14" s="736"/>
      <c r="AF14" s="1061"/>
      <c r="AG14" s="1061"/>
      <c r="AH14" s="1061"/>
      <c r="AI14" s="1061"/>
      <c r="AJ14" s="1061"/>
      <c r="AK14" s="1061"/>
      <c r="AL14" s="1061"/>
      <c r="AM14" s="1061"/>
      <c r="AN14" s="1061"/>
      <c r="AO14" s="1061"/>
      <c r="AU14" s="736"/>
      <c r="AV14" s="736"/>
      <c r="AW14" s="736"/>
      <c r="AX14" s="736"/>
      <c r="AY14" s="736"/>
      <c r="AZ14" s="736"/>
      <c r="BA14" s="736"/>
      <c r="BB14" s="736"/>
      <c r="BC14" s="736"/>
    </row>
    <row r="15" spans="4:56" s="1174" customFormat="1" x14ac:dyDescent="0.35">
      <c r="D15" s="1242" t="s">
        <v>534</v>
      </c>
      <c r="E15" s="1261" t="s">
        <v>117</v>
      </c>
      <c r="F15" s="1262">
        <f>'Haver Pivoted'!GQ28</f>
        <v>171.3</v>
      </c>
      <c r="G15" s="1263">
        <f>'Haver Pivoted'!GR28</f>
        <v>176.3</v>
      </c>
      <c r="H15" s="1263">
        <f>'Haver Pivoted'!GS28</f>
        <v>176.9</v>
      </c>
      <c r="I15" s="1263">
        <f>'Haver Pivoted'!GT28</f>
        <v>186.6</v>
      </c>
      <c r="J15" s="1263">
        <f>'Haver Pivoted'!GU28</f>
        <v>132.6</v>
      </c>
      <c r="K15" s="1263">
        <f>'Haver Pivoted'!GV28</f>
        <v>149.1</v>
      </c>
      <c r="L15" s="1263">
        <f>'Haver Pivoted'!GW28</f>
        <v>155</v>
      </c>
      <c r="M15" s="1263">
        <f>'Haver Pivoted'!GX28</f>
        <v>156.6</v>
      </c>
      <c r="N15" s="1263">
        <f>'Haver Pivoted'!GY28</f>
        <v>177.3</v>
      </c>
      <c r="O15" s="1263">
        <f>'Haver Pivoted'!GZ28</f>
        <v>176.8</v>
      </c>
      <c r="P15" s="1263">
        <f>'Haver Pivoted'!HA28</f>
        <v>187.6</v>
      </c>
      <c r="Q15" s="1263">
        <f>'Haver Pivoted'!HB28</f>
        <v>202.4</v>
      </c>
      <c r="R15" s="1263">
        <f>'Haver Pivoted'!HC28</f>
        <v>209.4</v>
      </c>
      <c r="S15" s="1263">
        <f>'Haver Pivoted'!HD28</f>
        <v>202.8</v>
      </c>
      <c r="T15" s="1303">
        <f>'Haver Pivoted'!HE28</f>
        <v>192.5</v>
      </c>
      <c r="U15" s="1318">
        <f t="shared" ref="U15:AC15" si="4">SUM(U16:U17)</f>
        <v>193.00993824189698</v>
      </c>
      <c r="V15" s="1306">
        <f t="shared" si="4"/>
        <v>193.52122732540718</v>
      </c>
      <c r="W15" s="1306">
        <f t="shared" si="4"/>
        <v>194.03387082895034</v>
      </c>
      <c r="X15" s="1306">
        <f t="shared" si="4"/>
        <v>196.04485309259218</v>
      </c>
      <c r="Y15" s="1306">
        <f t="shared" si="4"/>
        <v>198.0766773342217</v>
      </c>
      <c r="Z15" s="1306">
        <f t="shared" si="4"/>
        <v>200.12955956173431</v>
      </c>
      <c r="AA15" s="1306">
        <f t="shared" si="4"/>
        <v>202.20371802174816</v>
      </c>
      <c r="AB15" s="1306">
        <f t="shared" si="4"/>
        <v>202.20371802174816</v>
      </c>
      <c r="AC15" s="716">
        <f t="shared" si="4"/>
        <v>202.20371802174816</v>
      </c>
      <c r="AD15" s="1265"/>
      <c r="AF15" s="1266"/>
      <c r="AG15" s="1266"/>
      <c r="AH15" s="1266"/>
      <c r="AI15" s="1266"/>
      <c r="AJ15" s="1266"/>
      <c r="AK15" s="1266"/>
      <c r="AL15" s="1266"/>
      <c r="AM15" s="1266"/>
      <c r="AN15" s="1266"/>
      <c r="AO15" s="1266"/>
      <c r="AU15" s="1265"/>
      <c r="AV15" s="1265"/>
      <c r="AW15" s="1265"/>
      <c r="AX15" s="1265"/>
      <c r="AY15" s="1265"/>
      <c r="AZ15" s="1265"/>
      <c r="BA15" s="1265"/>
      <c r="BB15" s="1265"/>
      <c r="BC15" s="1265"/>
    </row>
    <row r="16" spans="4:56" x14ac:dyDescent="0.35">
      <c r="D16" s="506" t="s">
        <v>1519</v>
      </c>
      <c r="E16" s="52"/>
      <c r="F16" s="767"/>
      <c r="G16" s="676"/>
      <c r="H16" s="676"/>
      <c r="I16" s="676"/>
      <c r="J16" s="676"/>
      <c r="K16" s="676"/>
      <c r="L16" s="676"/>
      <c r="M16" s="676"/>
      <c r="N16" s="676"/>
      <c r="O16" s="676"/>
      <c r="P16" s="676"/>
      <c r="Q16" s="676"/>
      <c r="R16" s="676"/>
      <c r="S16" s="678"/>
      <c r="T16" s="1304"/>
      <c r="U16" s="1318">
        <f>T15*(1+$J43)^0.25</f>
        <v>193.00993824189698</v>
      </c>
      <c r="V16" s="1306">
        <f>U16*(1+$J43)^0.25</f>
        <v>193.52122732540718</v>
      </c>
      <c r="W16" s="1306">
        <f>V16*(1+$J43)^0.25</f>
        <v>194.03387082895034</v>
      </c>
      <c r="X16" s="1306">
        <f>W16*(1+$K43)^0.25</f>
        <v>196.04485309259218</v>
      </c>
      <c r="Y16" s="1306">
        <f>X16*(1+$K43)^0.25</f>
        <v>198.0766773342217</v>
      </c>
      <c r="Z16" s="1306">
        <f>Y16*(1+$K43)^0.25</f>
        <v>200.12955956173431</v>
      </c>
      <c r="AA16" s="1306">
        <f>Z16*(1+$K43)^0.25</f>
        <v>202.20371802174816</v>
      </c>
      <c r="AB16" s="1306">
        <f>AA16*(1+$L43)^0.25</f>
        <v>202.20371802174816</v>
      </c>
      <c r="AC16" s="716">
        <f>AB16*(1+$L43)^0.25</f>
        <v>202.20371802174816</v>
      </c>
      <c r="AD16" s="736"/>
      <c r="AF16" s="1061"/>
      <c r="AG16" s="1061"/>
      <c r="AH16" s="1061"/>
      <c r="AI16" s="1061"/>
      <c r="AJ16" s="1061"/>
      <c r="AK16" s="1061"/>
      <c r="AL16" s="1061"/>
      <c r="AM16" s="1061"/>
      <c r="AN16" s="1061"/>
      <c r="AO16" s="1061"/>
      <c r="AU16" s="736"/>
      <c r="AV16" s="736"/>
      <c r="AW16" s="736"/>
      <c r="AX16" s="736"/>
      <c r="AY16" s="736"/>
      <c r="AZ16" s="736"/>
      <c r="BA16" s="736"/>
      <c r="BB16" s="736"/>
      <c r="BC16" s="736"/>
    </row>
    <row r="17" spans="4:55" x14ac:dyDescent="0.35">
      <c r="D17" s="728" t="s">
        <v>1520</v>
      </c>
      <c r="E17" s="729"/>
      <c r="F17" s="767"/>
      <c r="G17" s="676"/>
      <c r="H17" s="676"/>
      <c r="I17" s="676"/>
      <c r="J17" s="676"/>
      <c r="K17" s="676"/>
      <c r="L17" s="676"/>
      <c r="M17" s="676"/>
      <c r="N17" s="676"/>
      <c r="O17" s="676"/>
      <c r="P17" s="676"/>
      <c r="Q17" s="676"/>
      <c r="R17" s="676"/>
      <c r="S17" s="678"/>
      <c r="T17" s="1304"/>
      <c r="U17" s="1318">
        <v>0</v>
      </c>
      <c r="V17" s="1306">
        <v>0</v>
      </c>
      <c r="W17" s="1306">
        <v>0</v>
      </c>
      <c r="X17" s="1306">
        <v>0</v>
      </c>
      <c r="Y17" s="1306">
        <v>0</v>
      </c>
      <c r="Z17" s="1306">
        <v>0</v>
      </c>
      <c r="AA17" s="1306">
        <v>0</v>
      </c>
      <c r="AB17" s="1306">
        <v>0</v>
      </c>
      <c r="AC17" s="716">
        <v>0</v>
      </c>
      <c r="AD17" s="736"/>
      <c r="AF17" s="1061"/>
      <c r="AG17" s="1061"/>
      <c r="AH17" s="1061"/>
      <c r="AI17" s="1061"/>
      <c r="AJ17" s="1061"/>
      <c r="AK17" s="1061"/>
      <c r="AL17" s="1061"/>
      <c r="AM17" s="1061"/>
      <c r="AN17" s="1061"/>
      <c r="AO17" s="1061"/>
      <c r="AU17" s="736"/>
      <c r="AV17" s="736"/>
      <c r="AW17" s="736"/>
      <c r="AX17" s="736"/>
      <c r="AY17" s="736"/>
      <c r="AZ17" s="736"/>
      <c r="BA17" s="736"/>
      <c r="BB17" s="736"/>
      <c r="BC17" s="736"/>
    </row>
    <row r="18" spans="4:55" ht="14.9" customHeight="1" x14ac:dyDescent="0.35">
      <c r="D18" s="477" t="s">
        <v>535</v>
      </c>
      <c r="E18" s="718" t="s">
        <v>119</v>
      </c>
      <c r="F18" s="792">
        <f>'Haver Pivoted'!GQ29</f>
        <v>215.9</v>
      </c>
      <c r="G18" s="679">
        <f>'Haver Pivoted'!GR29</f>
        <v>196.9</v>
      </c>
      <c r="H18" s="679">
        <f>'Haver Pivoted'!GS29</f>
        <v>226.2</v>
      </c>
      <c r="I18" s="679">
        <f>'Haver Pivoted'!GT29</f>
        <v>183.1</v>
      </c>
      <c r="J18" s="679">
        <f>'Haver Pivoted'!GU29</f>
        <v>177.8</v>
      </c>
      <c r="K18" s="679">
        <f>'Haver Pivoted'!GV29</f>
        <v>218.4</v>
      </c>
      <c r="L18" s="679">
        <f>'Haver Pivoted'!GW29</f>
        <v>226.5</v>
      </c>
      <c r="M18" s="679">
        <f>'Haver Pivoted'!GX29</f>
        <v>249.6</v>
      </c>
      <c r="N18" s="679">
        <f>'Haver Pivoted'!GY29</f>
        <v>281.39999999999998</v>
      </c>
      <c r="O18" s="679">
        <f>'Haver Pivoted'!GZ29</f>
        <v>278.39999999999998</v>
      </c>
      <c r="P18" s="679">
        <f>'Haver Pivoted'!HA29</f>
        <v>304.8</v>
      </c>
      <c r="Q18" s="679">
        <f>'Haver Pivoted'!HB29</f>
        <v>313.8</v>
      </c>
      <c r="R18" s="679">
        <f>'Haver Pivoted'!HC29</f>
        <v>353.2</v>
      </c>
      <c r="S18" s="680">
        <f>'Haver Pivoted'!HD29</f>
        <v>340.6</v>
      </c>
      <c r="T18" s="1306">
        <f t="shared" ref="T18:AC18" si="5">T20+T19</f>
        <v>350.30119606059549</v>
      </c>
      <c r="U18" s="1318">
        <f t="shared" si="5"/>
        <v>360.27870804898345</v>
      </c>
      <c r="V18" s="1306">
        <f t="shared" si="5"/>
        <v>370.54040617946271</v>
      </c>
      <c r="W18" s="1306">
        <f t="shared" si="5"/>
        <v>381.09438483101775</v>
      </c>
      <c r="X18" s="1306">
        <f t="shared" si="5"/>
        <v>381.72153892635089</v>
      </c>
      <c r="Y18" s="1306">
        <f t="shared" si="5"/>
        <v>382.34972510789402</v>
      </c>
      <c r="Z18" s="1306">
        <f t="shared" si="5"/>
        <v>382.97894507411644</v>
      </c>
      <c r="AA18" s="1306">
        <f t="shared" si="5"/>
        <v>383.60920052628245</v>
      </c>
      <c r="AB18" s="1306">
        <f t="shared" si="5"/>
        <v>385.61244152866738</v>
      </c>
      <c r="AC18" s="716">
        <f t="shared" si="5"/>
        <v>400.52681927840081</v>
      </c>
      <c r="AD18" s="745"/>
      <c r="AF18" s="1061"/>
      <c r="AG18" s="1061"/>
      <c r="AH18" s="1061"/>
      <c r="AI18" s="1061"/>
      <c r="AJ18" s="1061"/>
      <c r="AK18" s="1061"/>
      <c r="AL18" s="1061"/>
      <c r="AM18" s="1061"/>
      <c r="AN18" s="1061"/>
      <c r="AO18" s="1061"/>
      <c r="AU18" s="745"/>
      <c r="AV18" s="745"/>
      <c r="AW18" s="745"/>
      <c r="AX18" s="745"/>
      <c r="AY18" s="745"/>
      <c r="AZ18" s="745"/>
      <c r="BA18" s="745"/>
      <c r="BB18" s="745"/>
      <c r="BC18" s="745"/>
    </row>
    <row r="19" spans="4:55" x14ac:dyDescent="0.35">
      <c r="D19" s="277" t="s">
        <v>1466</v>
      </c>
      <c r="E19" s="69"/>
      <c r="F19" s="765"/>
      <c r="G19" s="674"/>
      <c r="H19" s="674"/>
      <c r="I19" s="674"/>
      <c r="J19" s="674"/>
      <c r="K19" s="674"/>
      <c r="L19" s="674"/>
      <c r="M19" s="674"/>
      <c r="N19" s="674"/>
      <c r="O19" s="674"/>
      <c r="P19" s="674"/>
      <c r="Q19" s="681"/>
      <c r="R19" s="674"/>
      <c r="S19" s="678"/>
      <c r="T19" s="1304">
        <f>S18*(1+$J44)^0.25</f>
        <v>350.30119606059549</v>
      </c>
      <c r="U19" s="1318">
        <f>T18*(1+$J44)^0.25</f>
        <v>360.27870804898345</v>
      </c>
      <c r="V19" s="1306">
        <f>U19*(1+$J44)^0.25</f>
        <v>370.54040617946271</v>
      </c>
      <c r="W19" s="1306">
        <f>V19*(1+$J44)^0.25</f>
        <v>381.09438483101775</v>
      </c>
      <c r="X19" s="1306">
        <f>W19*(1+$K44)^0.25</f>
        <v>381.72153892635089</v>
      </c>
      <c r="Y19" s="1306">
        <f>X19*(1+$K44)^0.25</f>
        <v>382.34972510789402</v>
      </c>
      <c r="Z19" s="1306">
        <f>Y19*(1+$K44)^0.25</f>
        <v>382.97894507411644</v>
      </c>
      <c r="AA19" s="1306">
        <f>Z19*(1+$K44)^0.25</f>
        <v>383.60920052628245</v>
      </c>
      <c r="AB19" s="1306">
        <f>AA19*(1+$L44)^0.25</f>
        <v>385.61244152866738</v>
      </c>
      <c r="AC19" s="716">
        <f>AB19*(1+$I44)^0.25</f>
        <v>400.52681927840081</v>
      </c>
      <c r="AD19" s="736"/>
      <c r="AF19" s="1061"/>
      <c r="AG19" s="1061"/>
      <c r="AH19" s="1061"/>
      <c r="AI19" s="1061"/>
      <c r="AJ19" s="1061"/>
      <c r="AK19" s="1061"/>
      <c r="AL19" s="1061"/>
      <c r="AM19" s="1061"/>
      <c r="AN19" s="1061"/>
      <c r="AO19" s="1061"/>
      <c r="AU19" s="736"/>
      <c r="AV19" s="736"/>
      <c r="AW19" s="736"/>
      <c r="AX19" s="736"/>
      <c r="AY19" s="736"/>
      <c r="AZ19" s="736"/>
      <c r="BA19" s="736"/>
      <c r="BB19" s="736"/>
      <c r="BC19" s="736"/>
    </row>
    <row r="20" spans="4:55" ht="14.9" customHeight="1" x14ac:dyDescent="0.35">
      <c r="D20" s="277" t="s">
        <v>1464</v>
      </c>
      <c r="E20" s="718"/>
      <c r="F20" s="792"/>
      <c r="G20" s="679"/>
      <c r="H20" s="679"/>
      <c r="I20" s="679"/>
      <c r="J20" s="679"/>
      <c r="K20" s="679"/>
      <c r="L20" s="679"/>
      <c r="M20" s="679"/>
      <c r="N20" s="679"/>
      <c r="O20" s="679"/>
      <c r="P20" s="679"/>
      <c r="Q20" s="679"/>
      <c r="R20" s="679"/>
      <c r="S20" s="678"/>
      <c r="T20" s="1304">
        <v>0</v>
      </c>
      <c r="U20" s="1318">
        <v>0</v>
      </c>
      <c r="V20" s="1306">
        <v>0</v>
      </c>
      <c r="W20" s="1306">
        <v>0</v>
      </c>
      <c r="X20" s="1306">
        <v>0</v>
      </c>
      <c r="Y20" s="1306">
        <v>0</v>
      </c>
      <c r="Z20" s="1306">
        <v>0</v>
      </c>
      <c r="AA20" s="1306">
        <v>0</v>
      </c>
      <c r="AB20" s="1306">
        <v>0</v>
      </c>
      <c r="AC20" s="716">
        <v>0</v>
      </c>
      <c r="AD20" s="745"/>
      <c r="AF20" s="1061"/>
      <c r="AG20" s="1061"/>
      <c r="AH20" s="1061"/>
      <c r="AI20" s="1061"/>
      <c r="AJ20" s="1061"/>
      <c r="AK20" s="1061"/>
      <c r="AL20" s="1061"/>
      <c r="AM20" s="1061"/>
      <c r="AN20" s="1061"/>
      <c r="AO20" s="1061"/>
      <c r="AU20" s="745"/>
      <c r="AV20" s="745"/>
      <c r="AW20" s="745"/>
      <c r="AX20" s="745"/>
      <c r="AY20" s="745"/>
      <c r="AZ20" s="745"/>
      <c r="BA20" s="745"/>
      <c r="BB20" s="745"/>
      <c r="BC20" s="745"/>
    </row>
    <row r="21" spans="4:55" x14ac:dyDescent="0.35">
      <c r="D21" s="726" t="s">
        <v>523</v>
      </c>
      <c r="E21" s="408"/>
      <c r="F21" s="1326"/>
      <c r="G21" s="1301"/>
      <c r="H21" s="1301"/>
      <c r="I21" s="1301"/>
      <c r="J21" s="1301"/>
      <c r="K21" s="1301"/>
      <c r="L21" s="1301"/>
      <c r="M21" s="1301"/>
      <c r="N21" s="1301"/>
      <c r="O21" s="1301"/>
      <c r="P21" s="1301"/>
      <c r="Q21" s="1301"/>
      <c r="R21" s="1301"/>
      <c r="S21" s="1301"/>
      <c r="T21" s="1327"/>
      <c r="U21" s="1329"/>
      <c r="V21" s="1330"/>
      <c r="W21" s="1330"/>
      <c r="X21" s="1330"/>
      <c r="Y21" s="1330"/>
      <c r="Z21" s="1330"/>
      <c r="AA21" s="1330"/>
      <c r="AB21" s="1330"/>
      <c r="AC21" s="1331"/>
      <c r="AF21" s="1061"/>
      <c r="AG21" s="1061"/>
      <c r="AH21" s="1061"/>
      <c r="AI21" s="1061"/>
      <c r="AJ21" s="1061"/>
      <c r="AK21" s="1061"/>
      <c r="AL21" s="1061"/>
      <c r="AM21" s="1061"/>
      <c r="AN21" s="1061"/>
      <c r="AO21" s="1061"/>
    </row>
    <row r="22" spans="4:55" ht="14.9" customHeight="1" x14ac:dyDescent="0.35">
      <c r="D22" s="743" t="s">
        <v>531</v>
      </c>
      <c r="E22" s="719"/>
      <c r="F22" s="792">
        <f t="shared" ref="F22:P22" si="6">SUM(F24:F26)</f>
        <v>1894.6</v>
      </c>
      <c r="G22" s="1307">
        <f t="shared" si="6"/>
        <v>1889.1999999999998</v>
      </c>
      <c r="H22" s="1307">
        <f t="shared" si="6"/>
        <v>1883</v>
      </c>
      <c r="I22" s="1307">
        <f t="shared" si="6"/>
        <v>1897.5</v>
      </c>
      <c r="J22" s="1307">
        <f t="shared" si="6"/>
        <v>1801.6</v>
      </c>
      <c r="K22" s="1307">
        <f t="shared" si="6"/>
        <v>1933.3000000000002</v>
      </c>
      <c r="L22" s="1307">
        <f t="shared" si="6"/>
        <v>1955.6</v>
      </c>
      <c r="M22" s="1307">
        <f t="shared" si="6"/>
        <v>1992.6</v>
      </c>
      <c r="N22" s="1307">
        <f t="shared" si="6"/>
        <v>2088.7000000000003</v>
      </c>
      <c r="O22" s="1307">
        <f t="shared" si="6"/>
        <v>2060.8000000000002</v>
      </c>
      <c r="P22" s="1307">
        <f t="shared" si="6"/>
        <v>2119.9</v>
      </c>
      <c r="Q22" s="1307">
        <f>SUM(Q23:Q26)</f>
        <v>2152.4</v>
      </c>
      <c r="R22" s="1307">
        <f t="shared" ref="R22:AC22" si="7">SUM(R23:R26)</f>
        <v>2179.5</v>
      </c>
      <c r="S22" s="1307">
        <f t="shared" si="7"/>
        <v>2201</v>
      </c>
      <c r="T22" s="693">
        <f t="shared" si="7"/>
        <v>2205.8000000000002</v>
      </c>
      <c r="U22" s="1319">
        <f>SUM(U24:U26)</f>
        <v>2232.4070379024242</v>
      </c>
      <c r="V22" s="1310">
        <f t="shared" si="7"/>
        <v>2257.3320679704652</v>
      </c>
      <c r="W22" s="1310">
        <f t="shared" si="7"/>
        <v>2282.8714249965174</v>
      </c>
      <c r="X22" s="1310">
        <f t="shared" si="7"/>
        <v>2308.5582874457068</v>
      </c>
      <c r="Y22" s="1310">
        <f t="shared" si="7"/>
        <v>2332.3157040423512</v>
      </c>
      <c r="Z22" s="1310">
        <f t="shared" si="7"/>
        <v>2355.3202036226157</v>
      </c>
      <c r="AA22" s="1310">
        <f t="shared" si="7"/>
        <v>2378.2329159267574</v>
      </c>
      <c r="AB22" s="1310">
        <f t="shared" si="7"/>
        <v>2402.1008683516784</v>
      </c>
      <c r="AC22" s="727">
        <f t="shared" si="7"/>
        <v>2426.7126329151943</v>
      </c>
      <c r="AF22" s="1061"/>
      <c r="AG22" s="1061"/>
      <c r="AH22" s="1061"/>
      <c r="AI22" s="1061"/>
      <c r="AJ22" s="1061"/>
      <c r="AK22" s="1061"/>
      <c r="AL22" s="1061"/>
      <c r="AM22" s="1061"/>
      <c r="AN22" s="1061"/>
      <c r="AO22" s="1061"/>
    </row>
    <row r="23" spans="4:55" ht="42" customHeight="1" x14ac:dyDescent="0.35">
      <c r="D23" s="734" t="s">
        <v>885</v>
      </c>
      <c r="E23" s="719"/>
      <c r="F23" s="792"/>
      <c r="G23" s="1307"/>
      <c r="H23" s="1307"/>
      <c r="I23" s="1307"/>
      <c r="J23" s="1307"/>
      <c r="K23" s="1307"/>
      <c r="L23" s="1307"/>
      <c r="M23" s="1307"/>
      <c r="N23" s="1307"/>
      <c r="O23" s="1307"/>
      <c r="P23" s="1307"/>
      <c r="Q23" s="1308"/>
      <c r="R23" s="1308"/>
      <c r="S23" s="1308"/>
      <c r="T23" s="424"/>
      <c r="U23" s="1320">
        <v>0</v>
      </c>
      <c r="V23" s="1311"/>
      <c r="W23" s="1311"/>
      <c r="X23" s="1311"/>
      <c r="Y23" s="1311"/>
      <c r="Z23" s="1311"/>
      <c r="AA23" s="1311"/>
      <c r="AB23" s="1311"/>
      <c r="AC23" s="412"/>
      <c r="AF23" s="1061"/>
      <c r="AG23" s="1061"/>
      <c r="AH23" s="1061"/>
      <c r="AI23" s="1061"/>
      <c r="AJ23" s="1061"/>
      <c r="AK23" s="1061"/>
      <c r="AL23" s="1061"/>
      <c r="AM23" s="1061"/>
      <c r="AN23" s="1061"/>
      <c r="AO23" s="1061"/>
    </row>
    <row r="24" spans="4:55" s="1174" customFormat="1" x14ac:dyDescent="0.35">
      <c r="D24" s="1242" t="s">
        <v>536</v>
      </c>
      <c r="E24" s="1243" t="s">
        <v>537</v>
      </c>
      <c r="F24" s="1262">
        <f>'Haver Pivoted'!GQ33</f>
        <v>529</v>
      </c>
      <c r="G24" s="1303">
        <f>'Haver Pivoted'!GR33</f>
        <v>495.2</v>
      </c>
      <c r="H24" s="1303">
        <f>'Haver Pivoted'!GS33</f>
        <v>489.6</v>
      </c>
      <c r="I24" s="1303">
        <f>'Haver Pivoted'!GT33</f>
        <v>497.5</v>
      </c>
      <c r="J24" s="1303">
        <f>'Haver Pivoted'!GU33</f>
        <v>488</v>
      </c>
      <c r="K24" s="1303">
        <f>'Haver Pivoted'!GV33</f>
        <v>515.4</v>
      </c>
      <c r="L24" s="1303">
        <f>'Haver Pivoted'!GW33</f>
        <v>522.9</v>
      </c>
      <c r="M24" s="1303">
        <f>'Haver Pivoted'!GX33</f>
        <v>543.6</v>
      </c>
      <c r="N24" s="1303">
        <f>'Haver Pivoted'!GY33</f>
        <v>566.6</v>
      </c>
      <c r="O24" s="1303">
        <f>'Haver Pivoted'!GZ33</f>
        <v>534.4</v>
      </c>
      <c r="P24" s="1303">
        <f>'Haver Pivoted'!HA33</f>
        <v>570.79999999999995</v>
      </c>
      <c r="Q24" s="1303">
        <f>'Haver Pivoted'!HB33</f>
        <v>581.29999999999995</v>
      </c>
      <c r="R24" s="1303">
        <f>'Haver Pivoted'!HC33</f>
        <v>589.79999999999995</v>
      </c>
      <c r="S24" s="1303">
        <f>'Haver Pivoted'!HD33</f>
        <v>594.79999999999995</v>
      </c>
      <c r="T24" s="1264">
        <f>'Haver Pivoted'!HE33</f>
        <v>588.5</v>
      </c>
      <c r="U24" s="1321">
        <f t="shared" ref="U24:AC24" si="8">$T127*U136*(U105/$T105)+U23</f>
        <v>595.84966099388885</v>
      </c>
      <c r="V24" s="1312">
        <f t="shared" si="8"/>
        <v>603.7264424766721</v>
      </c>
      <c r="W24" s="1312">
        <f t="shared" si="8"/>
        <v>611.1061293211942</v>
      </c>
      <c r="X24" s="1312">
        <f t="shared" si="8"/>
        <v>618.94287633646638</v>
      </c>
      <c r="Y24" s="1312">
        <f t="shared" si="8"/>
        <v>625.69869272894255</v>
      </c>
      <c r="Z24" s="1312">
        <f t="shared" si="8"/>
        <v>632.08085409131627</v>
      </c>
      <c r="AA24" s="1312">
        <f t="shared" si="8"/>
        <v>638.48970509869741</v>
      </c>
      <c r="AB24" s="1312">
        <f t="shared" si="8"/>
        <v>644.9919698636038</v>
      </c>
      <c r="AC24" s="1322">
        <f t="shared" si="8"/>
        <v>651.71442419982088</v>
      </c>
      <c r="AF24" s="1266"/>
      <c r="AG24" s="1266"/>
      <c r="AH24" s="1266"/>
      <c r="AI24" s="1266"/>
      <c r="AJ24" s="1266"/>
      <c r="AK24" s="1266"/>
      <c r="AL24" s="1266"/>
      <c r="AM24" s="1266"/>
      <c r="AN24" s="1266"/>
      <c r="AO24" s="1266"/>
    </row>
    <row r="25" spans="4:55" x14ac:dyDescent="0.35">
      <c r="D25" s="506" t="s">
        <v>533</v>
      </c>
      <c r="E25" s="49" t="s">
        <v>538</v>
      </c>
      <c r="F25" s="767">
        <f>'Haver Pivoted'!GQ36</f>
        <v>20.8</v>
      </c>
      <c r="G25" s="1328">
        <f>'Haver Pivoted'!GR36</f>
        <v>20.7</v>
      </c>
      <c r="H25" s="1328">
        <f>'Haver Pivoted'!GS36</f>
        <v>20.7</v>
      </c>
      <c r="I25" s="1328">
        <f>'Haver Pivoted'!GT36</f>
        <v>20.7</v>
      </c>
      <c r="J25" s="1328">
        <f>'Haver Pivoted'!GU36</f>
        <v>19.8</v>
      </c>
      <c r="K25" s="1328">
        <f>'Haver Pivoted'!GV36</f>
        <v>20.5</v>
      </c>
      <c r="L25" s="1328">
        <f>'Haver Pivoted'!GW36</f>
        <v>21.3</v>
      </c>
      <c r="M25" s="1328">
        <f>'Haver Pivoted'!GX36</f>
        <v>22</v>
      </c>
      <c r="N25" s="1328">
        <f>'Haver Pivoted'!GY36</f>
        <v>22.7</v>
      </c>
      <c r="O25" s="1328">
        <f>'Haver Pivoted'!GZ36</f>
        <v>23.2</v>
      </c>
      <c r="P25" s="1328">
        <f>'Haver Pivoted'!HA36</f>
        <v>23.4</v>
      </c>
      <c r="Q25" s="1328">
        <f>'Haver Pivoted'!HB36</f>
        <v>23.4</v>
      </c>
      <c r="R25" s="1328">
        <f>'Haver Pivoted'!HC36</f>
        <v>23.6</v>
      </c>
      <c r="S25" s="1305">
        <f>'Haver Pivoted'!HD36</f>
        <v>23.9</v>
      </c>
      <c r="T25" s="706">
        <f>'Haver Pivoted'!HE36</f>
        <v>24.5</v>
      </c>
      <c r="U25" s="1323">
        <f t="shared" ref="U25:AC25" si="9">$T128*U137*(U107/$T107)</f>
        <v>24.769872497042456</v>
      </c>
      <c r="V25" s="1313">
        <f t="shared" si="9"/>
        <v>25.007755334530955</v>
      </c>
      <c r="W25" s="1313">
        <f t="shared" si="9"/>
        <v>25.277413135871711</v>
      </c>
      <c r="X25" s="1313">
        <f t="shared" si="9"/>
        <v>25.585501467817551</v>
      </c>
      <c r="Y25" s="1313">
        <f t="shared" si="9"/>
        <v>25.892731016956578</v>
      </c>
      <c r="Z25" s="1313">
        <f t="shared" si="9"/>
        <v>26.195451956359815</v>
      </c>
      <c r="AA25" s="1313">
        <f t="shared" si="9"/>
        <v>26.504613766814181</v>
      </c>
      <c r="AB25" s="1313">
        <f t="shared" si="9"/>
        <v>26.827945493581034</v>
      </c>
      <c r="AC25" s="1324">
        <f t="shared" si="9"/>
        <v>27.166305919467202</v>
      </c>
      <c r="AF25" s="1061"/>
      <c r="AG25" s="1061"/>
      <c r="AH25" s="1061"/>
      <c r="AI25" s="1061"/>
      <c r="AJ25" s="1061"/>
      <c r="AK25" s="1061"/>
      <c r="AL25" s="1061"/>
      <c r="AM25" s="1061"/>
      <c r="AN25" s="1061"/>
      <c r="AO25" s="1061"/>
    </row>
    <row r="26" spans="4:55" s="1174" customFormat="1" x14ac:dyDescent="0.35">
      <c r="D26" s="1242" t="s">
        <v>534</v>
      </c>
      <c r="E26" s="1243" t="s">
        <v>539</v>
      </c>
      <c r="F26" s="1262">
        <f>'Haver Pivoted'!GQ34</f>
        <v>1344.8</v>
      </c>
      <c r="G26" s="1303">
        <f>'Haver Pivoted'!GR34</f>
        <v>1373.3</v>
      </c>
      <c r="H26" s="1303">
        <f>'Haver Pivoted'!GS34</f>
        <v>1372.7</v>
      </c>
      <c r="I26" s="1303">
        <f>'Haver Pivoted'!GT34</f>
        <v>1379.3</v>
      </c>
      <c r="J26" s="1303">
        <f>'Haver Pivoted'!GU34</f>
        <v>1293.8</v>
      </c>
      <c r="K26" s="1303">
        <f>'Haver Pivoted'!GV34</f>
        <v>1397.4</v>
      </c>
      <c r="L26" s="1303">
        <f>'Haver Pivoted'!GW34</f>
        <v>1411.4</v>
      </c>
      <c r="M26" s="1303">
        <f>'Haver Pivoted'!GX34</f>
        <v>1427</v>
      </c>
      <c r="N26" s="1303">
        <f>'Haver Pivoted'!GY34</f>
        <v>1499.4</v>
      </c>
      <c r="O26" s="1303">
        <f>'Haver Pivoted'!GZ34</f>
        <v>1503.2</v>
      </c>
      <c r="P26" s="1303">
        <f>'Haver Pivoted'!HA34</f>
        <v>1525.7</v>
      </c>
      <c r="Q26" s="1303">
        <f>'Haver Pivoted'!HB34</f>
        <v>1547.7</v>
      </c>
      <c r="R26" s="1303">
        <f>'Haver Pivoted'!HC34</f>
        <v>1566.1</v>
      </c>
      <c r="S26" s="1303">
        <f>'Haver Pivoted'!HD34</f>
        <v>1582.3</v>
      </c>
      <c r="T26" s="1264">
        <f>'Haver Pivoted'!HE34</f>
        <v>1592.8</v>
      </c>
      <c r="U26" s="1321">
        <f>$T133*U138*(U111/$T111)</f>
        <v>1611.787504411493</v>
      </c>
      <c r="V26" s="1312">
        <f t="shared" ref="V26:AC26" si="10">$T133*V138*(V111/$T111)</f>
        <v>1628.5978701592621</v>
      </c>
      <c r="W26" s="1312">
        <f t="shared" si="10"/>
        <v>1646.4878825394514</v>
      </c>
      <c r="X26" s="1312">
        <f t="shared" si="10"/>
        <v>1664.0299096414228</v>
      </c>
      <c r="Y26" s="1312">
        <f t="shared" si="10"/>
        <v>1680.7242802964522</v>
      </c>
      <c r="Z26" s="1312">
        <f t="shared" si="10"/>
        <v>1697.0438975749396</v>
      </c>
      <c r="AA26" s="1312">
        <f t="shared" si="10"/>
        <v>1713.2385970612456</v>
      </c>
      <c r="AB26" s="1312">
        <f t="shared" si="10"/>
        <v>1730.2809529944936</v>
      </c>
      <c r="AC26" s="1322">
        <f t="shared" si="10"/>
        <v>1747.8319027959062</v>
      </c>
      <c r="AF26" s="1266"/>
      <c r="AG26" s="1266"/>
      <c r="AH26" s="1266"/>
      <c r="AI26" s="1266"/>
      <c r="AJ26" s="1266"/>
      <c r="AK26" s="1266"/>
      <c r="AL26" s="1266"/>
      <c r="AM26" s="1266"/>
      <c r="AN26" s="1266"/>
      <c r="AO26" s="1266"/>
    </row>
    <row r="27" spans="4:55" ht="14.9" customHeight="1" x14ac:dyDescent="0.35">
      <c r="D27" s="746" t="s">
        <v>535</v>
      </c>
      <c r="E27" s="766" t="s">
        <v>540</v>
      </c>
      <c r="F27" s="793">
        <f>'Haver Pivoted'!GQ35</f>
        <v>74.5</v>
      </c>
      <c r="G27" s="710">
        <f>'Haver Pivoted'!GR35</f>
        <v>73.400000000000006</v>
      </c>
      <c r="H27" s="710">
        <f>'Haver Pivoted'!GS35</f>
        <v>72.099999999999994</v>
      </c>
      <c r="I27" s="710">
        <f>'Haver Pivoted'!GT35</f>
        <v>67.7</v>
      </c>
      <c r="J27" s="710">
        <f>'Haver Pivoted'!GU35</f>
        <v>65</v>
      </c>
      <c r="K27" s="710">
        <f>'Haver Pivoted'!GV35</f>
        <v>80.900000000000006</v>
      </c>
      <c r="L27" s="710">
        <f>'Haver Pivoted'!GW35</f>
        <v>84.8</v>
      </c>
      <c r="M27" s="710">
        <f>'Haver Pivoted'!GX35</f>
        <v>88</v>
      </c>
      <c r="N27" s="710">
        <f>'Haver Pivoted'!GY35</f>
        <v>90.3</v>
      </c>
      <c r="O27" s="710">
        <f>'Haver Pivoted'!GZ35</f>
        <v>94.4</v>
      </c>
      <c r="P27" s="710">
        <f>'Haver Pivoted'!HA35</f>
        <v>110.5</v>
      </c>
      <c r="Q27" s="710">
        <f>'Haver Pivoted'!HB35</f>
        <v>165.9</v>
      </c>
      <c r="R27" s="710">
        <f>'Haver Pivoted'!HC35</f>
        <v>109.8</v>
      </c>
      <c r="S27" s="705">
        <f>'Haver Pivoted'!HD35</f>
        <v>100.7</v>
      </c>
      <c r="T27" s="684">
        <f t="shared" ref="T27:AC27" si="11">$S134*T139*(T113/$S113)</f>
        <v>95.360546952748706</v>
      </c>
      <c r="U27" s="1325">
        <f t="shared" si="11"/>
        <v>88.958815333784486</v>
      </c>
      <c r="V27" s="720">
        <f t="shared" si="11"/>
        <v>83.91599856693604</v>
      </c>
      <c r="W27" s="720">
        <f t="shared" si="11"/>
        <v>81.073902312806027</v>
      </c>
      <c r="X27" s="720">
        <f t="shared" si="11"/>
        <v>78.997448349986072</v>
      </c>
      <c r="Y27" s="720">
        <f t="shared" si="11"/>
        <v>79.891365789578444</v>
      </c>
      <c r="Z27" s="720">
        <f t="shared" si="11"/>
        <v>81.322435412602999</v>
      </c>
      <c r="AA27" s="720">
        <f t="shared" si="11"/>
        <v>83.346777596433256</v>
      </c>
      <c r="AB27" s="720">
        <f t="shared" si="11"/>
        <v>86.228959834401508</v>
      </c>
      <c r="AC27" s="684">
        <f t="shared" si="11"/>
        <v>89.010927112774183</v>
      </c>
      <c r="AF27" s="1061"/>
      <c r="AG27" s="1061"/>
      <c r="AH27" s="1061"/>
      <c r="AI27" s="1061"/>
      <c r="AJ27" s="1061"/>
      <c r="AK27" s="1061"/>
      <c r="AL27" s="1061"/>
      <c r="AM27" s="1061"/>
      <c r="AN27" s="1061"/>
      <c r="AO27" s="1061"/>
    </row>
    <row r="28" spans="4:55" ht="14.9" customHeight="1" x14ac:dyDescent="0.35">
      <c r="D28" s="725"/>
      <c r="E28" s="719"/>
    </row>
    <row r="29" spans="4:55" s="1066" customFormat="1" ht="14.9" customHeight="1" x14ac:dyDescent="0.35">
      <c r="D29" s="725"/>
      <c r="E29" s="719"/>
    </row>
    <row r="30" spans="4:55" s="1066" customFormat="1" ht="14.9" customHeight="1" x14ac:dyDescent="0.35">
      <c r="D30" s="725"/>
      <c r="E30" s="719"/>
    </row>
    <row r="31" spans="4:55" s="1066" customFormat="1" ht="14.9" customHeight="1" x14ac:dyDescent="0.35">
      <c r="D31" s="725"/>
      <c r="E31" s="719"/>
    </row>
    <row r="32" spans="4:55" ht="14.9" customHeight="1" x14ac:dyDescent="0.35">
      <c r="D32" s="725"/>
      <c r="E32" s="719"/>
      <c r="F32" s="679"/>
      <c r="G32" s="679"/>
      <c r="H32" s="679"/>
      <c r="I32" s="679"/>
      <c r="J32" s="679"/>
      <c r="K32" s="679"/>
      <c r="L32" s="679"/>
      <c r="M32" s="679"/>
      <c r="N32" s="679"/>
      <c r="O32" s="679"/>
      <c r="P32" s="679"/>
      <c r="AB32" s="676"/>
      <c r="AC32" s="676"/>
    </row>
    <row r="33" spans="3:40" ht="14.9" customHeight="1" x14ac:dyDescent="0.35">
      <c r="D33" s="725"/>
      <c r="E33" s="719"/>
      <c r="F33" s="679"/>
      <c r="G33" s="679"/>
      <c r="H33" s="679"/>
      <c r="I33" s="679"/>
      <c r="J33" s="679"/>
      <c r="K33" s="679"/>
      <c r="L33" s="679"/>
      <c r="M33" s="679"/>
      <c r="N33" s="679"/>
      <c r="O33" s="679"/>
      <c r="P33" s="679"/>
      <c r="AB33" s="674"/>
      <c r="AC33" s="694"/>
    </row>
    <row r="34" spans="3:40" ht="14.9" customHeight="1" x14ac:dyDescent="0.35">
      <c r="D34" s="725"/>
      <c r="E34" s="719"/>
      <c r="F34" s="753"/>
      <c r="G34" s="753"/>
      <c r="H34" s="679"/>
      <c r="I34" s="679"/>
      <c r="J34" s="679"/>
      <c r="K34" s="679"/>
      <c r="L34" s="679"/>
      <c r="AD34" s="456"/>
      <c r="AE34" s="456"/>
      <c r="AF34" s="456"/>
      <c r="AG34" s="456"/>
      <c r="AH34" s="456"/>
      <c r="AI34" s="456"/>
      <c r="AJ34" s="456"/>
      <c r="AK34" s="456"/>
      <c r="AL34" s="273"/>
      <c r="AM34" s="273"/>
      <c r="AN34" s="273"/>
    </row>
    <row r="35" spans="3:40" ht="14.9" customHeight="1" x14ac:dyDescent="0.35">
      <c r="D35" s="196"/>
      <c r="E35" s="157"/>
      <c r="F35" s="157"/>
      <c r="G35" s="157"/>
      <c r="H35" s="157"/>
      <c r="I35" s="157"/>
      <c r="J35" s="157"/>
      <c r="K35" s="157"/>
      <c r="L35" s="157"/>
      <c r="AD35" s="273"/>
      <c r="AE35" s="273"/>
      <c r="AF35" s="273"/>
      <c r="AG35" s="273"/>
      <c r="AH35" s="273"/>
      <c r="AI35" s="273"/>
      <c r="AJ35" s="273"/>
      <c r="AK35" s="273"/>
      <c r="AL35" s="273"/>
      <c r="AM35" s="273"/>
      <c r="AN35" s="273"/>
    </row>
    <row r="36" spans="3:40" ht="14.9" customHeight="1" x14ac:dyDescent="0.35">
      <c r="D36" s="1542" t="s">
        <v>998</v>
      </c>
      <c r="E36" s="1543"/>
      <c r="F36" s="1544"/>
      <c r="G36" s="164">
        <v>2020</v>
      </c>
      <c r="H36" s="164">
        <v>2021</v>
      </c>
      <c r="I36" s="1170">
        <v>2022</v>
      </c>
      <c r="J36" s="770">
        <v>2023</v>
      </c>
      <c r="K36" s="770">
        <v>2024</v>
      </c>
      <c r="L36" s="771">
        <v>2025</v>
      </c>
      <c r="AD36" s="273"/>
      <c r="AE36" s="273"/>
      <c r="AF36" s="273"/>
      <c r="AG36" s="273"/>
      <c r="AH36" s="273"/>
      <c r="AI36" s="273"/>
      <c r="AJ36" s="273"/>
      <c r="AK36" s="273"/>
      <c r="AL36" s="273"/>
      <c r="AM36" s="273"/>
      <c r="AN36" s="273"/>
    </row>
    <row r="37" spans="3:40" ht="14.9" customHeight="1" x14ac:dyDescent="0.35">
      <c r="D37" s="733" t="s">
        <v>541</v>
      </c>
      <c r="E37" s="690"/>
      <c r="F37" s="626"/>
      <c r="G37" s="732">
        <f>AVERAGE(H10:K10)</f>
        <v>1702.5749999999998</v>
      </c>
      <c r="H37" s="174">
        <f>AVERAGE(L10:O10)</f>
        <v>2008.4750000000001</v>
      </c>
      <c r="I37" s="174">
        <f>AVERAGE(P10:S10)</f>
        <v>2508.0749999999998</v>
      </c>
      <c r="J37" s="174">
        <f>I37*J51/I51</f>
        <v>2403.8069543756137</v>
      </c>
      <c r="K37" s="174">
        <f t="shared" ref="K37:L37" si="12">J37*K51/J51</f>
        <v>2350.7391252951488</v>
      </c>
      <c r="L37" s="169">
        <f t="shared" si="12"/>
        <v>2392.593656248041</v>
      </c>
      <c r="M37" t="s">
        <v>980</v>
      </c>
      <c r="AD37" s="273"/>
      <c r="AE37" s="273"/>
    </row>
    <row r="38" spans="3:40" ht="14.9" customHeight="1" x14ac:dyDescent="0.35">
      <c r="D38" s="781" t="s">
        <v>548</v>
      </c>
      <c r="E38" s="159"/>
      <c r="F38" s="170"/>
      <c r="G38" s="732">
        <f>AVERAGE(H13:K13)</f>
        <v>1425.3999999999999</v>
      </c>
      <c r="H38" s="174">
        <f>AVERAGE(L13:O13)</f>
        <v>1495.1000000000001</v>
      </c>
      <c r="I38" s="174">
        <f>AVERAGE(P13:S13)</f>
        <v>1623.7</v>
      </c>
      <c r="J38" s="174">
        <f>I38*J53/I53</f>
        <v>1709.9258790206577</v>
      </c>
      <c r="K38" s="174">
        <f t="shared" ref="K38:L38" si="13">J38*K53/J53</f>
        <v>1787.2087043300896</v>
      </c>
      <c r="L38" s="169">
        <f t="shared" si="13"/>
        <v>1863.6870816554617</v>
      </c>
      <c r="AD38" s="273"/>
      <c r="AE38" s="273"/>
    </row>
    <row r="39" spans="3:40" ht="14.9" customHeight="1" x14ac:dyDescent="0.35">
      <c r="D39" s="781" t="s">
        <v>105</v>
      </c>
      <c r="E39" s="159"/>
      <c r="F39" s="170"/>
      <c r="G39" s="732">
        <f>AVERAGE(H15:K15)</f>
        <v>161.30000000000001</v>
      </c>
      <c r="H39" s="174">
        <f>AVERAGE(L15:O15)</f>
        <v>166.42500000000001</v>
      </c>
      <c r="I39" s="174">
        <f>AVERAGE(P15:S15)</f>
        <v>200.55</v>
      </c>
      <c r="J39" s="174">
        <f>I39*J54/I54</f>
        <v>202.68351063829786</v>
      </c>
      <c r="K39" s="174">
        <f>J39*K54/J54</f>
        <v>211.21755319148934</v>
      </c>
      <c r="L39" s="169">
        <f>K39*L54/K54</f>
        <v>211.21755319148934</v>
      </c>
      <c r="AD39" s="273"/>
      <c r="AE39" s="273"/>
    </row>
    <row r="40" spans="3:40" ht="14.9" customHeight="1" x14ac:dyDescent="0.35">
      <c r="D40" s="781" t="s">
        <v>303</v>
      </c>
      <c r="E40" s="159"/>
      <c r="F40" s="170"/>
      <c r="G40" s="732">
        <f>AVERAGE(H18:K18)</f>
        <v>201.37499999999997</v>
      </c>
      <c r="H40" s="174">
        <f>AVERAGE(L18:O18)</f>
        <v>258.97500000000002</v>
      </c>
      <c r="I40" s="174">
        <f>AVERAGE(P18:S18)</f>
        <v>328.1</v>
      </c>
      <c r="J40" s="174">
        <f>I40*J60/I60</f>
        <v>367.10824328554583</v>
      </c>
      <c r="K40" s="174">
        <f>J40*K60/J60</f>
        <v>369.53076539246399</v>
      </c>
      <c r="L40" s="169">
        <f>K40*L60/K60</f>
        <v>377.3103279379194</v>
      </c>
      <c r="AD40" s="273"/>
      <c r="AE40" s="273"/>
    </row>
    <row r="41" spans="3:40" ht="14.9" customHeight="1" x14ac:dyDescent="0.35">
      <c r="C41" s="1174"/>
      <c r="D41" s="1369" t="s">
        <v>994</v>
      </c>
      <c r="E41" s="1175"/>
      <c r="F41" s="1370"/>
      <c r="G41" s="1371"/>
      <c r="H41" s="1372">
        <f>H37/G37-1+0.021</f>
        <v>0.20066903073286077</v>
      </c>
      <c r="I41" s="1372">
        <f>I37/H37-1.05</f>
        <v>0.19874593908313498</v>
      </c>
      <c r="J41" s="1372">
        <f>J37/I37-1</f>
        <v>-4.1572937661109033E-2</v>
      </c>
      <c r="K41" s="1372">
        <f>K37/J37-1</f>
        <v>-2.2076576899765721E-2</v>
      </c>
      <c r="L41" s="1373">
        <f>L37/K37-1</f>
        <v>1.7804838700524517E-2</v>
      </c>
      <c r="M41" t="s">
        <v>979</v>
      </c>
      <c r="AD41" s="273"/>
      <c r="AE41" s="273"/>
    </row>
    <row r="42" spans="3:40" ht="14.9" customHeight="1" x14ac:dyDescent="0.35">
      <c r="C42" s="1174"/>
      <c r="D42" s="1369" t="s">
        <v>995</v>
      </c>
      <c r="E42" s="1175"/>
      <c r="F42" s="1370"/>
      <c r="G42" s="1371"/>
      <c r="H42" s="1372">
        <f>H38/G38-1.03</f>
        <v>1.8898554791637601E-2</v>
      </c>
      <c r="I42" s="1372">
        <f>I38/H38-1.013</f>
        <v>7.3014313423851229E-2</v>
      </c>
      <c r="J42" s="1374">
        <f>J38/I38-1-0.013</f>
        <v>4.0104563047766009E-2</v>
      </c>
      <c r="K42" s="1372">
        <f t="shared" ref="K42" si="14">K38/J38-1</f>
        <v>4.5196593757441006E-2</v>
      </c>
      <c r="L42" s="1373">
        <f>L38/K38-1</f>
        <v>4.2792079705117114E-2</v>
      </c>
      <c r="M42" t="s">
        <v>981</v>
      </c>
      <c r="AD42" s="273"/>
      <c r="AE42" s="273"/>
    </row>
    <row r="43" spans="3:40" ht="14.9" customHeight="1" x14ac:dyDescent="0.35">
      <c r="C43" s="1174"/>
      <c r="D43" s="1369" t="s">
        <v>996</v>
      </c>
      <c r="E43" s="1175"/>
      <c r="F43" s="1370"/>
      <c r="G43" s="1371"/>
      <c r="H43" s="1372">
        <f t="shared" ref="H43:H44" si="15">H39/G39-1</f>
        <v>3.1773093614383185E-2</v>
      </c>
      <c r="I43" s="1372">
        <f>I39/H39-1.01</f>
        <v>0.19504731861198743</v>
      </c>
      <c r="J43" s="1372">
        <f>J39/I39-1</f>
        <v>1.0638297872340274E-2</v>
      </c>
      <c r="K43" s="1372">
        <f t="shared" ref="K43" si="16">K39/J39-1</f>
        <v>4.2105263157894646E-2</v>
      </c>
      <c r="L43" s="1373">
        <f>L39/K39-1</f>
        <v>0</v>
      </c>
      <c r="AD43" s="273"/>
      <c r="AE43" s="273"/>
    </row>
    <row r="44" spans="3:40" ht="14.9" customHeight="1" x14ac:dyDescent="0.35">
      <c r="C44" s="1174"/>
      <c r="D44" s="1375" t="s">
        <v>997</v>
      </c>
      <c r="E44" s="1337"/>
      <c r="F44" s="1376"/>
      <c r="G44" s="1377"/>
      <c r="H44" s="1378">
        <f t="shared" si="15"/>
        <v>0.28603351955307299</v>
      </c>
      <c r="I44" s="1378">
        <f>I40/H40-1.103</f>
        <v>0.16391765614441556</v>
      </c>
      <c r="J44" s="1378">
        <f>J40/I40-1</f>
        <v>0.11889132363775001</v>
      </c>
      <c r="K44" s="1378">
        <f>K40/J40-1</f>
        <v>6.5989313812109263E-3</v>
      </c>
      <c r="L44" s="1379">
        <f>L40/K40-1</f>
        <v>2.1052543587793071E-2</v>
      </c>
      <c r="AD44" s="273"/>
      <c r="AE44" s="273"/>
    </row>
    <row r="45" spans="3:40" ht="14.9" customHeight="1" x14ac:dyDescent="0.35">
      <c r="D45" s="725"/>
      <c r="E45" s="719"/>
      <c r="F45" s="753"/>
      <c r="G45" s="753"/>
      <c r="H45" s="679"/>
      <c r="I45" s="679"/>
      <c r="J45" s="679"/>
      <c r="K45" s="679"/>
      <c r="L45" s="679"/>
      <c r="AD45" s="273"/>
      <c r="AE45" s="273"/>
    </row>
    <row r="46" spans="3:40" ht="14.9" customHeight="1" x14ac:dyDescent="0.35">
      <c r="D46" s="725"/>
      <c r="E46" s="719"/>
      <c r="F46" s="753"/>
      <c r="G46" s="753"/>
      <c r="H46" s="679"/>
      <c r="I46" s="679"/>
      <c r="J46" s="807"/>
      <c r="K46" s="679"/>
      <c r="L46" s="679"/>
      <c r="AD46" s="273"/>
      <c r="AE46" s="273"/>
    </row>
    <row r="47" spans="3:40" ht="14.9" customHeight="1" x14ac:dyDescent="0.35">
      <c r="D47" s="725"/>
      <c r="E47" s="719"/>
      <c r="F47" s="753"/>
      <c r="G47" s="753"/>
      <c r="H47" s="679"/>
      <c r="I47" s="679"/>
      <c r="J47" s="679"/>
      <c r="K47" s="679"/>
      <c r="L47" s="679"/>
      <c r="AD47" s="273"/>
      <c r="AE47" s="273"/>
    </row>
    <row r="48" spans="3:40" ht="41.9" customHeight="1" x14ac:dyDescent="0.35">
      <c r="F48" s="171"/>
      <c r="G48" s="171"/>
      <c r="H48" s="212"/>
      <c r="I48" s="212"/>
      <c r="J48" s="212"/>
      <c r="K48" s="212"/>
      <c r="L48" s="212"/>
      <c r="M48" s="193"/>
      <c r="N48" s="193"/>
      <c r="AD48" s="212"/>
      <c r="AE48" s="212"/>
      <c r="AF48" s="212"/>
      <c r="AG48" s="212"/>
      <c r="AH48" s="212"/>
      <c r="AI48" s="212"/>
      <c r="AJ48" s="212"/>
      <c r="AK48" s="212"/>
      <c r="AM48" s="212"/>
      <c r="AN48" s="212"/>
    </row>
    <row r="49" spans="4:26" ht="30.75" customHeight="1" x14ac:dyDescent="0.35">
      <c r="D49" s="1172" t="s">
        <v>2210</v>
      </c>
      <c r="E49" s="1147">
        <v>2018</v>
      </c>
      <c r="F49" s="777">
        <v>2019</v>
      </c>
      <c r="G49" s="777">
        <v>2020</v>
      </c>
      <c r="H49" s="1171">
        <v>2021</v>
      </c>
      <c r="I49" s="1173">
        <v>2022</v>
      </c>
      <c r="J49" s="794">
        <v>2023</v>
      </c>
      <c r="K49" s="794">
        <v>2024</v>
      </c>
      <c r="L49" s="768">
        <v>2025</v>
      </c>
      <c r="N49" s="769"/>
      <c r="O49" s="288"/>
    </row>
    <row r="50" spans="4:26" s="1066" customFormat="1" ht="16.5" customHeight="1" x14ac:dyDescent="0.35">
      <c r="D50" s="775" t="s">
        <v>541</v>
      </c>
      <c r="E50" s="774">
        <v>1683.5</v>
      </c>
      <c r="F50" s="1148">
        <v>1717.9</v>
      </c>
      <c r="G50" s="795">
        <v>1609</v>
      </c>
      <c r="H50" s="436">
        <v>2044.377</v>
      </c>
      <c r="I50" s="436">
        <v>2622.5050000000006</v>
      </c>
      <c r="J50" s="436">
        <v>2578.828</v>
      </c>
      <c r="K50" s="436">
        <v>2541.6950000000002</v>
      </c>
      <c r="L50" s="686">
        <v>2539.1210000000001</v>
      </c>
      <c r="M50" s="780" t="s">
        <v>542</v>
      </c>
      <c r="N50" s="760"/>
      <c r="O50" s="741"/>
      <c r="P50" s="757"/>
    </row>
    <row r="51" spans="4:26" s="1066" customFormat="1" ht="30.75" customHeight="1" x14ac:dyDescent="0.35">
      <c r="D51" s="1268" t="s">
        <v>2209</v>
      </c>
      <c r="E51" s="774">
        <v>1683.5</v>
      </c>
      <c r="F51" s="1148">
        <v>1717.9</v>
      </c>
      <c r="G51" s="795">
        <v>1609</v>
      </c>
      <c r="H51" s="1269">
        <v>2044.377</v>
      </c>
      <c r="I51" s="1270">
        <v>2632.145</v>
      </c>
      <c r="J51" s="1270">
        <v>2522.7190000000001</v>
      </c>
      <c r="K51" s="1270">
        <v>2467.0259999999998</v>
      </c>
      <c r="L51" s="1271">
        <v>2510.951</v>
      </c>
      <c r="N51" s="769"/>
      <c r="O51" s="288"/>
    </row>
    <row r="52" spans="4:26" s="1066" customFormat="1" ht="16.5" customHeight="1" x14ac:dyDescent="0.35">
      <c r="D52" s="775" t="s">
        <v>543</v>
      </c>
      <c r="E52" s="774">
        <v>1170.7</v>
      </c>
      <c r="F52" s="755">
        <v>1243.4000000000001</v>
      </c>
      <c r="G52" s="795">
        <v>1310</v>
      </c>
      <c r="H52" s="436">
        <v>1314.088</v>
      </c>
      <c r="I52" s="436">
        <v>1464.5929999999998</v>
      </c>
      <c r="J52" s="436">
        <v>1571.68</v>
      </c>
      <c r="K52" s="436">
        <v>1624.982</v>
      </c>
      <c r="L52" s="686">
        <v>1669.0420000000001</v>
      </c>
      <c r="M52" s="754"/>
      <c r="N52" s="754"/>
      <c r="O52" s="741"/>
      <c r="P52" s="757"/>
    </row>
    <row r="53" spans="4:26" s="1066" customFormat="1" ht="16.5" customHeight="1" x14ac:dyDescent="0.35">
      <c r="D53" s="1272" t="s">
        <v>2211</v>
      </c>
      <c r="E53" s="774">
        <v>1170.7</v>
      </c>
      <c r="F53" s="755">
        <v>1243.4000000000001</v>
      </c>
      <c r="G53" s="795">
        <v>1310</v>
      </c>
      <c r="H53" s="1269">
        <v>1314.088</v>
      </c>
      <c r="I53" s="1270">
        <v>1483.5260000000001</v>
      </c>
      <c r="J53" s="1270">
        <v>1562.308</v>
      </c>
      <c r="K53" s="1270">
        <v>1632.9190000000001</v>
      </c>
      <c r="L53" s="1271">
        <v>1702.7950000000001</v>
      </c>
      <c r="M53" s="780"/>
      <c r="N53" s="760"/>
      <c r="O53" s="741"/>
      <c r="P53" s="757"/>
    </row>
    <row r="54" spans="4:26" x14ac:dyDescent="0.35">
      <c r="D54" s="194" t="s">
        <v>544</v>
      </c>
      <c r="E54" s="470">
        <f t="shared" ref="E54:L54" si="17">E56+E58</f>
        <v>136.30000000000001</v>
      </c>
      <c r="F54" s="436">
        <f t="shared" si="17"/>
        <v>170.6</v>
      </c>
      <c r="G54" s="686">
        <f t="shared" si="17"/>
        <v>156</v>
      </c>
      <c r="H54" s="436">
        <f t="shared" si="17"/>
        <v>155.25900000000001</v>
      </c>
      <c r="I54" s="436">
        <f t="shared" si="17"/>
        <v>188</v>
      </c>
      <c r="J54" s="436">
        <f t="shared" si="17"/>
        <v>190</v>
      </c>
      <c r="K54" s="436">
        <f t="shared" si="17"/>
        <v>198</v>
      </c>
      <c r="L54" s="686">
        <f t="shared" si="17"/>
        <v>198</v>
      </c>
      <c r="N54" s="157"/>
      <c r="P54" s="761"/>
      <c r="Q54" s="761"/>
      <c r="R54" s="761"/>
      <c r="S54" s="761"/>
      <c r="T54" s="761"/>
      <c r="U54" s="761"/>
      <c r="V54" s="761"/>
      <c r="W54" s="761"/>
    </row>
    <row r="55" spans="4:26" s="1066" customFormat="1" ht="16.5" customHeight="1" x14ac:dyDescent="0.35">
      <c r="D55" s="506" t="s">
        <v>1521</v>
      </c>
      <c r="E55" s="774">
        <v>95</v>
      </c>
      <c r="F55" s="755">
        <v>99.8</v>
      </c>
      <c r="G55" s="795">
        <v>87</v>
      </c>
      <c r="H55" s="436">
        <v>75.274000000000001</v>
      </c>
      <c r="I55" s="436">
        <v>87.554999999999993</v>
      </c>
      <c r="J55" s="436">
        <v>90.245999999999995</v>
      </c>
      <c r="K55" s="436">
        <f>93.706</f>
        <v>93.706000000000003</v>
      </c>
      <c r="L55" s="686">
        <f>92.66</f>
        <v>92.66</v>
      </c>
      <c r="M55" s="754"/>
      <c r="N55" s="754"/>
      <c r="O55" s="759"/>
      <c r="P55" s="757"/>
      <c r="Q55" s="757"/>
      <c r="R55" s="757"/>
      <c r="S55" s="757"/>
      <c r="T55" s="757"/>
      <c r="U55" s="757"/>
      <c r="V55" s="757"/>
      <c r="W55" s="757"/>
      <c r="X55" s="754"/>
      <c r="Y55" s="754"/>
      <c r="Z55" s="758"/>
    </row>
    <row r="56" spans="4:26" s="1066" customFormat="1" x14ac:dyDescent="0.35">
      <c r="D56" s="1273" t="s">
        <v>2212</v>
      </c>
      <c r="E56" s="774">
        <v>95</v>
      </c>
      <c r="F56" s="755">
        <v>99.8</v>
      </c>
      <c r="G56" s="795">
        <v>87</v>
      </c>
      <c r="H56" s="1269">
        <v>75.274000000000001</v>
      </c>
      <c r="I56" s="1275">
        <v>88</v>
      </c>
      <c r="J56" s="1275">
        <v>91</v>
      </c>
      <c r="K56" s="1275">
        <v>101</v>
      </c>
      <c r="L56" s="1276">
        <v>100</v>
      </c>
      <c r="N56" s="1145"/>
      <c r="P56" s="761"/>
      <c r="Q56" s="761"/>
      <c r="R56" s="761"/>
      <c r="S56" s="761"/>
      <c r="T56" s="761"/>
      <c r="U56" s="761"/>
      <c r="V56" s="761"/>
      <c r="W56" s="761"/>
    </row>
    <row r="57" spans="4:26" s="1066" customFormat="1" ht="16.5" customHeight="1" x14ac:dyDescent="0.35">
      <c r="D57" s="506" t="s">
        <v>545</v>
      </c>
      <c r="E57" s="774">
        <v>41.3</v>
      </c>
      <c r="F57" s="755">
        <v>70.8</v>
      </c>
      <c r="G57" s="795">
        <v>69</v>
      </c>
      <c r="H57" s="436">
        <v>79.984999999999999</v>
      </c>
      <c r="I57" s="436">
        <v>94.793999999999997</v>
      </c>
      <c r="J57" s="436">
        <v>99.259</v>
      </c>
      <c r="K57" s="436">
        <v>100.393</v>
      </c>
      <c r="L57" s="686">
        <v>100.893</v>
      </c>
      <c r="M57" s="754"/>
      <c r="N57" s="754"/>
      <c r="O57" s="759"/>
      <c r="P57" s="757"/>
      <c r="Q57" s="757"/>
      <c r="R57" s="757"/>
      <c r="S57" s="757"/>
      <c r="T57" s="757"/>
      <c r="U57" s="757"/>
      <c r="V57" s="757"/>
      <c r="W57" s="757"/>
      <c r="X57" s="754"/>
      <c r="Y57" s="754"/>
      <c r="Z57" s="758"/>
    </row>
    <row r="58" spans="4:26" s="1066" customFormat="1" ht="16.5" customHeight="1" x14ac:dyDescent="0.35">
      <c r="D58" s="1277" t="s">
        <v>2213</v>
      </c>
      <c r="E58" s="774">
        <v>41.3</v>
      </c>
      <c r="F58" s="755">
        <v>70.8</v>
      </c>
      <c r="G58" s="795">
        <v>69</v>
      </c>
      <c r="H58" s="1269">
        <v>79.984999999999999</v>
      </c>
      <c r="I58" s="1275">
        <v>100</v>
      </c>
      <c r="J58" s="1275">
        <v>99</v>
      </c>
      <c r="K58" s="1275">
        <v>97</v>
      </c>
      <c r="L58" s="1276">
        <v>98</v>
      </c>
      <c r="M58" s="754"/>
      <c r="N58" s="754"/>
      <c r="O58" s="759"/>
      <c r="P58" s="757"/>
      <c r="Q58" s="757"/>
      <c r="R58" s="757"/>
      <c r="S58" s="757"/>
      <c r="T58" s="757"/>
      <c r="U58" s="757"/>
      <c r="V58" s="757"/>
      <c r="W58" s="757"/>
      <c r="X58" s="754"/>
      <c r="Y58" s="754"/>
      <c r="Z58" s="758"/>
    </row>
    <row r="59" spans="4:26" s="1066" customFormat="1" ht="16.5" customHeight="1" x14ac:dyDescent="0.35">
      <c r="D59" s="775" t="s">
        <v>106</v>
      </c>
      <c r="E59" s="755">
        <v>204.7</v>
      </c>
      <c r="F59" s="755">
        <v>230.2</v>
      </c>
      <c r="G59" s="755">
        <v>212</v>
      </c>
      <c r="H59" s="436">
        <v>371.83100000000002</v>
      </c>
      <c r="I59" s="436">
        <v>394.8</v>
      </c>
      <c r="J59" s="436">
        <v>456</v>
      </c>
      <c r="K59" s="436">
        <f>478.021</f>
        <v>478.02100000000002</v>
      </c>
      <c r="L59" s="686">
        <f>483.158</f>
        <v>483.15800000000002</v>
      </c>
      <c r="M59" s="732"/>
      <c r="N59" s="732"/>
      <c r="O59" s="740"/>
      <c r="P59" s="755"/>
      <c r="Q59" s="755"/>
      <c r="R59" s="755"/>
      <c r="S59" s="755"/>
      <c r="T59" s="755"/>
      <c r="U59" s="755"/>
      <c r="V59" s="755"/>
      <c r="W59" s="755"/>
      <c r="X59" s="732"/>
      <c r="Y59" s="732"/>
      <c r="Z59" s="742"/>
    </row>
    <row r="60" spans="4:26" s="1066" customFormat="1" ht="16.5" customHeight="1" x14ac:dyDescent="0.35">
      <c r="D60" s="1278" t="s">
        <v>2214</v>
      </c>
      <c r="E60" s="755">
        <v>204.7</v>
      </c>
      <c r="F60" s="755">
        <v>230.2</v>
      </c>
      <c r="G60" s="755">
        <v>212</v>
      </c>
      <c r="H60" s="1269">
        <v>371.83100000000002</v>
      </c>
      <c r="I60" s="1270">
        <v>424.86700000000002</v>
      </c>
      <c r="J60" s="1270">
        <v>475.38</v>
      </c>
      <c r="K60" s="1270">
        <v>478.517</v>
      </c>
      <c r="L60" s="1271">
        <v>488.59100000000001</v>
      </c>
      <c r="M60" s="754"/>
      <c r="N60" s="754"/>
      <c r="O60" s="759"/>
      <c r="P60" s="757"/>
      <c r="Q60" s="757"/>
      <c r="R60" s="757"/>
      <c r="S60" s="757"/>
      <c r="T60" s="757"/>
      <c r="U60" s="757"/>
      <c r="V60" s="757"/>
      <c r="W60" s="757"/>
      <c r="X60" s="754"/>
      <c r="Y60" s="754"/>
      <c r="Z60" s="758"/>
    </row>
    <row r="61" spans="4:26" ht="16.5" customHeight="1" x14ac:dyDescent="0.35"/>
    <row r="62" spans="4:26" x14ac:dyDescent="0.35">
      <c r="D62" s="747" t="s">
        <v>546</v>
      </c>
      <c r="E62" s="670">
        <v>2018</v>
      </c>
      <c r="F62" s="671">
        <v>2019</v>
      </c>
      <c r="G62" s="672">
        <v>2020</v>
      </c>
      <c r="H62" s="1290">
        <v>2021</v>
      </c>
      <c r="I62" s="1290">
        <v>2022</v>
      </c>
      <c r="J62" s="770">
        <v>2023</v>
      </c>
      <c r="K62" s="770">
        <v>2024</v>
      </c>
      <c r="L62" s="771">
        <v>2025</v>
      </c>
      <c r="O62" s="196" t="s">
        <v>547</v>
      </c>
    </row>
    <row r="63" spans="4:26" ht="14.9" customHeight="1" x14ac:dyDescent="0.35">
      <c r="D63" s="749" t="s">
        <v>541</v>
      </c>
      <c r="E63" s="159">
        <v>1622</v>
      </c>
      <c r="F63" s="159">
        <v>1687</v>
      </c>
      <c r="G63" s="744">
        <f t="shared" ref="G63:K66" si="18">G37</f>
        <v>1702.5749999999998</v>
      </c>
      <c r="H63" s="744">
        <f t="shared" si="18"/>
        <v>2008.4750000000001</v>
      </c>
      <c r="I63" s="744">
        <f>I37</f>
        <v>2508.0749999999998</v>
      </c>
      <c r="J63" s="744">
        <f t="shared" si="18"/>
        <v>2403.8069543756137</v>
      </c>
      <c r="K63" s="744">
        <f t="shared" si="18"/>
        <v>2350.7391252951488</v>
      </c>
      <c r="L63" s="744">
        <f>L37</f>
        <v>2392.593656248041</v>
      </c>
    </row>
    <row r="64" spans="4:26" x14ac:dyDescent="0.35">
      <c r="D64" s="749" t="s">
        <v>548</v>
      </c>
      <c r="E64" s="159">
        <v>1332</v>
      </c>
      <c r="F64" s="159">
        <v>1388</v>
      </c>
      <c r="G64" s="744">
        <f t="shared" si="18"/>
        <v>1425.3999999999999</v>
      </c>
      <c r="H64" s="744">
        <f t="shared" si="18"/>
        <v>1495.1000000000001</v>
      </c>
      <c r="I64" s="744">
        <f>I38</f>
        <v>1623.7</v>
      </c>
      <c r="J64" s="744">
        <f t="shared" si="18"/>
        <v>1709.9258790206577</v>
      </c>
      <c r="K64" s="744">
        <f t="shared" si="18"/>
        <v>1787.2087043300896</v>
      </c>
      <c r="L64" s="744">
        <f>L38</f>
        <v>1863.6870816554617</v>
      </c>
      <c r="N64" s="752"/>
    </row>
    <row r="65" spans="4:22" x14ac:dyDescent="0.35">
      <c r="D65" s="749" t="s">
        <v>105</v>
      </c>
      <c r="E65" s="159">
        <v>150</v>
      </c>
      <c r="F65" s="159">
        <v>175</v>
      </c>
      <c r="G65" s="744">
        <f t="shared" si="18"/>
        <v>161.30000000000001</v>
      </c>
      <c r="H65" s="744">
        <f t="shared" si="18"/>
        <v>166.42500000000001</v>
      </c>
      <c r="I65" s="744">
        <f>I39</f>
        <v>200.55</v>
      </c>
      <c r="J65" s="744">
        <f t="shared" si="18"/>
        <v>202.68351063829786</v>
      </c>
      <c r="K65" s="744">
        <f t="shared" si="18"/>
        <v>211.21755319148934</v>
      </c>
      <c r="L65" s="744">
        <f>L39</f>
        <v>211.21755319148934</v>
      </c>
      <c r="N65" s="752"/>
    </row>
    <row r="66" spans="4:22" x14ac:dyDescent="0.35">
      <c r="D66" s="748" t="s">
        <v>303</v>
      </c>
      <c r="E66" s="173">
        <v>208</v>
      </c>
      <c r="F66" s="173">
        <v>219</v>
      </c>
      <c r="G66" s="805">
        <f t="shared" si="18"/>
        <v>201.37499999999997</v>
      </c>
      <c r="H66" s="805">
        <f t="shared" si="18"/>
        <v>258.97500000000002</v>
      </c>
      <c r="I66" s="805">
        <f>I40</f>
        <v>328.1</v>
      </c>
      <c r="J66" s="805">
        <f t="shared" si="18"/>
        <v>367.10824328554583</v>
      </c>
      <c r="K66" s="805">
        <f t="shared" si="18"/>
        <v>369.53076539246399</v>
      </c>
      <c r="L66" s="805">
        <f>L40</f>
        <v>377.3103279379194</v>
      </c>
      <c r="O66" s="1545" t="s">
        <v>974</v>
      </c>
      <c r="P66" s="1545" t="s">
        <v>974</v>
      </c>
      <c r="Q66" s="1545" t="s">
        <v>974</v>
      </c>
      <c r="R66" s="1545" t="s">
        <v>974</v>
      </c>
      <c r="S66" s="1545" t="s">
        <v>974</v>
      </c>
      <c r="T66" s="1545" t="s">
        <v>974</v>
      </c>
      <c r="U66" s="1545" t="s">
        <v>974</v>
      </c>
      <c r="V66" s="1546" t="s">
        <v>974</v>
      </c>
    </row>
    <row r="67" spans="4:22" ht="14.9" customHeight="1" x14ac:dyDescent="0.35">
      <c r="D67" s="283"/>
      <c r="E67" s="159"/>
      <c r="F67" s="159"/>
      <c r="G67" s="159"/>
      <c r="P67" s="1547">
        <v>2022</v>
      </c>
      <c r="Q67" s="1548">
        <v>2022</v>
      </c>
      <c r="R67" s="1548">
        <v>2022</v>
      </c>
      <c r="S67" s="1549">
        <v>2022</v>
      </c>
    </row>
    <row r="68" spans="4:22" ht="17.25" customHeight="1" x14ac:dyDescent="0.35">
      <c r="D68" s="197" t="s">
        <v>550</v>
      </c>
      <c r="E68" s="159"/>
      <c r="F68" s="159"/>
      <c r="G68" s="159"/>
      <c r="P68" s="801" t="s">
        <v>975</v>
      </c>
      <c r="Q68" s="801" t="s">
        <v>976</v>
      </c>
      <c r="R68" s="801" t="s">
        <v>977</v>
      </c>
      <c r="S68" s="801" t="s">
        <v>978</v>
      </c>
      <c r="T68" s="806" t="s">
        <v>993</v>
      </c>
    </row>
    <row r="69" spans="4:22" ht="30" customHeight="1" x14ac:dyDescent="0.35">
      <c r="D69" s="796" t="s">
        <v>551</v>
      </c>
      <c r="E69" s="671">
        <v>2018</v>
      </c>
      <c r="F69" s="671">
        <v>2019</v>
      </c>
      <c r="G69" s="672">
        <v>2020</v>
      </c>
      <c r="H69" s="1291">
        <v>2021</v>
      </c>
      <c r="I69" s="1292">
        <v>2022</v>
      </c>
      <c r="J69" s="772">
        <v>2023</v>
      </c>
      <c r="K69" s="772">
        <v>2024</v>
      </c>
      <c r="L69" s="773">
        <v>2025</v>
      </c>
      <c r="O69" s="30" t="s">
        <v>549</v>
      </c>
      <c r="P69" s="799">
        <v>2973</v>
      </c>
      <c r="Q69" s="799">
        <v>3062.8</v>
      </c>
      <c r="R69" s="799">
        <v>3085.2</v>
      </c>
      <c r="S69" s="800">
        <v>2106.1999999999998</v>
      </c>
      <c r="T69" s="799">
        <v>3123.2</v>
      </c>
    </row>
    <row r="70" spans="4:22" x14ac:dyDescent="0.35">
      <c r="D70" s="749" t="s">
        <v>541</v>
      </c>
      <c r="E70" s="182">
        <f t="shared" ref="E70:K70" si="19">E63/E51</f>
        <v>0.96346896346896349</v>
      </c>
      <c r="F70" s="182">
        <f t="shared" si="19"/>
        <v>0.98201292275452579</v>
      </c>
      <c r="G70" s="182">
        <f t="shared" si="19"/>
        <v>1.0581572405220632</v>
      </c>
      <c r="H70" s="721">
        <f t="shared" si="19"/>
        <v>0.98243865979709233</v>
      </c>
      <c r="I70" s="722">
        <f t="shared" si="19"/>
        <v>0.95286353905274968</v>
      </c>
      <c r="J70" s="722">
        <f t="shared" si="19"/>
        <v>0.95286353905274968</v>
      </c>
      <c r="K70" s="722">
        <f t="shared" si="19"/>
        <v>0.95286353905274979</v>
      </c>
      <c r="L70" s="723"/>
      <c r="T70" s="288"/>
    </row>
    <row r="71" spans="4:22" x14ac:dyDescent="0.35">
      <c r="D71" s="749" t="s">
        <v>548</v>
      </c>
      <c r="E71" s="182">
        <f t="shared" ref="E71:K71" si="20">E64/E53</f>
        <v>1.1377808148970701</v>
      </c>
      <c r="F71" s="182">
        <f t="shared" si="20"/>
        <v>1.1162940324915553</v>
      </c>
      <c r="G71" s="182">
        <f t="shared" si="20"/>
        <v>1.0880916030534351</v>
      </c>
      <c r="H71" s="186">
        <f t="shared" si="20"/>
        <v>1.1377472437157938</v>
      </c>
      <c r="I71" s="182">
        <f t="shared" si="20"/>
        <v>1.094487053142311</v>
      </c>
      <c r="J71" s="182">
        <f t="shared" si="20"/>
        <v>1.094487053142311</v>
      </c>
      <c r="K71" s="182">
        <f t="shared" si="20"/>
        <v>1.0944870531423112</v>
      </c>
      <c r="L71" s="585"/>
    </row>
    <row r="72" spans="4:22" x14ac:dyDescent="0.35">
      <c r="D72" s="749" t="s">
        <v>105</v>
      </c>
      <c r="E72" s="182">
        <f t="shared" ref="E72:K72" si="21">E65/E54</f>
        <v>1.1005135730007336</v>
      </c>
      <c r="F72" s="182">
        <f t="shared" si="21"/>
        <v>1.0257913247362251</v>
      </c>
      <c r="G72" s="182">
        <f t="shared" si="21"/>
        <v>1.0339743589743591</v>
      </c>
      <c r="H72" s="186">
        <f t="shared" si="21"/>
        <v>1.0719185361235097</v>
      </c>
      <c r="I72" s="182">
        <f t="shared" si="21"/>
        <v>1.0667553191489363</v>
      </c>
      <c r="J72" s="182">
        <f t="shared" si="21"/>
        <v>1.0667553191489361</v>
      </c>
      <c r="K72" s="182">
        <f t="shared" si="21"/>
        <v>1.0667553191489361</v>
      </c>
      <c r="L72" s="585"/>
    </row>
    <row r="73" spans="4:22" x14ac:dyDescent="0.35">
      <c r="D73" s="748" t="s">
        <v>303</v>
      </c>
      <c r="E73" s="189">
        <f t="shared" ref="E73:K73" si="22">E66/E60</f>
        <v>1.0161211529066927</v>
      </c>
      <c r="F73" s="189">
        <f t="shared" si="22"/>
        <v>0.95134665508253702</v>
      </c>
      <c r="G73" s="189">
        <f t="shared" si="22"/>
        <v>0.94988207547169801</v>
      </c>
      <c r="H73" s="188">
        <f t="shared" si="22"/>
        <v>0.69648576907250881</v>
      </c>
      <c r="I73" s="189">
        <f t="shared" si="22"/>
        <v>0.77224166621554513</v>
      </c>
      <c r="J73" s="189">
        <f t="shared" si="22"/>
        <v>0.77224166621554513</v>
      </c>
      <c r="K73" s="189">
        <f t="shared" si="22"/>
        <v>0.77224166621554513</v>
      </c>
      <c r="L73" s="430"/>
    </row>
    <row r="75" spans="4:22" x14ac:dyDescent="0.35">
      <c r="D75" s="283"/>
      <c r="E75" s="159"/>
      <c r="F75" s="159"/>
      <c r="G75" s="159"/>
    </row>
    <row r="76" spans="4:22" x14ac:dyDescent="0.35">
      <c r="D76" s="171" t="s">
        <v>552</v>
      </c>
    </row>
    <row r="77" spans="4:22" x14ac:dyDescent="0.35">
      <c r="D77" s="802" t="s">
        <v>992</v>
      </c>
      <c r="E77" s="670">
        <v>2018</v>
      </c>
      <c r="F77" s="777">
        <v>2019</v>
      </c>
      <c r="G77" s="777">
        <v>2020</v>
      </c>
      <c r="H77" s="1293">
        <v>2021</v>
      </c>
      <c r="I77" s="1171">
        <v>2022</v>
      </c>
      <c r="J77" s="778">
        <v>2023</v>
      </c>
      <c r="K77" s="778">
        <v>2024</v>
      </c>
      <c r="L77" s="779">
        <v>2025</v>
      </c>
    </row>
    <row r="78" spans="4:22" s="1066" customFormat="1" x14ac:dyDescent="0.35">
      <c r="D78" s="781" t="s">
        <v>553</v>
      </c>
      <c r="E78" s="470">
        <v>14016.099999999999</v>
      </c>
      <c r="F78" s="436">
        <v>14604.2</v>
      </c>
      <c r="G78" s="686">
        <v>14711.300000000001</v>
      </c>
      <c r="H78" s="803">
        <v>20725.8</v>
      </c>
      <c r="I78" s="803">
        <v>21293</v>
      </c>
      <c r="J78" s="803">
        <v>22393.200000000001</v>
      </c>
      <c r="K78" s="803">
        <v>23451.7</v>
      </c>
      <c r="L78" s="804">
        <v>24455.1</v>
      </c>
    </row>
    <row r="79" spans="4:22" s="1066" customFormat="1" x14ac:dyDescent="0.35">
      <c r="D79" s="1279" t="s">
        <v>2215</v>
      </c>
      <c r="E79" s="470">
        <v>14016.099999999999</v>
      </c>
      <c r="F79" s="436">
        <v>14604.2</v>
      </c>
      <c r="G79" s="686">
        <v>14711.300000000001</v>
      </c>
      <c r="H79" s="803">
        <v>20725.8</v>
      </c>
      <c r="I79" s="1191">
        <v>21482.5</v>
      </c>
      <c r="J79" s="1191">
        <v>22812.2</v>
      </c>
      <c r="K79" s="1191">
        <v>23945.599999999999</v>
      </c>
      <c r="L79" s="1192">
        <v>24950.7</v>
      </c>
    </row>
    <row r="80" spans="4:22" s="1066" customFormat="1" x14ac:dyDescent="0.35">
      <c r="D80" s="781" t="s">
        <v>554</v>
      </c>
      <c r="E80" s="298">
        <v>8804</v>
      </c>
      <c r="F80" s="1142">
        <v>9209</v>
      </c>
      <c r="G80" s="686">
        <v>9300</v>
      </c>
      <c r="H80" s="803">
        <v>10082.5</v>
      </c>
      <c r="I80" s="803">
        <v>11062.4</v>
      </c>
      <c r="J80" s="803">
        <v>11616.3</v>
      </c>
      <c r="K80" s="803">
        <v>12028</v>
      </c>
      <c r="L80" s="804">
        <v>12433.6</v>
      </c>
    </row>
    <row r="81" spans="4:12" s="1066" customFormat="1" x14ac:dyDescent="0.35">
      <c r="D81" s="1280" t="s">
        <v>2216</v>
      </c>
      <c r="E81" s="298">
        <v>8804</v>
      </c>
      <c r="F81" s="1169">
        <v>9209</v>
      </c>
      <c r="G81" s="686">
        <v>9300</v>
      </c>
      <c r="H81" s="803">
        <v>10082.5</v>
      </c>
      <c r="I81" s="1190">
        <v>10994.5</v>
      </c>
      <c r="J81" s="1190">
        <v>11592.6</v>
      </c>
      <c r="K81" s="1190">
        <v>12130.9</v>
      </c>
      <c r="L81" s="1281">
        <v>12724.9</v>
      </c>
    </row>
    <row r="82" spans="4:12" s="1066" customFormat="1" x14ac:dyDescent="0.35">
      <c r="D82" s="781" t="s">
        <v>555</v>
      </c>
      <c r="E82" s="298">
        <v>13844</v>
      </c>
      <c r="F82" s="1142">
        <v>14403</v>
      </c>
      <c r="G82" s="686">
        <v>14201</v>
      </c>
      <c r="H82" s="803">
        <v>15279.9</v>
      </c>
      <c r="I82" s="803">
        <v>16817.599999999999</v>
      </c>
      <c r="J82" s="803">
        <v>17789.8</v>
      </c>
      <c r="K82" s="803">
        <v>18525.3</v>
      </c>
      <c r="L82" s="804">
        <v>19204.5</v>
      </c>
    </row>
    <row r="83" spans="4:12" s="1066" customFormat="1" x14ac:dyDescent="0.35">
      <c r="D83" s="1280" t="s">
        <v>2217</v>
      </c>
      <c r="E83" s="298">
        <v>13844</v>
      </c>
      <c r="F83" s="1169">
        <v>14403</v>
      </c>
      <c r="G83" s="686">
        <v>14201</v>
      </c>
      <c r="H83" s="803">
        <v>15279.9</v>
      </c>
      <c r="I83" s="1190">
        <v>17042.8</v>
      </c>
      <c r="J83" s="1190">
        <v>18155</v>
      </c>
      <c r="K83" s="1190">
        <v>18926.599999999999</v>
      </c>
      <c r="L83" s="1281">
        <v>19683.400000000001</v>
      </c>
    </row>
    <row r="84" spans="4:12" s="1066" customFormat="1" x14ac:dyDescent="0.35">
      <c r="D84" s="781" t="s">
        <v>556</v>
      </c>
      <c r="E84" s="470">
        <v>2211</v>
      </c>
      <c r="F84" s="1135">
        <v>2243</v>
      </c>
      <c r="G84" s="686">
        <v>2125</v>
      </c>
      <c r="H84" s="1218">
        <v>2678.6</v>
      </c>
      <c r="I84" s="1218">
        <v>2946.3</v>
      </c>
      <c r="J84" s="1218">
        <v>3018.1</v>
      </c>
      <c r="K84" s="1218">
        <v>3000.1</v>
      </c>
      <c r="L84" s="804">
        <v>3037.1</v>
      </c>
    </row>
    <row r="85" spans="4:12" s="1066" customFormat="1" x14ac:dyDescent="0.35">
      <c r="D85" s="1280" t="s">
        <v>2219</v>
      </c>
      <c r="E85" s="470">
        <v>2211</v>
      </c>
      <c r="F85" s="1135">
        <v>2243</v>
      </c>
      <c r="G85" s="686">
        <v>2125</v>
      </c>
      <c r="H85" s="1218">
        <v>2678.6</v>
      </c>
      <c r="I85" s="1190">
        <v>2926.6</v>
      </c>
      <c r="J85" s="1190">
        <v>2669.9</v>
      </c>
      <c r="K85" s="1190">
        <v>2538.6999999999998</v>
      </c>
      <c r="L85" s="1281">
        <v>2803.5</v>
      </c>
    </row>
    <row r="87" spans="4:12" x14ac:dyDescent="0.35">
      <c r="D87" s="171" t="s">
        <v>557</v>
      </c>
    </row>
    <row r="88" spans="4:12" x14ac:dyDescent="0.35">
      <c r="D88" s="747" t="s">
        <v>558</v>
      </c>
      <c r="E88" s="622">
        <v>2018</v>
      </c>
      <c r="F88" s="762">
        <v>2019</v>
      </c>
      <c r="G88" s="762">
        <v>2020</v>
      </c>
      <c r="H88" s="1294">
        <v>2021</v>
      </c>
      <c r="I88" s="1295">
        <v>2022</v>
      </c>
      <c r="J88" s="763">
        <v>2023</v>
      </c>
      <c r="K88" s="763">
        <v>2024</v>
      </c>
      <c r="L88" s="776">
        <v>2025</v>
      </c>
    </row>
    <row r="89" spans="4:12" x14ac:dyDescent="0.35">
      <c r="D89" s="783" t="s">
        <v>541</v>
      </c>
      <c r="E89" s="724">
        <f t="shared" ref="E89:L89" si="23">E51/E79</f>
        <v>0.12011187134794987</v>
      </c>
      <c r="F89" s="697">
        <f t="shared" si="23"/>
        <v>0.11763054463784391</v>
      </c>
      <c r="G89" s="691">
        <f t="shared" si="23"/>
        <v>0.10937170746297063</v>
      </c>
      <c r="H89" s="697">
        <f t="shared" si="23"/>
        <v>9.8639232261239621E-2</v>
      </c>
      <c r="I89" s="697">
        <f t="shared" si="23"/>
        <v>0.12252507855231001</v>
      </c>
      <c r="J89" s="697">
        <f t="shared" si="23"/>
        <v>0.11058639675261482</v>
      </c>
      <c r="K89" s="697">
        <f t="shared" si="23"/>
        <v>0.10302627622611252</v>
      </c>
      <c r="L89" s="691">
        <f t="shared" si="23"/>
        <v>0.10063649516847223</v>
      </c>
    </row>
    <row r="90" spans="4:12" x14ac:dyDescent="0.35">
      <c r="D90" s="783" t="s">
        <v>543</v>
      </c>
      <c r="E90" s="712">
        <f t="shared" ref="E90:L90" si="24">E53/E81</f>
        <v>0.13297364834166289</v>
      </c>
      <c r="F90" s="181">
        <f t="shared" si="24"/>
        <v>0.13502008904332718</v>
      </c>
      <c r="G90" s="692">
        <f t="shared" si="24"/>
        <v>0.14086021505376345</v>
      </c>
      <c r="H90" s="181">
        <f t="shared" si="24"/>
        <v>0.1303335482271262</v>
      </c>
      <c r="I90" s="181">
        <f t="shared" si="24"/>
        <v>0.1349334667333667</v>
      </c>
      <c r="J90" s="181">
        <f t="shared" si="24"/>
        <v>0.13476769663405966</v>
      </c>
      <c r="K90" s="181">
        <f t="shared" si="24"/>
        <v>0.13460823187067739</v>
      </c>
      <c r="L90" s="692">
        <f t="shared" si="24"/>
        <v>0.1338159828368003</v>
      </c>
    </row>
    <row r="91" spans="4:12" x14ac:dyDescent="0.35">
      <c r="D91" s="781" t="s">
        <v>559</v>
      </c>
      <c r="E91" s="712">
        <f t="shared" ref="E91:L91" si="25">E54/E83</f>
        <v>9.8454203987286912E-3</v>
      </c>
      <c r="F91" s="181">
        <f t="shared" si="25"/>
        <v>1.1844754565021176E-2</v>
      </c>
      <c r="G91" s="692">
        <f t="shared" si="25"/>
        <v>1.0985141891416098E-2</v>
      </c>
      <c r="H91" s="181">
        <f t="shared" si="25"/>
        <v>1.016099581803546E-2</v>
      </c>
      <c r="I91" s="181">
        <f t="shared" si="25"/>
        <v>1.1031051235712443E-2</v>
      </c>
      <c r="J91" s="181">
        <f t="shared" si="25"/>
        <v>1.0465436518865326E-2</v>
      </c>
      <c r="K91" s="181">
        <f t="shared" si="25"/>
        <v>1.0461466930140649E-2</v>
      </c>
      <c r="L91" s="692">
        <f t="shared" si="25"/>
        <v>1.0059237733318431E-2</v>
      </c>
    </row>
    <row r="92" spans="4:12" x14ac:dyDescent="0.35">
      <c r="D92" s="784" t="s">
        <v>106</v>
      </c>
      <c r="E92" s="198">
        <f t="shared" ref="E92:L92" si="26">E60/E85</f>
        <v>9.258254183627318E-2</v>
      </c>
      <c r="F92" s="199">
        <f t="shared" si="26"/>
        <v>0.10263040570664288</v>
      </c>
      <c r="G92" s="200">
        <f t="shared" si="26"/>
        <v>9.9764705882352936E-2</v>
      </c>
      <c r="H92" s="199">
        <f t="shared" si="26"/>
        <v>0.13881542596878968</v>
      </c>
      <c r="I92" s="199">
        <f t="shared" si="26"/>
        <v>0.14517426365065264</v>
      </c>
      <c r="J92" s="199">
        <f t="shared" si="26"/>
        <v>0.1780516124199408</v>
      </c>
      <c r="K92" s="199">
        <f t="shared" si="26"/>
        <v>0.18848899042817191</v>
      </c>
      <c r="L92" s="200">
        <f t="shared" si="26"/>
        <v>0.174278937042982</v>
      </c>
    </row>
    <row r="94" spans="4:12" x14ac:dyDescent="0.35">
      <c r="D94" s="171" t="s">
        <v>560</v>
      </c>
    </row>
    <row r="95" spans="4:12" x14ac:dyDescent="0.35">
      <c r="D95" s="790" t="s">
        <v>399</v>
      </c>
    </row>
    <row r="96" spans="4:12" x14ac:dyDescent="0.35">
      <c r="D96" s="747" t="s">
        <v>561</v>
      </c>
      <c r="E96" s="671">
        <v>2018</v>
      </c>
      <c r="F96" s="777">
        <v>2019</v>
      </c>
      <c r="G96" s="777">
        <v>2020</v>
      </c>
      <c r="H96" s="1293">
        <v>2021</v>
      </c>
      <c r="I96" s="1171">
        <v>2022</v>
      </c>
      <c r="J96" s="778">
        <v>2023</v>
      </c>
      <c r="K96" s="778">
        <v>2024</v>
      </c>
      <c r="L96" s="779">
        <v>2025</v>
      </c>
    </row>
    <row r="97" spans="4:30" ht="20.25" customHeight="1" x14ac:dyDescent="0.35">
      <c r="D97" s="750" t="s">
        <v>541</v>
      </c>
      <c r="E97" s="724">
        <f t="shared" ref="E97:G100" si="27">E89*E70</f>
        <v>0.11572406018792676</v>
      </c>
      <c r="F97" s="697">
        <f t="shared" si="27"/>
        <v>0.11551471494501581</v>
      </c>
      <c r="G97" s="697">
        <f t="shared" si="27"/>
        <v>0.11573246416020334</v>
      </c>
      <c r="H97" s="724">
        <f>N120</f>
        <v>0.13083976407289996</v>
      </c>
      <c r="I97" s="697">
        <f>H97</f>
        <v>0.13083976407289996</v>
      </c>
      <c r="J97" s="697">
        <f t="shared" ref="J97:L97" si="28">I97</f>
        <v>0.13083976407289996</v>
      </c>
      <c r="K97" s="697">
        <f t="shared" si="28"/>
        <v>0.13083976407289996</v>
      </c>
      <c r="L97" s="691">
        <f t="shared" si="28"/>
        <v>0.13083976407289996</v>
      </c>
      <c r="M97" s="786"/>
      <c r="N97" s="785"/>
      <c r="O97" s="181"/>
      <c r="P97" s="181"/>
      <c r="Q97" s="181"/>
      <c r="R97" s="181"/>
      <c r="S97" s="181"/>
      <c r="T97" s="181"/>
      <c r="U97" s="181"/>
      <c r="V97" s="181"/>
      <c r="W97" s="181"/>
      <c r="X97" s="181"/>
      <c r="Y97" s="181"/>
    </row>
    <row r="98" spans="4:30" ht="18.75" customHeight="1" x14ac:dyDescent="0.35">
      <c r="D98" s="750" t="s">
        <v>543</v>
      </c>
      <c r="E98" s="712">
        <f t="shared" si="27"/>
        <v>0.15129486597001363</v>
      </c>
      <c r="F98" s="181">
        <f t="shared" si="27"/>
        <v>0.15072211966554458</v>
      </c>
      <c r="G98" s="181">
        <f t="shared" si="27"/>
        <v>0.15326881720430108</v>
      </c>
      <c r="H98" s="712">
        <f>N122</f>
        <v>0.14822588114733906</v>
      </c>
      <c r="I98" s="181">
        <f>H98</f>
        <v>0.14822588114733906</v>
      </c>
      <c r="J98" s="181">
        <f>I98</f>
        <v>0.14822588114733906</v>
      </c>
      <c r="K98" s="181">
        <f t="shared" ref="K98:L98" si="29">J98</f>
        <v>0.14822588114733906</v>
      </c>
      <c r="L98" s="692">
        <f t="shared" si="29"/>
        <v>0.14822588114733906</v>
      </c>
      <c r="M98" s="786"/>
      <c r="N98" s="785"/>
      <c r="O98" s="181"/>
      <c r="P98" s="181"/>
      <c r="Q98" s="181"/>
      <c r="R98" s="181"/>
      <c r="S98" s="181"/>
      <c r="T98" s="181"/>
      <c r="U98" s="181"/>
      <c r="V98" s="181"/>
      <c r="W98" s="181"/>
      <c r="X98" s="181"/>
      <c r="Y98" s="181"/>
    </row>
    <row r="99" spans="4:30" ht="19.399999999999999" customHeight="1" x14ac:dyDescent="0.35">
      <c r="D99" s="749" t="s">
        <v>105</v>
      </c>
      <c r="E99" s="712">
        <f t="shared" si="27"/>
        <v>1.0835018780699219E-2</v>
      </c>
      <c r="F99" s="181">
        <f t="shared" si="27"/>
        <v>1.2150246476428523E-2</v>
      </c>
      <c r="G99" s="181">
        <f t="shared" si="27"/>
        <v>1.1358355045419337E-2</v>
      </c>
      <c r="H99" s="712">
        <f>N123</f>
        <v>1.1211939165902553E-2</v>
      </c>
      <c r="I99" s="181">
        <f>AVERAGE($F72:$G72)*I91</f>
        <v>1.1360690395286862E-2</v>
      </c>
      <c r="J99" s="181">
        <f>AVERAGE($F72:$G72)*J91</f>
        <v>1.0778173503305177E-2</v>
      </c>
      <c r="K99" s="181">
        <f>J99</f>
        <v>1.0778173503305177E-2</v>
      </c>
      <c r="L99" s="692">
        <f>K99</f>
        <v>1.0778173503305177E-2</v>
      </c>
      <c r="M99" s="786"/>
      <c r="N99" s="785"/>
      <c r="O99" s="181"/>
      <c r="P99" s="181"/>
      <c r="Q99" s="181"/>
      <c r="R99" s="181"/>
      <c r="S99" s="181"/>
      <c r="T99" s="181"/>
      <c r="U99" s="181"/>
      <c r="V99" s="181"/>
      <c r="W99" s="181"/>
      <c r="X99" s="181"/>
      <c r="Y99" s="181"/>
    </row>
    <row r="100" spans="4:30" ht="19.399999999999999" customHeight="1" x14ac:dyDescent="0.35">
      <c r="D100" s="751" t="s">
        <v>106</v>
      </c>
      <c r="E100" s="198">
        <f t="shared" si="27"/>
        <v>9.4075079149706017E-2</v>
      </c>
      <c r="F100" s="199">
        <f t="shared" si="27"/>
        <v>9.7637093178778417E-2</v>
      </c>
      <c r="G100" s="199">
        <f t="shared" si="27"/>
        <v>9.4764705882352931E-2</v>
      </c>
      <c r="H100" s="198">
        <f>M124</f>
        <v>0.11594202898550723</v>
      </c>
      <c r="I100" s="199">
        <f>N124</f>
        <v>0.11690415853101242</v>
      </c>
      <c r="J100" s="199">
        <f>I100</f>
        <v>0.11690415853101242</v>
      </c>
      <c r="K100" s="199">
        <f>J100</f>
        <v>0.11690415853101242</v>
      </c>
      <c r="L100" s="200">
        <f>K100</f>
        <v>0.11690415853101242</v>
      </c>
      <c r="M100" s="786"/>
      <c r="N100" s="785"/>
      <c r="O100" s="181"/>
      <c r="P100" s="181"/>
      <c r="Q100" s="181"/>
      <c r="R100" s="181"/>
      <c r="S100" s="181"/>
      <c r="T100" s="181"/>
      <c r="U100" s="181"/>
      <c r="V100" s="181"/>
      <c r="W100" s="181"/>
      <c r="X100" s="181"/>
      <c r="Y100" s="181"/>
    </row>
    <row r="101" spans="4:30" x14ac:dyDescent="0.35">
      <c r="E101" s="736"/>
      <c r="F101" s="736"/>
      <c r="G101" s="736"/>
      <c r="H101" s="736"/>
      <c r="I101" s="736"/>
      <c r="J101" s="736"/>
      <c r="K101" s="736"/>
      <c r="L101" s="736"/>
    </row>
    <row r="102" spans="4:30" x14ac:dyDescent="0.35">
      <c r="D102" s="789" t="s">
        <v>412</v>
      </c>
      <c r="E102" s="181"/>
      <c r="F102" s="181"/>
      <c r="G102" s="181"/>
      <c r="H102" s="181"/>
      <c r="I102" s="181"/>
      <c r="J102" s="181"/>
      <c r="K102" s="181"/>
      <c r="L102" s="181"/>
      <c r="M102" s="181"/>
      <c r="N102" s="181"/>
      <c r="O102" s="181"/>
      <c r="P102" s="181"/>
      <c r="Q102" s="181"/>
      <c r="R102" s="181"/>
      <c r="S102" s="181"/>
      <c r="T102" s="181"/>
      <c r="U102" s="181"/>
      <c r="V102" s="181"/>
      <c r="W102" s="181"/>
      <c r="X102" s="181"/>
      <c r="Y102" s="181"/>
    </row>
    <row r="103" spans="4:30" x14ac:dyDescent="0.35">
      <c r="D103" s="1528" t="s">
        <v>2230</v>
      </c>
      <c r="E103" s="1538"/>
      <c r="F103" s="1418">
        <v>2019</v>
      </c>
      <c r="G103" s="1435"/>
      <c r="H103" s="1436"/>
      <c r="I103" s="1418">
        <v>2020</v>
      </c>
      <c r="J103" s="1435"/>
      <c r="K103" s="1435"/>
      <c r="L103" s="1436"/>
      <c r="M103" s="1418">
        <v>2021</v>
      </c>
      <c r="N103" s="1435"/>
      <c r="O103" s="1435"/>
      <c r="P103" s="1435"/>
      <c r="Q103" s="1418">
        <v>2022</v>
      </c>
      <c r="R103" s="1419"/>
      <c r="S103" s="1419"/>
      <c r="T103" s="1436"/>
      <c r="U103" s="1441">
        <v>2023</v>
      </c>
      <c r="V103" s="1442"/>
      <c r="W103" s="1442"/>
      <c r="X103" s="1443"/>
      <c r="Y103" s="1444">
        <v>2024</v>
      </c>
      <c r="Z103" s="1442"/>
      <c r="AA103" s="1442"/>
      <c r="AB103" s="1442"/>
      <c r="AC103" s="274">
        <v>2025</v>
      </c>
    </row>
    <row r="104" spans="4:30" x14ac:dyDescent="0.35">
      <c r="D104" s="1539"/>
      <c r="E104" s="1540"/>
      <c r="F104" s="137" t="s">
        <v>329</v>
      </c>
      <c r="G104" s="150" t="s">
        <v>238</v>
      </c>
      <c r="H104" s="226" t="s">
        <v>327</v>
      </c>
      <c r="I104" s="137" t="s">
        <v>328</v>
      </c>
      <c r="J104" s="150" t="s">
        <v>329</v>
      </c>
      <c r="K104" s="150" t="s">
        <v>238</v>
      </c>
      <c r="L104" s="226" t="s">
        <v>327</v>
      </c>
      <c r="M104" s="137" t="s">
        <v>328</v>
      </c>
      <c r="N104" s="150" t="s">
        <v>329</v>
      </c>
      <c r="O104" s="150" t="s">
        <v>238</v>
      </c>
      <c r="P104" s="150" t="s">
        <v>327</v>
      </c>
      <c r="Q104" s="137" t="s">
        <v>328</v>
      </c>
      <c r="R104" s="150" t="s">
        <v>329</v>
      </c>
      <c r="S104" s="150" t="s">
        <v>238</v>
      </c>
      <c r="T104" s="226" t="s">
        <v>327</v>
      </c>
      <c r="U104" s="290" t="s">
        <v>328</v>
      </c>
      <c r="V104" s="290" t="s">
        <v>329</v>
      </c>
      <c r="W104" s="290" t="s">
        <v>238</v>
      </c>
      <c r="X104" s="291" t="s">
        <v>327</v>
      </c>
      <c r="Y104" s="289" t="s">
        <v>328</v>
      </c>
      <c r="Z104" s="285" t="s">
        <v>329</v>
      </c>
      <c r="AA104" s="290" t="s">
        <v>238</v>
      </c>
      <c r="AB104" s="290" t="s">
        <v>327</v>
      </c>
      <c r="AC104" s="293" t="s">
        <v>328</v>
      </c>
      <c r="AD104" s="181"/>
    </row>
    <row r="105" spans="4:30" x14ac:dyDescent="0.35">
      <c r="D105" s="797" t="s">
        <v>553</v>
      </c>
      <c r="E105" s="764"/>
      <c r="F105" s="314">
        <f t="shared" ref="F105:AC105" si="30">F107+F109</f>
        <v>0</v>
      </c>
      <c r="G105" s="315">
        <f t="shared" si="30"/>
        <v>0</v>
      </c>
      <c r="H105" s="315">
        <f t="shared" si="30"/>
        <v>0</v>
      </c>
      <c r="I105" s="315">
        <f t="shared" si="30"/>
        <v>15134.800000000001</v>
      </c>
      <c r="J105" s="315">
        <f t="shared" si="30"/>
        <v>14265.5</v>
      </c>
      <c r="K105" s="315">
        <f t="shared" si="30"/>
        <v>14943.5</v>
      </c>
      <c r="L105" s="315">
        <f t="shared" si="30"/>
        <v>15319.300000000001</v>
      </c>
      <c r="M105" s="315">
        <f t="shared" si="30"/>
        <v>15357.6</v>
      </c>
      <c r="N105" s="315">
        <f t="shared" si="30"/>
        <v>15825.2</v>
      </c>
      <c r="O105" s="315">
        <f t="shared" si="30"/>
        <v>16160.699999999999</v>
      </c>
      <c r="P105" s="315">
        <f t="shared" si="30"/>
        <v>16536.3</v>
      </c>
      <c r="Q105" s="315">
        <f t="shared" si="30"/>
        <v>16751.7</v>
      </c>
      <c r="R105" s="315">
        <f t="shared" si="30"/>
        <v>16992.3</v>
      </c>
      <c r="S105" s="315">
        <f t="shared" si="30"/>
        <v>17266.900000000001</v>
      </c>
      <c r="T105" s="1154">
        <f t="shared" si="30"/>
        <v>17639.8</v>
      </c>
      <c r="U105" s="1161">
        <f t="shared" si="30"/>
        <v>17860.099999999999</v>
      </c>
      <c r="V105" s="1164">
        <f t="shared" si="30"/>
        <v>18096.2</v>
      </c>
      <c r="W105" s="1164">
        <f t="shared" si="30"/>
        <v>18317.400000000001</v>
      </c>
      <c r="X105" s="1164">
        <f t="shared" si="30"/>
        <v>18552.3</v>
      </c>
      <c r="Y105" s="1164">
        <f t="shared" si="30"/>
        <v>18754.800000000003</v>
      </c>
      <c r="Z105" s="1164">
        <f t="shared" si="30"/>
        <v>18946.099999999999</v>
      </c>
      <c r="AA105" s="1164">
        <f t="shared" si="30"/>
        <v>19138.2</v>
      </c>
      <c r="AB105" s="1164">
        <f t="shared" si="30"/>
        <v>19333.099999999999</v>
      </c>
      <c r="AC105" s="1163">
        <f t="shared" si="30"/>
        <v>19534.599999999999</v>
      </c>
      <c r="AD105" s="181"/>
    </row>
    <row r="106" spans="4:30" s="1066" customFormat="1" x14ac:dyDescent="0.35">
      <c r="D106" s="297" t="s">
        <v>554</v>
      </c>
      <c r="E106" s="539"/>
      <c r="F106" s="470">
        <v>9274.9</v>
      </c>
      <c r="G106" s="436">
        <v>9311.2999999999993</v>
      </c>
      <c r="H106" s="436">
        <v>9422.5</v>
      </c>
      <c r="I106" s="436">
        <v>9526.1</v>
      </c>
      <c r="J106" s="436">
        <v>8908.7999999999993</v>
      </c>
      <c r="K106" s="436">
        <v>9343.2999999999993</v>
      </c>
      <c r="L106" s="436">
        <v>9546</v>
      </c>
      <c r="M106" s="436">
        <v>9702.2000000000007</v>
      </c>
      <c r="N106" s="436">
        <v>9950.4</v>
      </c>
      <c r="O106" s="436">
        <v>10175.1</v>
      </c>
      <c r="P106" s="436">
        <v>10336.6</v>
      </c>
      <c r="Q106" s="436">
        <v>10995.9</v>
      </c>
      <c r="R106" s="436">
        <v>11172.6</v>
      </c>
      <c r="S106" s="436">
        <v>11320.4</v>
      </c>
      <c r="T106" s="1156">
        <v>11443.5</v>
      </c>
      <c r="U106" s="1159">
        <v>11560.2</v>
      </c>
      <c r="V106" s="1150">
        <v>11675.6</v>
      </c>
      <c r="W106" s="1150">
        <v>11786</v>
      </c>
      <c r="X106" s="1150">
        <v>11879</v>
      </c>
      <c r="Y106" s="1150">
        <v>11978</v>
      </c>
      <c r="Z106" s="1150">
        <v>12076.9</v>
      </c>
      <c r="AA106" s="1150">
        <v>12178.3</v>
      </c>
      <c r="AB106" s="1150">
        <v>12278.8</v>
      </c>
      <c r="AC106" s="466">
        <v>12377.5</v>
      </c>
      <c r="AD106" s="181"/>
    </row>
    <row r="107" spans="4:30" s="1066" customFormat="1" x14ac:dyDescent="0.35">
      <c r="D107" s="1282" t="s">
        <v>2216</v>
      </c>
      <c r="E107" s="1283"/>
      <c r="F107" s="1274"/>
      <c r="G107" s="1269"/>
      <c r="H107" s="1269"/>
      <c r="I107" s="1284">
        <v>9624.7000000000007</v>
      </c>
      <c r="J107" s="1284">
        <v>8995.7000000000007</v>
      </c>
      <c r="K107" s="1284">
        <v>9425.4</v>
      </c>
      <c r="L107" s="1284">
        <v>9783.7000000000007</v>
      </c>
      <c r="M107" s="1190">
        <v>9851.2000000000007</v>
      </c>
      <c r="N107" s="1190">
        <v>10138.5</v>
      </c>
      <c r="O107" s="1190">
        <v>10422.299999999999</v>
      </c>
      <c r="P107" s="1190">
        <v>10748.4</v>
      </c>
      <c r="Q107" s="1190">
        <v>10925.5</v>
      </c>
      <c r="R107" s="1190">
        <v>11058</v>
      </c>
      <c r="S107" s="1190">
        <v>11245.9</v>
      </c>
      <c r="T107" s="1190">
        <v>11411.5</v>
      </c>
      <c r="U107" s="1241">
        <v>11537.2</v>
      </c>
      <c r="V107" s="1191">
        <v>11648</v>
      </c>
      <c r="W107" s="1191">
        <v>11773.6</v>
      </c>
      <c r="X107" s="1191">
        <v>11917.1</v>
      </c>
      <c r="Y107" s="1191">
        <v>12060.2</v>
      </c>
      <c r="Z107" s="1191">
        <v>12201.2</v>
      </c>
      <c r="AA107" s="1191">
        <v>12345.2</v>
      </c>
      <c r="AB107" s="1191">
        <v>12495.8</v>
      </c>
      <c r="AC107" s="1192">
        <v>12653.4</v>
      </c>
      <c r="AD107" s="181"/>
    </row>
    <row r="108" spans="4:30" s="1066" customFormat="1" x14ac:dyDescent="0.35">
      <c r="D108" s="297" t="s">
        <v>961</v>
      </c>
      <c r="E108" s="539"/>
      <c r="F108" s="470">
        <v>5385.4</v>
      </c>
      <c r="G108" s="436">
        <v>5436.7</v>
      </c>
      <c r="H108" s="436">
        <v>5473.6</v>
      </c>
      <c r="I108" s="436">
        <v>5492.6</v>
      </c>
      <c r="J108" s="436">
        <v>5218.2</v>
      </c>
      <c r="K108" s="436">
        <v>5459.8</v>
      </c>
      <c r="L108" s="436">
        <v>5468.2</v>
      </c>
      <c r="M108" s="436">
        <v>5450.7</v>
      </c>
      <c r="N108" s="436">
        <v>5704</v>
      </c>
      <c r="O108" s="436">
        <v>5624.2</v>
      </c>
      <c r="P108" s="436">
        <v>5647.2</v>
      </c>
      <c r="Q108" s="436">
        <v>5575.5</v>
      </c>
      <c r="R108" s="436">
        <v>5675.4</v>
      </c>
      <c r="S108" s="436">
        <v>5773.9</v>
      </c>
      <c r="T108" s="1156">
        <v>5872.3</v>
      </c>
      <c r="U108" s="1159">
        <v>5975.3</v>
      </c>
      <c r="V108" s="1150">
        <v>6080.9</v>
      </c>
      <c r="W108" s="1150">
        <v>6187.8</v>
      </c>
      <c r="X108" s="1150">
        <v>6293.2</v>
      </c>
      <c r="Y108" s="1150">
        <v>6391</v>
      </c>
      <c r="Z108" s="1150">
        <v>6473.2</v>
      </c>
      <c r="AA108" s="1150">
        <v>6557.5</v>
      </c>
      <c r="AB108" s="1150">
        <v>6645.4</v>
      </c>
      <c r="AC108" s="466">
        <v>6728.2</v>
      </c>
      <c r="AD108" s="181"/>
    </row>
    <row r="109" spans="4:30" s="1066" customFormat="1" x14ac:dyDescent="0.35">
      <c r="D109" s="1285" t="s">
        <v>2220</v>
      </c>
      <c r="E109" s="1286"/>
      <c r="F109" s="1274"/>
      <c r="G109" s="1269"/>
      <c r="H109" s="1269"/>
      <c r="I109" s="1284">
        <v>5510.1</v>
      </c>
      <c r="J109" s="1284">
        <v>5269.8</v>
      </c>
      <c r="K109" s="1284">
        <v>5518.1</v>
      </c>
      <c r="L109" s="1284">
        <v>5535.6</v>
      </c>
      <c r="M109" s="1190">
        <v>5506.4</v>
      </c>
      <c r="N109" s="1190">
        <v>5686.7</v>
      </c>
      <c r="O109" s="1190">
        <v>5738.4</v>
      </c>
      <c r="P109" s="1190">
        <v>5787.9</v>
      </c>
      <c r="Q109" s="1190">
        <v>5826.2</v>
      </c>
      <c r="R109" s="1190">
        <v>5934.3</v>
      </c>
      <c r="S109" s="1190">
        <v>6021</v>
      </c>
      <c r="T109" s="1190">
        <v>6228.3</v>
      </c>
      <c r="U109" s="1241">
        <v>6322.9</v>
      </c>
      <c r="V109" s="1191">
        <v>6448.2</v>
      </c>
      <c r="W109" s="1191">
        <v>6543.8</v>
      </c>
      <c r="X109" s="1191">
        <v>6635.2</v>
      </c>
      <c r="Y109" s="1191">
        <v>6694.6</v>
      </c>
      <c r="Z109" s="1191">
        <v>6744.9</v>
      </c>
      <c r="AA109" s="1191">
        <v>6793</v>
      </c>
      <c r="AB109" s="1191">
        <v>6837.3</v>
      </c>
      <c r="AC109" s="1192">
        <v>6881.2</v>
      </c>
      <c r="AD109" s="181"/>
    </row>
    <row r="110" spans="4:30" s="1066" customFormat="1" x14ac:dyDescent="0.35">
      <c r="D110" s="298" t="s">
        <v>555</v>
      </c>
      <c r="E110" s="539"/>
      <c r="F110" s="547"/>
      <c r="G110" s="539"/>
      <c r="H110" s="436"/>
      <c r="I110" s="436"/>
      <c r="J110" s="436"/>
      <c r="K110" s="436"/>
      <c r="L110" s="436"/>
      <c r="M110" s="436">
        <v>15041</v>
      </c>
      <c r="N110" s="436">
        <v>15551</v>
      </c>
      <c r="O110" s="436">
        <v>15824</v>
      </c>
      <c r="P110" s="436">
        <v>16056</v>
      </c>
      <c r="Q110" s="436">
        <v>16690.7</v>
      </c>
      <c r="R110" s="436">
        <v>16993</v>
      </c>
      <c r="S110" s="436">
        <v>17251.3</v>
      </c>
      <c r="T110" s="1156">
        <v>17488.099999999999</v>
      </c>
      <c r="U110" s="1159">
        <v>17692.3</v>
      </c>
      <c r="V110" s="1150">
        <v>17892.599999999999</v>
      </c>
      <c r="W110" s="1150">
        <v>18086.3</v>
      </c>
      <c r="X110" s="1150">
        <v>18268.2</v>
      </c>
      <c r="Y110" s="1150">
        <v>18446.3</v>
      </c>
      <c r="Z110" s="1150">
        <v>18612.400000000001</v>
      </c>
      <c r="AA110" s="1150">
        <v>18774.5</v>
      </c>
      <c r="AB110" s="1150">
        <v>18946.900000000001</v>
      </c>
      <c r="AC110" s="466">
        <v>19117.900000000001</v>
      </c>
    </row>
    <row r="111" spans="4:30" s="1066" customFormat="1" x14ac:dyDescent="0.35">
      <c r="D111" s="1285" t="s">
        <v>2217</v>
      </c>
      <c r="E111" s="1286"/>
      <c r="F111" s="1274"/>
      <c r="G111" s="1269"/>
      <c r="H111" s="1269"/>
      <c r="I111" s="1284">
        <v>14440.2</v>
      </c>
      <c r="J111" s="1284">
        <v>13049.8</v>
      </c>
      <c r="K111" s="1284">
        <v>14388.7</v>
      </c>
      <c r="L111" s="1284">
        <v>14586</v>
      </c>
      <c r="M111" s="1190">
        <v>15131.5</v>
      </c>
      <c r="N111" s="1190">
        <v>15813.5</v>
      </c>
      <c r="O111" s="1190">
        <v>16147.3</v>
      </c>
      <c r="P111" s="1190">
        <v>16518</v>
      </c>
      <c r="Q111" s="1190">
        <v>16874.8</v>
      </c>
      <c r="R111" s="1190">
        <v>17261.3</v>
      </c>
      <c r="S111" s="1190">
        <v>17517.099999999999</v>
      </c>
      <c r="T111" s="1190">
        <v>17851.099999999999</v>
      </c>
      <c r="U111" s="1241">
        <v>18063.900000000001</v>
      </c>
      <c r="V111" s="1191">
        <v>18252.3</v>
      </c>
      <c r="W111" s="1191">
        <v>18452.8</v>
      </c>
      <c r="X111" s="1191">
        <v>18649.400000000001</v>
      </c>
      <c r="Y111" s="1191">
        <v>18836.5</v>
      </c>
      <c r="Z111" s="1191">
        <v>19019.400000000001</v>
      </c>
      <c r="AA111" s="1191">
        <v>19200.900000000001</v>
      </c>
      <c r="AB111" s="1191">
        <v>19391.900000000001</v>
      </c>
      <c r="AC111" s="1192">
        <v>19588.599999999999</v>
      </c>
      <c r="AD111" s="181"/>
    </row>
    <row r="112" spans="4:30" s="1066" customFormat="1" ht="18.75" customHeight="1" x14ac:dyDescent="0.35">
      <c r="D112" s="298" t="s">
        <v>562</v>
      </c>
      <c r="E112" s="1287"/>
      <c r="F112" s="547"/>
      <c r="G112" s="1287"/>
      <c r="H112" s="1135"/>
      <c r="I112" s="1135"/>
      <c r="J112" s="1135"/>
      <c r="K112" s="1135"/>
      <c r="L112" s="1135"/>
      <c r="M112" s="1135">
        <v>1874</v>
      </c>
      <c r="N112" s="1135">
        <v>2307</v>
      </c>
      <c r="O112" s="1135">
        <v>2443</v>
      </c>
      <c r="P112" s="1135">
        <v>2460</v>
      </c>
      <c r="Q112" s="1135">
        <v>2329.5</v>
      </c>
      <c r="R112" s="1135">
        <v>2420.1999999999998</v>
      </c>
      <c r="S112" s="1135">
        <v>2468.6999999999998</v>
      </c>
      <c r="T112" s="1156">
        <v>2486.6999999999998</v>
      </c>
      <c r="U112" s="1159">
        <v>2482.1999999999998</v>
      </c>
      <c r="V112" s="1150">
        <v>2468.8000000000002</v>
      </c>
      <c r="W112" s="1150">
        <v>2453.8000000000002</v>
      </c>
      <c r="X112" s="1150">
        <v>2440.6999999999998</v>
      </c>
      <c r="Y112" s="1150">
        <v>2429.4</v>
      </c>
      <c r="Z112" s="1150">
        <v>2426.5</v>
      </c>
      <c r="AA112" s="1150">
        <v>2418</v>
      </c>
      <c r="AB112" s="1150">
        <v>2431.3000000000002</v>
      </c>
      <c r="AC112" s="466">
        <v>2440.1</v>
      </c>
    </row>
    <row r="113" spans="4:32" s="1066" customFormat="1" x14ac:dyDescent="0.35">
      <c r="D113" s="1288" t="s">
        <v>2218</v>
      </c>
      <c r="E113" s="1286"/>
      <c r="F113" s="1289"/>
      <c r="G113" s="1286"/>
      <c r="H113" s="1269"/>
      <c r="I113" s="1284">
        <v>1736.3</v>
      </c>
      <c r="J113" s="1284">
        <v>1597.1</v>
      </c>
      <c r="K113" s="1284">
        <v>2041.1</v>
      </c>
      <c r="L113" s="1284">
        <v>1947.4</v>
      </c>
      <c r="M113" s="1190">
        <v>2152.8000000000002</v>
      </c>
      <c r="N113" s="1190">
        <v>2407.1</v>
      </c>
      <c r="O113" s="1190">
        <v>2431.8000000000002</v>
      </c>
      <c r="P113" s="1190">
        <v>2443.1999999999998</v>
      </c>
      <c r="Q113" s="1190">
        <v>2432.6999999999998</v>
      </c>
      <c r="R113" s="1190">
        <v>2538.9</v>
      </c>
      <c r="S113" s="1190">
        <v>2512.1</v>
      </c>
      <c r="T113" s="1190">
        <v>2378.9</v>
      </c>
      <c r="U113" s="1241">
        <v>2219.1999999999998</v>
      </c>
      <c r="V113" s="1191">
        <v>2093.4</v>
      </c>
      <c r="W113" s="1191">
        <v>2022.5</v>
      </c>
      <c r="X113" s="1191">
        <v>1970.7</v>
      </c>
      <c r="Y113" s="1191">
        <v>1993</v>
      </c>
      <c r="Z113" s="1191">
        <v>2028.7</v>
      </c>
      <c r="AA113" s="1191">
        <v>2079.1999999999998</v>
      </c>
      <c r="AB113" s="1191">
        <v>2151.1</v>
      </c>
      <c r="AC113" s="1192">
        <v>2220.5</v>
      </c>
    </row>
    <row r="114" spans="4:32" ht="18.75" customHeight="1" x14ac:dyDescent="0.35"/>
    <row r="115" spans="4:32" x14ac:dyDescent="0.35">
      <c r="D115" s="798"/>
      <c r="E115" s="548"/>
      <c r="F115" s="548"/>
      <c r="G115" s="548"/>
      <c r="H115" s="436"/>
      <c r="I115" s="436"/>
      <c r="J115" s="436"/>
      <c r="K115" s="436"/>
      <c r="L115" s="436"/>
      <c r="M115" s="436"/>
      <c r="N115" s="436"/>
      <c r="O115" s="436"/>
      <c r="P115" s="436"/>
      <c r="Q115" s="436"/>
      <c r="R115" s="436"/>
      <c r="S115" s="436"/>
      <c r="T115" s="436"/>
      <c r="U115" s="436"/>
      <c r="V115" s="436"/>
      <c r="W115" s="436"/>
      <c r="X115" s="436"/>
      <c r="Y115" s="436"/>
      <c r="Z115" s="436"/>
      <c r="AA115" s="436"/>
      <c r="AB115" s="436"/>
      <c r="AC115" s="436"/>
    </row>
    <row r="116" spans="4:32" x14ac:dyDescent="0.35">
      <c r="D116" s="196"/>
      <c r="AC116" s="35"/>
    </row>
    <row r="117" spans="4:32" x14ac:dyDescent="0.35">
      <c r="D117" s="1528" t="s">
        <v>563</v>
      </c>
      <c r="E117" s="1538"/>
      <c r="F117" s="1418">
        <v>2019</v>
      </c>
      <c r="G117" s="1435"/>
      <c r="H117" s="1436"/>
      <c r="I117" s="1435">
        <v>2020</v>
      </c>
      <c r="J117" s="1435"/>
      <c r="K117" s="1435"/>
      <c r="L117" s="1436"/>
      <c r="M117" s="1418">
        <v>2021</v>
      </c>
      <c r="N117" s="1435"/>
      <c r="O117" s="1435"/>
      <c r="P117" s="1435"/>
      <c r="Q117" s="1418">
        <v>2022</v>
      </c>
      <c r="R117" s="1419"/>
      <c r="S117" s="1419"/>
      <c r="T117" s="1436"/>
      <c r="U117" s="1441">
        <v>2023</v>
      </c>
      <c r="V117" s="1442"/>
      <c r="W117" s="1442"/>
      <c r="X117" s="1443"/>
      <c r="Y117" s="1444">
        <v>2024</v>
      </c>
      <c r="Z117" s="1442"/>
      <c r="AA117" s="1442"/>
      <c r="AB117" s="1442"/>
      <c r="AC117" s="274">
        <v>2025</v>
      </c>
    </row>
    <row r="118" spans="4:32" x14ac:dyDescent="0.35">
      <c r="D118" s="1555"/>
      <c r="E118" s="1556"/>
      <c r="F118" s="137" t="s">
        <v>329</v>
      </c>
      <c r="G118" s="150" t="s">
        <v>238</v>
      </c>
      <c r="H118" s="226" t="s">
        <v>327</v>
      </c>
      <c r="I118" s="150" t="s">
        <v>328</v>
      </c>
      <c r="J118" s="150" t="s">
        <v>329</v>
      </c>
      <c r="K118" s="150" t="s">
        <v>238</v>
      </c>
      <c r="L118" s="226" t="s">
        <v>327</v>
      </c>
      <c r="M118" s="137" t="s">
        <v>328</v>
      </c>
      <c r="N118" s="150" t="s">
        <v>329</v>
      </c>
      <c r="O118" s="150" t="s">
        <v>238</v>
      </c>
      <c r="P118" s="150" t="s">
        <v>327</v>
      </c>
      <c r="Q118" s="137" t="s">
        <v>328</v>
      </c>
      <c r="R118" s="150" t="s">
        <v>329</v>
      </c>
      <c r="S118" s="150" t="s">
        <v>238</v>
      </c>
      <c r="T118" s="226" t="s">
        <v>327</v>
      </c>
      <c r="U118" s="290" t="s">
        <v>328</v>
      </c>
      <c r="V118" s="290" t="s">
        <v>329</v>
      </c>
      <c r="W118" s="290" t="s">
        <v>238</v>
      </c>
      <c r="X118" s="291" t="s">
        <v>327</v>
      </c>
      <c r="Y118" s="289" t="s">
        <v>328</v>
      </c>
      <c r="Z118" s="285" t="s">
        <v>329</v>
      </c>
      <c r="AA118" s="290" t="s">
        <v>238</v>
      </c>
      <c r="AB118" s="290" t="s">
        <v>327</v>
      </c>
      <c r="AC118" s="293" t="s">
        <v>328</v>
      </c>
    </row>
    <row r="119" spans="4:32" x14ac:dyDescent="0.35">
      <c r="D119" s="1553" t="s">
        <v>564</v>
      </c>
      <c r="E119" s="1554"/>
      <c r="F119" s="263"/>
      <c r="G119" s="264"/>
      <c r="H119" s="264"/>
      <c r="I119" s="264"/>
      <c r="J119" s="264"/>
      <c r="K119" s="264"/>
      <c r="L119" s="264"/>
      <c r="M119" s="264"/>
      <c r="N119" s="264"/>
      <c r="O119" s="264"/>
      <c r="P119" s="264"/>
      <c r="Q119" s="264"/>
      <c r="R119" s="264"/>
      <c r="S119" s="264"/>
      <c r="T119" s="626"/>
      <c r="U119" s="252"/>
      <c r="V119" s="252"/>
      <c r="W119" s="252"/>
      <c r="X119" s="252"/>
      <c r="Y119" s="252"/>
      <c r="Z119" s="252"/>
      <c r="AA119" s="252"/>
      <c r="AB119" s="252"/>
      <c r="AC119" s="253"/>
    </row>
    <row r="120" spans="4:32" x14ac:dyDescent="0.35">
      <c r="D120" s="506" t="s">
        <v>532</v>
      </c>
      <c r="F120" s="712"/>
      <c r="G120" s="181"/>
      <c r="H120" s="181">
        <f t="shared" ref="H120:T120" si="31">H10/H127</f>
        <v>0.11520931070611083</v>
      </c>
      <c r="I120" s="181">
        <f t="shared" si="31"/>
        <v>0.11566144134388082</v>
      </c>
      <c r="J120" s="181">
        <f t="shared" si="31"/>
        <v>0.11281835698020669</v>
      </c>
      <c r="K120" s="181">
        <f t="shared" si="31"/>
        <v>0.11518678305073408</v>
      </c>
      <c r="L120" s="181">
        <f t="shared" si="31"/>
        <v>0.11990448353254346</v>
      </c>
      <c r="M120" s="181">
        <f t="shared" si="31"/>
        <v>0.12789328127541891</v>
      </c>
      <c r="N120" s="181">
        <f t="shared" si="31"/>
        <v>0.13083976407289996</v>
      </c>
      <c r="O120" s="181">
        <f t="shared" si="31"/>
        <v>0.13349080813015168</v>
      </c>
      <c r="P120" s="181">
        <f t="shared" si="31"/>
        <v>0.13507699001667917</v>
      </c>
      <c r="Q120" s="181">
        <f t="shared" si="31"/>
        <v>0.15293907130714859</v>
      </c>
      <c r="R120" s="181">
        <f t="shared" si="31"/>
        <v>0.15280309534169892</v>
      </c>
      <c r="S120" s="688">
        <f t="shared" si="31"/>
        <v>0.15248282368739399</v>
      </c>
      <c r="T120" s="707">
        <f t="shared" si="31"/>
        <v>0.15177744491578718</v>
      </c>
      <c r="U120" s="699">
        <f>T120+U121</f>
        <v>0.13177744491578719</v>
      </c>
      <c r="V120" s="699">
        <f t="shared" ref="V120:AC120" si="32">U120+V121</f>
        <v>0.13177744491578719</v>
      </c>
      <c r="W120" s="699">
        <f t="shared" si="32"/>
        <v>0.13177744491578719</v>
      </c>
      <c r="X120" s="699">
        <f t="shared" si="32"/>
        <v>0.13177744491578719</v>
      </c>
      <c r="Y120" s="699">
        <f t="shared" si="32"/>
        <v>0.13177744491578719</v>
      </c>
      <c r="Z120" s="699">
        <f t="shared" si="32"/>
        <v>0.13177744491578719</v>
      </c>
      <c r="AA120" s="699">
        <f t="shared" si="32"/>
        <v>0.13177744491578719</v>
      </c>
      <c r="AB120" s="699">
        <f t="shared" si="32"/>
        <v>0.13177744491578719</v>
      </c>
      <c r="AC120" s="699">
        <f t="shared" si="32"/>
        <v>0.13177744491578719</v>
      </c>
    </row>
    <row r="121" spans="4:32" x14ac:dyDescent="0.35">
      <c r="D121" s="506" t="s">
        <v>955</v>
      </c>
      <c r="F121" s="712"/>
      <c r="G121" s="181"/>
      <c r="H121" s="181"/>
      <c r="I121" s="181"/>
      <c r="J121" s="181"/>
      <c r="K121" s="181"/>
      <c r="L121" s="181"/>
      <c r="M121" s="181"/>
      <c r="N121" s="181"/>
      <c r="O121" s="181"/>
      <c r="P121" s="181"/>
      <c r="Q121" s="181"/>
      <c r="R121" s="181"/>
      <c r="S121" s="688"/>
      <c r="T121" s="707"/>
      <c r="U121" s="704">
        <v>-0.02</v>
      </c>
      <c r="V121" s="699"/>
      <c r="W121" s="699"/>
      <c r="X121" s="699"/>
      <c r="Y121" s="699"/>
      <c r="Z121" s="699"/>
      <c r="AA121" s="699"/>
      <c r="AB121" s="699"/>
      <c r="AC121" s="699"/>
    </row>
    <row r="122" spans="4:32" x14ac:dyDescent="0.35">
      <c r="D122" s="506" t="s">
        <v>533</v>
      </c>
      <c r="F122" s="712"/>
      <c r="G122" s="181"/>
      <c r="H122" s="181">
        <f t="shared" ref="H122:T122" si="33">H13/H132</f>
        <v>0.15062717402761674</v>
      </c>
      <c r="I122" s="181">
        <f t="shared" si="33"/>
        <v>0.15103642270684339</v>
      </c>
      <c r="J122" s="181">
        <f t="shared" si="33"/>
        <v>0.15387605940440088</v>
      </c>
      <c r="K122" s="181">
        <f t="shared" si="33"/>
        <v>0.15183673469387757</v>
      </c>
      <c r="L122" s="181">
        <f t="shared" si="33"/>
        <v>0.1496195679926467</v>
      </c>
      <c r="M122" s="181">
        <f t="shared" si="33"/>
        <v>0.14955735161391731</v>
      </c>
      <c r="N122" s="181">
        <f t="shared" si="33"/>
        <v>0.14822588114733906</v>
      </c>
      <c r="O122" s="181">
        <f t="shared" si="33"/>
        <v>0.14724543781628582</v>
      </c>
      <c r="P122" s="181">
        <f t="shared" si="33"/>
        <v>0.14666765802020501</v>
      </c>
      <c r="Q122" s="181">
        <f t="shared" si="33"/>
        <v>0.1478248151161409</v>
      </c>
      <c r="R122" s="181">
        <f t="shared" si="33"/>
        <v>0.14783370514545832</v>
      </c>
      <c r="S122" s="688">
        <f t="shared" si="33"/>
        <v>0.14767973711088414</v>
      </c>
      <c r="T122" s="707">
        <f t="shared" si="33"/>
        <v>0.14752588173363748</v>
      </c>
      <c r="U122" s="699">
        <f t="shared" ref="U122:AC122" si="34">T122</f>
        <v>0.14752588173363748</v>
      </c>
      <c r="V122" s="699">
        <f t="shared" si="34"/>
        <v>0.14752588173363748</v>
      </c>
      <c r="W122" s="699">
        <f t="shared" si="34"/>
        <v>0.14752588173363748</v>
      </c>
      <c r="X122" s="699">
        <f t="shared" si="34"/>
        <v>0.14752588173363748</v>
      </c>
      <c r="Y122" s="699">
        <f t="shared" si="34"/>
        <v>0.14752588173363748</v>
      </c>
      <c r="Z122" s="699">
        <f t="shared" si="34"/>
        <v>0.14752588173363748</v>
      </c>
      <c r="AA122" s="699">
        <f t="shared" si="34"/>
        <v>0.14752588173363748</v>
      </c>
      <c r="AB122" s="699">
        <f t="shared" si="34"/>
        <v>0.14752588173363748</v>
      </c>
      <c r="AC122" s="699">
        <f t="shared" si="34"/>
        <v>0.14752588173363748</v>
      </c>
    </row>
    <row r="123" spans="4:32" x14ac:dyDescent="0.35">
      <c r="D123" s="506" t="s">
        <v>534</v>
      </c>
      <c r="F123" s="712"/>
      <c r="G123" s="181"/>
      <c r="H123" s="181">
        <f t="shared" ref="H123:T123" si="35">H15/H133</f>
        <v>1.2100690881729256E-2</v>
      </c>
      <c r="I123" s="181">
        <f t="shared" si="35"/>
        <v>1.2922258694477915E-2</v>
      </c>
      <c r="J123" s="181">
        <f t="shared" si="35"/>
        <v>1.016107526552131E-2</v>
      </c>
      <c r="K123" s="181">
        <f t="shared" si="35"/>
        <v>1.0362298192331481E-2</v>
      </c>
      <c r="L123" s="181">
        <f t="shared" si="35"/>
        <v>1.0626628273687096E-2</v>
      </c>
      <c r="M123" s="181">
        <f t="shared" si="35"/>
        <v>1.0349271387502891E-2</v>
      </c>
      <c r="N123" s="181">
        <f t="shared" si="35"/>
        <v>1.1211939165902553E-2</v>
      </c>
      <c r="O123" s="181">
        <f t="shared" si="35"/>
        <v>1.0949198937283633E-2</v>
      </c>
      <c r="P123" s="181">
        <f t="shared" si="35"/>
        <v>1.135730718004601E-2</v>
      </c>
      <c r="Q123" s="181">
        <f t="shared" si="35"/>
        <v>1.1994216227747885E-2</v>
      </c>
      <c r="R123" s="181">
        <f t="shared" si="35"/>
        <v>1.2131183630433398E-2</v>
      </c>
      <c r="S123" s="688">
        <f t="shared" si="35"/>
        <v>1.1560364140069659E-2</v>
      </c>
      <c r="T123" s="707">
        <f t="shared" si="35"/>
        <v>1.0832071936211758E-2</v>
      </c>
      <c r="U123" s="699">
        <f t="shared" ref="U123:AC123" si="36">T123</f>
        <v>1.0832071936211758E-2</v>
      </c>
      <c r="V123" s="699">
        <f t="shared" si="36"/>
        <v>1.0832071936211758E-2</v>
      </c>
      <c r="W123" s="699">
        <f t="shared" si="36"/>
        <v>1.0832071936211758E-2</v>
      </c>
      <c r="X123" s="699">
        <f t="shared" si="36"/>
        <v>1.0832071936211758E-2</v>
      </c>
      <c r="Y123" s="699">
        <f t="shared" si="36"/>
        <v>1.0832071936211758E-2</v>
      </c>
      <c r="Z123" s="699">
        <f t="shared" si="36"/>
        <v>1.0832071936211758E-2</v>
      </c>
      <c r="AA123" s="699">
        <f t="shared" si="36"/>
        <v>1.0832071936211758E-2</v>
      </c>
      <c r="AB123" s="699">
        <f t="shared" si="36"/>
        <v>1.0832071936211758E-2</v>
      </c>
      <c r="AC123" s="699">
        <f t="shared" si="36"/>
        <v>1.0832071936211758E-2</v>
      </c>
    </row>
    <row r="124" spans="4:32" x14ac:dyDescent="0.35">
      <c r="D124" s="419" t="s">
        <v>535</v>
      </c>
      <c r="F124" s="712"/>
      <c r="G124" s="181"/>
      <c r="H124" s="181">
        <f t="shared" ref="H124:S124" si="37">H18/H134</f>
        <v>0.11697176543592926</v>
      </c>
      <c r="I124" s="181">
        <f t="shared" si="37"/>
        <v>0.10545412659102689</v>
      </c>
      <c r="J124" s="181">
        <f t="shared" si="37"/>
        <v>0.11132677978836643</v>
      </c>
      <c r="K124" s="181">
        <f t="shared" si="37"/>
        <v>0.10700112684336878</v>
      </c>
      <c r="L124" s="181">
        <f t="shared" si="37"/>
        <v>0.11630892472013966</v>
      </c>
      <c r="M124" s="181">
        <f t="shared" si="37"/>
        <v>0.11594202898550723</v>
      </c>
      <c r="N124" s="181">
        <f t="shared" si="37"/>
        <v>0.11690415853101242</v>
      </c>
      <c r="O124" s="181">
        <f t="shared" si="37"/>
        <v>0.11448309893905748</v>
      </c>
      <c r="P124" s="181">
        <f t="shared" si="37"/>
        <v>0.12475442043222006</v>
      </c>
      <c r="Q124" s="181">
        <f t="shared" si="37"/>
        <v>0.12899247749414233</v>
      </c>
      <c r="R124" s="688">
        <f t="shared" si="37"/>
        <v>0.13911536492181653</v>
      </c>
      <c r="S124" s="688">
        <f t="shared" si="37"/>
        <v>0.13340122199592669</v>
      </c>
      <c r="T124" s="701">
        <f t="shared" ref="T124" si="38">S124</f>
        <v>0.13340122199592669</v>
      </c>
      <c r="U124" s="699">
        <f>T124+U125</f>
        <v>0.12140122199592669</v>
      </c>
      <c r="V124" s="699">
        <f t="shared" ref="V124:AC124" si="39">U124+V125</f>
        <v>0.12140122199592669</v>
      </c>
      <c r="W124" s="699">
        <f t="shared" si="39"/>
        <v>0.12140122199592669</v>
      </c>
      <c r="X124" s="699">
        <f t="shared" si="39"/>
        <v>0.12140122199592669</v>
      </c>
      <c r="Y124" s="699">
        <f t="shared" si="39"/>
        <v>0.12140122199592669</v>
      </c>
      <c r="Z124" s="699">
        <f t="shared" si="39"/>
        <v>0.12140122199592669</v>
      </c>
      <c r="AA124" s="699">
        <f t="shared" si="39"/>
        <v>0.12140122199592669</v>
      </c>
      <c r="AB124" s="699">
        <f t="shared" si="39"/>
        <v>0.12140122199592669</v>
      </c>
      <c r="AC124" s="699">
        <f t="shared" si="39"/>
        <v>0.12140122199592669</v>
      </c>
    </row>
    <row r="125" spans="4:32" x14ac:dyDescent="0.35">
      <c r="D125" s="419" t="s">
        <v>2227</v>
      </c>
      <c r="F125" s="712"/>
      <c r="G125" s="181"/>
      <c r="H125" s="181"/>
      <c r="I125" s="181"/>
      <c r="J125" s="181"/>
      <c r="K125" s="181"/>
      <c r="L125" s="181"/>
      <c r="M125" s="181"/>
      <c r="N125" s="181"/>
      <c r="O125" s="181"/>
      <c r="P125" s="181"/>
      <c r="Q125" s="181"/>
      <c r="R125" s="688"/>
      <c r="S125" s="688"/>
      <c r="T125" s="701"/>
      <c r="U125" s="699">
        <v>-1.2E-2</v>
      </c>
      <c r="V125" s="699"/>
      <c r="W125" s="699"/>
      <c r="X125" s="699"/>
      <c r="Y125" s="699"/>
      <c r="Z125" s="699"/>
      <c r="AA125" s="699"/>
      <c r="AB125" s="699"/>
      <c r="AC125" s="699"/>
    </row>
    <row r="126" spans="4:32" x14ac:dyDescent="0.35">
      <c r="D126" s="581" t="s">
        <v>565</v>
      </c>
      <c r="F126" s="298"/>
      <c r="G126" s="159"/>
      <c r="H126" s="159"/>
      <c r="I126" s="159"/>
      <c r="J126" s="159"/>
      <c r="K126" s="159"/>
      <c r="L126" s="159"/>
      <c r="M126" s="159"/>
      <c r="N126" s="159"/>
      <c r="O126" s="159"/>
      <c r="P126" s="159"/>
      <c r="Q126" s="159"/>
      <c r="R126" s="159"/>
      <c r="S126" s="159"/>
      <c r="T126" s="170"/>
      <c r="U126" s="310"/>
      <c r="V126" s="310"/>
      <c r="W126" s="310"/>
      <c r="X126" s="310"/>
      <c r="Y126" s="310"/>
      <c r="Z126" s="310"/>
      <c r="AA126" s="310"/>
      <c r="AB126" s="310"/>
      <c r="AC126" s="155"/>
    </row>
    <row r="127" spans="4:32" ht="14.9" customHeight="1" x14ac:dyDescent="0.35">
      <c r="D127" s="738" t="s">
        <v>566</v>
      </c>
      <c r="F127" s="470">
        <f>SUM(F128:F131)</f>
        <v>14677.800000000003</v>
      </c>
      <c r="G127" s="436">
        <f t="shared" ref="G127:O127" si="40">SUM(G128:G131)</f>
        <v>14803.5</v>
      </c>
      <c r="H127" s="436">
        <f t="shared" si="40"/>
        <v>14984.9</v>
      </c>
      <c r="I127" s="436">
        <f t="shared" si="40"/>
        <v>15144.2</v>
      </c>
      <c r="J127" s="436">
        <f t="shared" si="40"/>
        <v>14272.5</v>
      </c>
      <c r="K127" s="436">
        <f t="shared" si="40"/>
        <v>14950.5</v>
      </c>
      <c r="L127" s="436">
        <f t="shared" si="40"/>
        <v>15327.199999999999</v>
      </c>
      <c r="M127" s="436">
        <f t="shared" si="40"/>
        <v>15367.5</v>
      </c>
      <c r="N127" s="436">
        <f t="shared" si="40"/>
        <v>15835.400000000001</v>
      </c>
      <c r="O127" s="436">
        <f t="shared" si="40"/>
        <v>16171.900000000001</v>
      </c>
      <c r="P127" s="436">
        <f t="shared" ref="P127:T127" si="41">SUM(P128:P131)</f>
        <v>16547.599999999999</v>
      </c>
      <c r="Q127" s="436">
        <f t="shared" si="41"/>
        <v>16765.5</v>
      </c>
      <c r="R127" s="436">
        <f t="shared" si="41"/>
        <v>17006.199999999997</v>
      </c>
      <c r="S127" s="673">
        <f t="shared" si="41"/>
        <v>17276.7</v>
      </c>
      <c r="T127" s="708">
        <f t="shared" si="41"/>
        <v>17491.400000000001</v>
      </c>
      <c r="U127" s="310"/>
      <c r="V127" s="310"/>
      <c r="W127" s="310"/>
      <c r="X127" s="310"/>
      <c r="Y127" s="310"/>
      <c r="Z127" s="310"/>
      <c r="AA127" s="310"/>
      <c r="AB127" s="310"/>
      <c r="AC127" s="155"/>
      <c r="AD127" s="756"/>
      <c r="AE127" s="756"/>
      <c r="AF127" s="756"/>
    </row>
    <row r="128" spans="4:32" x14ac:dyDescent="0.35">
      <c r="D128" s="787" t="s">
        <v>840</v>
      </c>
      <c r="E128" s="171" t="s">
        <v>836</v>
      </c>
      <c r="F128" s="470">
        <f>'Haver Pivoted'!GQ81</f>
        <v>9284.7000000000007</v>
      </c>
      <c r="G128" s="436">
        <f>'Haver Pivoted'!GR81</f>
        <v>9340.5</v>
      </c>
      <c r="H128" s="436">
        <f>'Haver Pivoted'!GS81</f>
        <v>9487</v>
      </c>
      <c r="I128" s="436">
        <f>'Haver Pivoted'!GT81</f>
        <v>9634.1</v>
      </c>
      <c r="J128" s="436">
        <f>'Haver Pivoted'!GU81</f>
        <v>9002.7000000000007</v>
      </c>
      <c r="K128" s="436">
        <f>'Haver Pivoted'!GV81</f>
        <v>9432.5</v>
      </c>
      <c r="L128" s="436">
        <f>'Haver Pivoted'!GW81</f>
        <v>9791.5</v>
      </c>
      <c r="M128" s="436">
        <f>'Haver Pivoted'!GX81</f>
        <v>9861.1</v>
      </c>
      <c r="N128" s="436">
        <f>'Haver Pivoted'!GY81</f>
        <v>10148.700000000001</v>
      </c>
      <c r="O128" s="436">
        <f>'Haver Pivoted'!GZ81</f>
        <v>10433.6</v>
      </c>
      <c r="P128" s="436">
        <f>'Haver Pivoted'!HA81</f>
        <v>10759.7</v>
      </c>
      <c r="Q128" s="436">
        <f>'Haver Pivoted'!HB81</f>
        <v>10939.3</v>
      </c>
      <c r="R128" s="436">
        <f>'Haver Pivoted'!HC81</f>
        <v>11071.9</v>
      </c>
      <c r="S128" s="673">
        <f>'Haver Pivoted'!HD81</f>
        <v>11259.5</v>
      </c>
      <c r="T128" s="708">
        <f>'Haver Pivoted'!HE81</f>
        <v>11398</v>
      </c>
      <c r="U128" s="310"/>
      <c r="V128" s="310"/>
      <c r="W128" s="310"/>
      <c r="X128" s="310"/>
      <c r="Y128" s="310"/>
      <c r="Z128" s="310"/>
      <c r="AA128" s="310"/>
      <c r="AB128" s="310"/>
      <c r="AC128" s="155"/>
    </row>
    <row r="129" spans="4:29" x14ac:dyDescent="0.35">
      <c r="D129" s="787" t="s">
        <v>567</v>
      </c>
      <c r="E129" s="171" t="s">
        <v>837</v>
      </c>
      <c r="F129" s="470">
        <f>'Haver Pivoted'!GQ82</f>
        <v>1575.2</v>
      </c>
      <c r="G129" s="436">
        <f>'Haver Pivoted'!GR82</f>
        <v>1615.3</v>
      </c>
      <c r="H129" s="436">
        <f>'Haver Pivoted'!GS82</f>
        <v>1631.9</v>
      </c>
      <c r="I129" s="436">
        <f>'Haver Pivoted'!GT82</f>
        <v>1643.2</v>
      </c>
      <c r="J129" s="436">
        <f>'Haver Pivoted'!GU82</f>
        <v>1475.6</v>
      </c>
      <c r="K129" s="436">
        <f>'Haver Pivoted'!GV82</f>
        <v>1751.6</v>
      </c>
      <c r="L129" s="436">
        <f>'Haver Pivoted'!GW82</f>
        <v>1702</v>
      </c>
      <c r="M129" s="436">
        <f>'Haver Pivoted'!GX82</f>
        <v>1655</v>
      </c>
      <c r="N129" s="436">
        <f>'Haver Pivoted'!GY82</f>
        <v>1776.9</v>
      </c>
      <c r="O129" s="436">
        <f>'Haver Pivoted'!GZ82</f>
        <v>1792.7</v>
      </c>
      <c r="P129" s="436">
        <f>'Haver Pivoted'!HA82</f>
        <v>1789.8</v>
      </c>
      <c r="Q129" s="436">
        <f>'Haver Pivoted'!HB82</f>
        <v>1811.4</v>
      </c>
      <c r="R129" s="436">
        <f>'Haver Pivoted'!HC82</f>
        <v>1835.4</v>
      </c>
      <c r="S129" s="673">
        <f>'Haver Pivoted'!HD82</f>
        <v>1863.5</v>
      </c>
      <c r="T129" s="708">
        <f>'Haver Pivoted'!HE82</f>
        <v>1871.6</v>
      </c>
      <c r="U129" s="310"/>
      <c r="V129" s="310"/>
      <c r="W129" s="310"/>
      <c r="X129" s="310"/>
      <c r="Y129" s="310"/>
      <c r="Z129" s="310"/>
      <c r="AA129" s="310"/>
      <c r="AB129" s="310"/>
      <c r="AC129" s="155"/>
    </row>
    <row r="130" spans="4:29" x14ac:dyDescent="0.35">
      <c r="D130" s="787" t="s">
        <v>568</v>
      </c>
      <c r="E130" s="171" t="s">
        <v>843</v>
      </c>
      <c r="F130" s="470">
        <f>'Haver Pivoted'!GQ83</f>
        <v>696.1</v>
      </c>
      <c r="G130" s="436">
        <f>'Haver Pivoted'!GR83</f>
        <v>699.1</v>
      </c>
      <c r="H130" s="436">
        <f>'Haver Pivoted'!GS83</f>
        <v>708</v>
      </c>
      <c r="I130" s="436">
        <f>'Haver Pivoted'!GT83</f>
        <v>722.6</v>
      </c>
      <c r="J130" s="436">
        <f>'Haver Pivoted'!GU83</f>
        <v>717.9</v>
      </c>
      <c r="K130" s="436">
        <f>'Haver Pivoted'!GV83</f>
        <v>722.6</v>
      </c>
      <c r="L130" s="436">
        <f>'Haver Pivoted'!GW83</f>
        <v>716.3</v>
      </c>
      <c r="M130" s="436">
        <f>'Haver Pivoted'!GX83</f>
        <v>719.4</v>
      </c>
      <c r="N130" s="436">
        <f>'Haver Pivoted'!GY83</f>
        <v>713.5</v>
      </c>
      <c r="O130" s="436">
        <f>'Haver Pivoted'!GZ83</f>
        <v>722.7</v>
      </c>
      <c r="P130" s="436">
        <f>'Haver Pivoted'!HA83</f>
        <v>739.6</v>
      </c>
      <c r="Q130" s="436">
        <f>'Haver Pivoted'!HB83</f>
        <v>744.9</v>
      </c>
      <c r="R130" s="436">
        <f>'Haver Pivoted'!HC83</f>
        <v>775.9</v>
      </c>
      <c r="S130" s="673">
        <f>'Haver Pivoted'!HD83</f>
        <v>794.9</v>
      </c>
      <c r="T130" s="708">
        <f>'Haver Pivoted'!HE83</f>
        <v>808.3</v>
      </c>
      <c r="U130" s="310"/>
      <c r="V130" s="310"/>
      <c r="W130" s="310"/>
      <c r="X130" s="310"/>
      <c r="Y130" s="310"/>
      <c r="Z130" s="310"/>
      <c r="AA130" s="310"/>
      <c r="AB130" s="310"/>
      <c r="AC130" s="155"/>
    </row>
    <row r="131" spans="4:29" x14ac:dyDescent="0.35">
      <c r="D131" s="787" t="s">
        <v>569</v>
      </c>
      <c r="E131" s="171" t="s">
        <v>839</v>
      </c>
      <c r="F131" s="470">
        <f>'Haver Pivoted'!GQ84</f>
        <v>3121.8</v>
      </c>
      <c r="G131" s="436">
        <f>'Haver Pivoted'!GR84</f>
        <v>3148.6</v>
      </c>
      <c r="H131" s="436">
        <f>'Haver Pivoted'!GS84</f>
        <v>3158</v>
      </c>
      <c r="I131" s="436">
        <f>'Haver Pivoted'!GT84</f>
        <v>3144.3</v>
      </c>
      <c r="J131" s="436">
        <f>'Haver Pivoted'!GU84</f>
        <v>3076.3</v>
      </c>
      <c r="K131" s="436">
        <f>'Haver Pivoted'!GV84</f>
        <v>3043.8</v>
      </c>
      <c r="L131" s="436">
        <f>'Haver Pivoted'!GW84</f>
        <v>3117.4</v>
      </c>
      <c r="M131" s="436">
        <f>'Haver Pivoted'!GX84</f>
        <v>3132</v>
      </c>
      <c r="N131" s="436">
        <f>'Haver Pivoted'!GY84</f>
        <v>3196.3</v>
      </c>
      <c r="O131" s="436">
        <f>'Haver Pivoted'!GZ84</f>
        <v>3222.9</v>
      </c>
      <c r="P131" s="436">
        <f>'Haver Pivoted'!HA84</f>
        <v>3258.5</v>
      </c>
      <c r="Q131" s="436">
        <f>'Haver Pivoted'!HB84</f>
        <v>3269.9</v>
      </c>
      <c r="R131" s="436">
        <f>'Haver Pivoted'!HC84</f>
        <v>3323</v>
      </c>
      <c r="S131" s="673">
        <f>'Haver Pivoted'!HD84</f>
        <v>3358.8</v>
      </c>
      <c r="T131" s="708">
        <f>'Haver Pivoted'!HE84</f>
        <v>3413.5</v>
      </c>
      <c r="U131" s="310"/>
      <c r="V131" s="310"/>
      <c r="W131" s="310"/>
      <c r="X131" s="310"/>
      <c r="Y131" s="310"/>
      <c r="Z131" s="310"/>
      <c r="AA131" s="310"/>
      <c r="AB131" s="310"/>
      <c r="AC131" s="155"/>
    </row>
    <row r="132" spans="4:29" x14ac:dyDescent="0.35">
      <c r="D132" s="738" t="s">
        <v>554</v>
      </c>
      <c r="F132" s="470">
        <f>F128</f>
        <v>9284.7000000000007</v>
      </c>
      <c r="G132" s="436">
        <f t="shared" ref="G132:O132" si="42">G128</f>
        <v>9340.5</v>
      </c>
      <c r="H132" s="436">
        <f t="shared" si="42"/>
        <v>9487</v>
      </c>
      <c r="I132" s="436">
        <f t="shared" si="42"/>
        <v>9634.1</v>
      </c>
      <c r="J132" s="436">
        <f t="shared" si="42"/>
        <v>9002.7000000000007</v>
      </c>
      <c r="K132" s="436">
        <f t="shared" si="42"/>
        <v>9432.5</v>
      </c>
      <c r="L132" s="436">
        <f t="shared" si="42"/>
        <v>9791.5</v>
      </c>
      <c r="M132" s="436">
        <f t="shared" si="42"/>
        <v>9861.1</v>
      </c>
      <c r="N132" s="436">
        <f t="shared" si="42"/>
        <v>10148.700000000001</v>
      </c>
      <c r="O132" s="436">
        <f t="shared" si="42"/>
        <v>10433.6</v>
      </c>
      <c r="P132" s="436">
        <f t="shared" ref="P132:T132" si="43">P128</f>
        <v>10759.7</v>
      </c>
      <c r="Q132" s="436">
        <f t="shared" si="43"/>
        <v>10939.3</v>
      </c>
      <c r="R132" s="436">
        <f t="shared" si="43"/>
        <v>11071.9</v>
      </c>
      <c r="S132" s="673">
        <f t="shared" si="43"/>
        <v>11259.5</v>
      </c>
      <c r="T132" s="708">
        <f t="shared" si="43"/>
        <v>11398</v>
      </c>
      <c r="U132" s="310"/>
      <c r="V132" s="310"/>
      <c r="W132" s="310"/>
      <c r="X132" s="310"/>
      <c r="Y132" s="310"/>
      <c r="Z132" s="310"/>
      <c r="AA132" s="310"/>
      <c r="AB132" s="310"/>
      <c r="AC132" s="155"/>
    </row>
    <row r="133" spans="4:29" x14ac:dyDescent="0.35">
      <c r="D133" s="738" t="s">
        <v>555</v>
      </c>
      <c r="E133" s="171" t="s">
        <v>573</v>
      </c>
      <c r="F133" s="470">
        <f>'Haver Pivoted'!GQ5</f>
        <v>14323.7</v>
      </c>
      <c r="G133" s="436">
        <f>'Haver Pivoted'!GR5</f>
        <v>14482.2</v>
      </c>
      <c r="H133" s="436">
        <f>'Haver Pivoted'!GS5</f>
        <v>14619</v>
      </c>
      <c r="I133" s="436">
        <f>'Haver Pivoted'!GT5</f>
        <v>14440.2</v>
      </c>
      <c r="J133" s="436">
        <f>'Haver Pivoted'!GU5</f>
        <v>13049.8</v>
      </c>
      <c r="K133" s="436">
        <f>'Haver Pivoted'!GV5</f>
        <v>14388.7</v>
      </c>
      <c r="L133" s="436">
        <f>'Haver Pivoted'!GW5</f>
        <v>14586</v>
      </c>
      <c r="M133" s="436">
        <f>'Haver Pivoted'!GX5</f>
        <v>15131.5</v>
      </c>
      <c r="N133" s="436">
        <f>'Haver Pivoted'!GY5</f>
        <v>15813.5</v>
      </c>
      <c r="O133" s="436">
        <f>'Haver Pivoted'!GZ5</f>
        <v>16147.3</v>
      </c>
      <c r="P133" s="436">
        <f>'Haver Pivoted'!HA5</f>
        <v>16518</v>
      </c>
      <c r="Q133" s="436">
        <f>'Haver Pivoted'!HB5</f>
        <v>16874.8</v>
      </c>
      <c r="R133" s="436">
        <f>'Haver Pivoted'!HC5</f>
        <v>17261.3</v>
      </c>
      <c r="S133" s="673">
        <f>'Haver Pivoted'!HD5</f>
        <v>17542.7</v>
      </c>
      <c r="T133" s="708">
        <f>'Haver Pivoted'!HE5</f>
        <v>17771.3</v>
      </c>
      <c r="U133" s="310"/>
      <c r="V133" s="310"/>
      <c r="W133" s="310"/>
      <c r="X133" s="310"/>
      <c r="Y133" s="310"/>
      <c r="Z133" s="310"/>
      <c r="AA133" s="310"/>
      <c r="AB133" s="310"/>
      <c r="AC133" s="155"/>
    </row>
    <row r="134" spans="4:29" x14ac:dyDescent="0.35">
      <c r="D134" s="738" t="s">
        <v>570</v>
      </c>
      <c r="E134" s="171" t="s">
        <v>838</v>
      </c>
      <c r="F134" s="470">
        <f>'Haver Pivoted'!GQ85</f>
        <v>1872</v>
      </c>
      <c r="G134" s="436">
        <f>'Haver Pivoted'!GR85</f>
        <v>1882</v>
      </c>
      <c r="H134" s="436">
        <f>'Haver Pivoted'!GS85</f>
        <v>1933.8</v>
      </c>
      <c r="I134" s="436">
        <f>'Haver Pivoted'!GT85</f>
        <v>1736.3</v>
      </c>
      <c r="J134" s="436">
        <f>'Haver Pivoted'!GU85</f>
        <v>1597.1</v>
      </c>
      <c r="K134" s="436">
        <f>'Haver Pivoted'!GV85</f>
        <v>2041.1</v>
      </c>
      <c r="L134" s="436">
        <f>'Haver Pivoted'!GW85</f>
        <v>1947.4</v>
      </c>
      <c r="M134" s="436">
        <f>'Haver Pivoted'!GX85</f>
        <v>2152.8000000000002</v>
      </c>
      <c r="N134" s="436">
        <f>'Haver Pivoted'!GY85</f>
        <v>2407.1</v>
      </c>
      <c r="O134" s="436">
        <f>'Haver Pivoted'!GZ85</f>
        <v>2431.8000000000002</v>
      </c>
      <c r="P134" s="436">
        <f>'Haver Pivoted'!HA85</f>
        <v>2443.1999999999998</v>
      </c>
      <c r="Q134" s="436">
        <f>'Haver Pivoted'!HB85</f>
        <v>2432.6999999999998</v>
      </c>
      <c r="R134" s="673">
        <f>'Haver Pivoted'!HC85</f>
        <v>2538.9</v>
      </c>
      <c r="S134" s="673">
        <f>'Haver Pivoted'!HD85</f>
        <v>2553.1999999999998</v>
      </c>
      <c r="T134" s="708">
        <f>'Haver Pivoted'!HE85</f>
        <v>2553.1999999999998</v>
      </c>
      <c r="U134" s="310"/>
      <c r="V134" s="310"/>
      <c r="W134" s="310"/>
      <c r="X134" s="310"/>
      <c r="Y134" s="310"/>
      <c r="Z134" s="310"/>
      <c r="AA134" s="310"/>
      <c r="AB134" s="310"/>
      <c r="AC134" s="155"/>
    </row>
    <row r="135" spans="4:29" x14ac:dyDescent="0.35">
      <c r="D135" s="581" t="s">
        <v>571</v>
      </c>
      <c r="F135" s="298"/>
      <c r="G135" s="159"/>
      <c r="H135" s="159"/>
      <c r="I135" s="159"/>
      <c r="J135" s="159"/>
      <c r="K135" s="159"/>
      <c r="L135" s="159"/>
      <c r="M135" s="159"/>
      <c r="N135" s="159"/>
      <c r="O135" s="159"/>
      <c r="P135" s="159"/>
      <c r="Q135" s="159"/>
      <c r="R135" s="159"/>
      <c r="S135" s="159"/>
      <c r="T135" s="170"/>
      <c r="U135" s="310"/>
      <c r="V135" s="310"/>
      <c r="W135" s="310"/>
      <c r="X135" s="310"/>
      <c r="Y135" s="310"/>
      <c r="Z135" s="310"/>
      <c r="AA135" s="310"/>
      <c r="AB135" s="310"/>
      <c r="AC135" s="155"/>
    </row>
    <row r="136" spans="4:29" x14ac:dyDescent="0.35">
      <c r="D136" s="781" t="s">
        <v>536</v>
      </c>
      <c r="F136" s="712">
        <f t="shared" ref="F136:T136" si="44">F24/F127</f>
        <v>3.6040823556663798E-2</v>
      </c>
      <c r="G136" s="181">
        <f t="shared" si="44"/>
        <v>3.3451548620258724E-2</v>
      </c>
      <c r="H136" s="181">
        <f t="shared" si="44"/>
        <v>3.2672890709981382E-2</v>
      </c>
      <c r="I136" s="181">
        <f t="shared" si="44"/>
        <v>3.2850860395398897E-2</v>
      </c>
      <c r="J136" s="181">
        <f t="shared" si="44"/>
        <v>3.419162725521107E-2</v>
      </c>
      <c r="K136" s="181">
        <f t="shared" si="44"/>
        <v>3.4473763419283633E-2</v>
      </c>
      <c r="L136" s="181">
        <f t="shared" si="44"/>
        <v>3.4115820241139933E-2</v>
      </c>
      <c r="M136" s="181">
        <f t="shared" si="44"/>
        <v>3.5373352855051249E-2</v>
      </c>
      <c r="N136" s="181">
        <f t="shared" si="44"/>
        <v>3.5780592848933403E-2</v>
      </c>
      <c r="O136" s="181">
        <f t="shared" si="44"/>
        <v>3.3044973070573025E-2</v>
      </c>
      <c r="P136" s="181">
        <f t="shared" si="44"/>
        <v>3.449442819502526E-2</v>
      </c>
      <c r="Q136" s="181">
        <f t="shared" si="44"/>
        <v>3.4672392711222445E-2</v>
      </c>
      <c r="R136" s="181">
        <f t="shared" si="44"/>
        <v>3.4681469111265309E-2</v>
      </c>
      <c r="S136" s="688">
        <f t="shared" si="44"/>
        <v>3.4427871063339638E-2</v>
      </c>
      <c r="T136" s="707">
        <f t="shared" si="44"/>
        <v>3.3645105594749418E-2</v>
      </c>
      <c r="U136" s="699">
        <f t="shared" ref="U136:AC138" si="45">T136</f>
        <v>3.3645105594749418E-2</v>
      </c>
      <c r="V136" s="699">
        <f t="shared" si="45"/>
        <v>3.3645105594749418E-2</v>
      </c>
      <c r="W136" s="699">
        <f t="shared" si="45"/>
        <v>3.3645105594749418E-2</v>
      </c>
      <c r="X136" s="699">
        <f>W136</f>
        <v>3.3645105594749418E-2</v>
      </c>
      <c r="Y136" s="699">
        <f t="shared" si="45"/>
        <v>3.3645105594749418E-2</v>
      </c>
      <c r="Z136" s="699">
        <f t="shared" si="45"/>
        <v>3.3645105594749418E-2</v>
      </c>
      <c r="AA136" s="699">
        <f t="shared" si="45"/>
        <v>3.3645105594749418E-2</v>
      </c>
      <c r="AB136" s="699">
        <f t="shared" si="45"/>
        <v>3.3645105594749418E-2</v>
      </c>
      <c r="AC136" s="701">
        <f t="shared" si="45"/>
        <v>3.3645105594749418E-2</v>
      </c>
    </row>
    <row r="137" spans="4:29" x14ac:dyDescent="0.35">
      <c r="D137" s="781" t="s">
        <v>533</v>
      </c>
      <c r="F137" s="712">
        <f t="shared" ref="F137:T137" si="46">F25/F132</f>
        <v>2.2402447036522452E-3</v>
      </c>
      <c r="G137" s="181">
        <f t="shared" si="46"/>
        <v>2.2161554520635941E-3</v>
      </c>
      <c r="H137" s="181">
        <f t="shared" si="46"/>
        <v>2.1819331717086539E-3</v>
      </c>
      <c r="I137" s="181">
        <f t="shared" si="46"/>
        <v>2.1486179300609291E-3</v>
      </c>
      <c r="J137" s="181">
        <f t="shared" si="46"/>
        <v>2.1993401979406176E-3</v>
      </c>
      <c r="K137" s="181">
        <f t="shared" si="46"/>
        <v>2.1733368672144184E-3</v>
      </c>
      <c r="L137" s="181">
        <f t="shared" si="46"/>
        <v>2.1753561762753409E-3</v>
      </c>
      <c r="M137" s="181">
        <f t="shared" si="46"/>
        <v>2.2309884292827371E-3</v>
      </c>
      <c r="N137" s="181">
        <f t="shared" si="46"/>
        <v>2.2367396809443571E-3</v>
      </c>
      <c r="O137" s="181">
        <f t="shared" si="46"/>
        <v>2.2235853396718294E-3</v>
      </c>
      <c r="P137" s="181">
        <f t="shared" si="46"/>
        <v>2.1747818247720659E-3</v>
      </c>
      <c r="Q137" s="181">
        <f t="shared" si="46"/>
        <v>2.1390765405464702E-3</v>
      </c>
      <c r="R137" s="181">
        <f t="shared" si="46"/>
        <v>2.1315221416378402E-3</v>
      </c>
      <c r="S137" s="688">
        <f t="shared" si="46"/>
        <v>2.122651982770105E-3</v>
      </c>
      <c r="T137" s="707">
        <f t="shared" si="46"/>
        <v>2.1494999122653098E-3</v>
      </c>
      <c r="U137" s="699">
        <f t="shared" si="45"/>
        <v>2.1494999122653098E-3</v>
      </c>
      <c r="V137" s="699">
        <f t="shared" si="45"/>
        <v>2.1494999122653098E-3</v>
      </c>
      <c r="W137" s="699">
        <f t="shared" si="45"/>
        <v>2.1494999122653098E-3</v>
      </c>
      <c r="X137" s="699">
        <f>W137</f>
        <v>2.1494999122653098E-3</v>
      </c>
      <c r="Y137" s="699">
        <f t="shared" si="45"/>
        <v>2.1494999122653098E-3</v>
      </c>
      <c r="Z137" s="699">
        <f t="shared" si="45"/>
        <v>2.1494999122653098E-3</v>
      </c>
      <c r="AA137" s="699">
        <f t="shared" si="45"/>
        <v>2.1494999122653098E-3</v>
      </c>
      <c r="AB137" s="699">
        <f t="shared" si="45"/>
        <v>2.1494999122653098E-3</v>
      </c>
      <c r="AC137" s="701">
        <f t="shared" si="45"/>
        <v>2.1494999122653098E-3</v>
      </c>
    </row>
    <row r="138" spans="4:29" x14ac:dyDescent="0.35">
      <c r="D138" s="781" t="s">
        <v>534</v>
      </c>
      <c r="F138" s="712">
        <f t="shared" ref="F138:T138" si="47">F26/F133</f>
        <v>9.3886356178920244E-2</v>
      </c>
      <c r="G138" s="181">
        <f t="shared" si="47"/>
        <v>9.4826752841419115E-2</v>
      </c>
      <c r="H138" s="181">
        <f t="shared" si="47"/>
        <v>9.3898351460428214E-2</v>
      </c>
      <c r="I138" s="181">
        <f t="shared" si="47"/>
        <v>9.5518067616792005E-2</v>
      </c>
      <c r="J138" s="181">
        <f t="shared" si="47"/>
        <v>9.9143281889377613E-2</v>
      </c>
      <c r="K138" s="181">
        <f t="shared" si="47"/>
        <v>9.7117877223098684E-2</v>
      </c>
      <c r="L138" s="181">
        <f t="shared" si="47"/>
        <v>9.6764020293432063E-2</v>
      </c>
      <c r="M138" s="181">
        <f t="shared" si="47"/>
        <v>9.4306578990846907E-2</v>
      </c>
      <c r="N138" s="181">
        <f t="shared" si="47"/>
        <v>9.4817719037531223E-2</v>
      </c>
      <c r="O138" s="181">
        <f t="shared" si="47"/>
        <v>9.309296291020791E-2</v>
      </c>
      <c r="P138" s="181">
        <f t="shared" si="47"/>
        <v>9.236590386245308E-2</v>
      </c>
      <c r="Q138" s="181">
        <f t="shared" si="47"/>
        <v>9.1716642567615622E-2</v>
      </c>
      <c r="R138" s="181">
        <f t="shared" si="47"/>
        <v>9.072897174604462E-2</v>
      </c>
      <c r="S138" s="688">
        <f t="shared" si="47"/>
        <v>9.0197062025799898E-2</v>
      </c>
      <c r="T138" s="707">
        <f t="shared" si="47"/>
        <v>8.9627658077912134E-2</v>
      </c>
      <c r="U138" s="699">
        <f t="shared" si="45"/>
        <v>8.9627658077912134E-2</v>
      </c>
      <c r="V138" s="699">
        <f t="shared" si="45"/>
        <v>8.9627658077912134E-2</v>
      </c>
      <c r="W138" s="699">
        <f t="shared" si="45"/>
        <v>8.9627658077912134E-2</v>
      </c>
      <c r="X138" s="699">
        <f>W138</f>
        <v>8.9627658077912134E-2</v>
      </c>
      <c r="Y138" s="699">
        <f t="shared" si="45"/>
        <v>8.9627658077912134E-2</v>
      </c>
      <c r="Z138" s="699">
        <f t="shared" si="45"/>
        <v>8.9627658077912134E-2</v>
      </c>
      <c r="AA138" s="699">
        <f t="shared" si="45"/>
        <v>8.9627658077912134E-2</v>
      </c>
      <c r="AB138" s="699">
        <f t="shared" si="45"/>
        <v>8.9627658077912134E-2</v>
      </c>
      <c r="AC138" s="701">
        <f t="shared" si="45"/>
        <v>8.9627658077912134E-2</v>
      </c>
    </row>
    <row r="139" spans="4:29" x14ac:dyDescent="0.35">
      <c r="D139" s="782" t="s">
        <v>572</v>
      </c>
      <c r="E139" s="280"/>
      <c r="F139" s="198">
        <f t="shared" ref="F139:S139" si="48">F27/F134</f>
        <v>3.9797008547008544E-2</v>
      </c>
      <c r="G139" s="199">
        <f t="shared" si="48"/>
        <v>3.9001062699256114E-2</v>
      </c>
      <c r="H139" s="199">
        <f t="shared" si="48"/>
        <v>3.728410383700486E-2</v>
      </c>
      <c r="I139" s="199">
        <f t="shared" si="48"/>
        <v>3.8990957783793127E-2</v>
      </c>
      <c r="J139" s="199">
        <f t="shared" si="48"/>
        <v>4.0698766514307184E-2</v>
      </c>
      <c r="K139" s="199">
        <f t="shared" si="48"/>
        <v>3.9635490666797321E-2</v>
      </c>
      <c r="L139" s="199">
        <f t="shared" si="48"/>
        <v>4.3545239806922049E-2</v>
      </c>
      <c r="M139" s="199">
        <f t="shared" si="48"/>
        <v>4.0876997398736528E-2</v>
      </c>
      <c r="N139" s="199">
        <f t="shared" si="48"/>
        <v>3.7514021021145774E-2</v>
      </c>
      <c r="O139" s="199">
        <f t="shared" si="48"/>
        <v>3.8818981824163171E-2</v>
      </c>
      <c r="P139" s="199">
        <f t="shared" si="48"/>
        <v>4.52275703994761E-2</v>
      </c>
      <c r="Q139" s="199">
        <f t="shared" si="48"/>
        <v>6.8195831791836234E-2</v>
      </c>
      <c r="R139" s="709">
        <f t="shared" si="48"/>
        <v>4.3247075505140016E-2</v>
      </c>
      <c r="S139" s="709">
        <f t="shared" si="48"/>
        <v>3.9440701864327125E-2</v>
      </c>
      <c r="T139" s="703">
        <f>S139</f>
        <v>3.9440701864327125E-2</v>
      </c>
      <c r="U139" s="702">
        <f t="shared" ref="U139:AC139" si="49">T139</f>
        <v>3.9440701864327125E-2</v>
      </c>
      <c r="V139" s="702">
        <f t="shared" si="49"/>
        <v>3.9440701864327125E-2</v>
      </c>
      <c r="W139" s="702">
        <f t="shared" si="49"/>
        <v>3.9440701864327125E-2</v>
      </c>
      <c r="X139" s="702">
        <f>W139</f>
        <v>3.9440701864327125E-2</v>
      </c>
      <c r="Y139" s="702">
        <f t="shared" si="49"/>
        <v>3.9440701864327125E-2</v>
      </c>
      <c r="Z139" s="702">
        <f t="shared" si="49"/>
        <v>3.9440701864327125E-2</v>
      </c>
      <c r="AA139" s="702">
        <f t="shared" si="49"/>
        <v>3.9440701864327125E-2</v>
      </c>
      <c r="AB139" s="702">
        <f t="shared" si="49"/>
        <v>3.9440701864327125E-2</v>
      </c>
      <c r="AC139" s="703">
        <f t="shared" si="49"/>
        <v>3.9440701864327125E-2</v>
      </c>
    </row>
    <row r="143" spans="4:29" hidden="1" x14ac:dyDescent="0.35">
      <c r="D143" s="1536" t="s">
        <v>1799</v>
      </c>
      <c r="E143" s="1536"/>
      <c r="F143" s="1536"/>
      <c r="G143" s="1536"/>
      <c r="H143" s="1536"/>
      <c r="I143" s="1536"/>
      <c r="J143" s="1536"/>
      <c r="K143" s="1536"/>
      <c r="L143" s="1536"/>
      <c r="M143" s="1536"/>
      <c r="N143" s="1536"/>
      <c r="O143" s="1536"/>
      <c r="P143" s="1536"/>
      <c r="Q143" s="1536"/>
      <c r="R143" s="1536"/>
      <c r="S143" s="1536"/>
      <c r="T143" s="1536"/>
      <c r="U143" s="1536"/>
      <c r="V143" s="1536"/>
      <c r="W143" s="1536"/>
      <c r="X143" s="1536"/>
      <c r="Y143" s="1536"/>
      <c r="Z143" s="1536"/>
      <c r="AA143" s="1536"/>
      <c r="AB143" s="1536"/>
      <c r="AC143" s="1536"/>
    </row>
    <row r="144" spans="4:29" hidden="1" x14ac:dyDescent="0.35">
      <c r="D144" s="695" t="s">
        <v>1792</v>
      </c>
      <c r="E144" s="100"/>
      <c r="F144" s="690"/>
      <c r="G144" s="690"/>
      <c r="H144" s="690"/>
      <c r="I144" s="690"/>
      <c r="J144" s="690"/>
      <c r="K144" s="690"/>
      <c r="L144" s="690"/>
      <c r="M144" s="690"/>
      <c r="N144" s="690"/>
      <c r="O144" s="690"/>
      <c r="P144" s="690"/>
      <c r="Q144" s="690"/>
      <c r="R144" s="690"/>
      <c r="S144" s="626"/>
      <c r="T144" s="690"/>
      <c r="U144" s="252"/>
      <c r="V144" s="252"/>
      <c r="W144" s="252"/>
      <c r="X144" s="252"/>
      <c r="Y144" s="252"/>
      <c r="Z144" s="252"/>
      <c r="AA144" s="252"/>
      <c r="AB144" s="252"/>
      <c r="AC144" s="253"/>
    </row>
    <row r="145" spans="4:29" hidden="1" x14ac:dyDescent="0.35">
      <c r="D145" s="738" t="s">
        <v>566</v>
      </c>
      <c r="E145" s="142"/>
      <c r="F145" s="181"/>
      <c r="G145" s="181">
        <f>(G127/F127)^4-1</f>
        <v>3.4698380469732282E-2</v>
      </c>
      <c r="H145" s="181">
        <f t="shared" ref="H145:S145" si="50">(H127/G127)^4-1</f>
        <v>4.9923760445010679E-2</v>
      </c>
      <c r="I145" s="181">
        <f t="shared" si="50"/>
        <v>4.3205695538489852E-2</v>
      </c>
      <c r="J145" s="181">
        <f t="shared" si="50"/>
        <v>-0.21111288829196628</v>
      </c>
      <c r="K145" s="181">
        <f t="shared" si="50"/>
        <v>0.2039893976975653</v>
      </c>
      <c r="L145" s="181">
        <f t="shared" si="50"/>
        <v>0.10465949131480801</v>
      </c>
      <c r="M145" s="181">
        <f t="shared" si="50"/>
        <v>1.0558802843273263E-2</v>
      </c>
      <c r="N145" s="181">
        <f t="shared" si="50"/>
        <v>0.12746550927768152</v>
      </c>
      <c r="O145" s="181">
        <f t="shared" si="50"/>
        <v>8.7747356366950635E-2</v>
      </c>
      <c r="P145" s="181">
        <f t="shared" si="50"/>
        <v>9.6215323061816349E-2</v>
      </c>
      <c r="Q145" s="181">
        <f t="shared" si="50"/>
        <v>5.3721843023527782E-2</v>
      </c>
      <c r="R145" s="181">
        <f t="shared" si="50"/>
        <v>5.8676051825151676E-2</v>
      </c>
      <c r="S145" s="181">
        <f t="shared" si="50"/>
        <v>6.5158013742018017E-2</v>
      </c>
      <c r="T145" s="159"/>
      <c r="U145" s="310"/>
      <c r="V145" s="310"/>
      <c r="W145" s="310"/>
      <c r="X145" s="310"/>
      <c r="Y145" s="310"/>
      <c r="Z145" s="310"/>
      <c r="AA145" s="310"/>
      <c r="AB145" s="310"/>
      <c r="AC145" s="155"/>
    </row>
    <row r="146" spans="4:29" hidden="1" x14ac:dyDescent="0.35">
      <c r="D146" s="787" t="s">
        <v>840</v>
      </c>
      <c r="E146" s="585"/>
      <c r="F146" s="181"/>
      <c r="G146" s="181">
        <f t="shared" ref="G146:S146" si="51">(G128/F128)^4-1</f>
        <v>2.4257130985616993E-2</v>
      </c>
      <c r="H146" s="181">
        <f t="shared" si="51"/>
        <v>6.4229034399477136E-2</v>
      </c>
      <c r="I146" s="181">
        <f t="shared" si="51"/>
        <v>6.3479192755366398E-2</v>
      </c>
      <c r="J146" s="181">
        <f t="shared" si="51"/>
        <v>-0.23748829732952048</v>
      </c>
      <c r="K146" s="181">
        <f t="shared" si="51"/>
        <v>0.20508073180198716</v>
      </c>
      <c r="L146" s="181">
        <f t="shared" si="51"/>
        <v>0.1611535586248285</v>
      </c>
      <c r="M146" s="181">
        <f t="shared" si="51"/>
        <v>2.873742311872407E-2</v>
      </c>
      <c r="N146" s="181">
        <f t="shared" si="51"/>
        <v>0.12186398788851394</v>
      </c>
      <c r="O146" s="181">
        <f t="shared" si="51"/>
        <v>0.11710776964011727</v>
      </c>
      <c r="P146" s="181">
        <f t="shared" si="51"/>
        <v>0.13100342179485458</v>
      </c>
      <c r="Q146" s="181">
        <f t="shared" si="51"/>
        <v>6.8458061444058416E-2</v>
      </c>
      <c r="R146" s="181">
        <f t="shared" si="51"/>
        <v>4.9374455409313622E-2</v>
      </c>
      <c r="S146" s="181">
        <f t="shared" si="51"/>
        <v>6.9517271813918535E-2</v>
      </c>
      <c r="T146" s="159"/>
      <c r="U146" s="310"/>
      <c r="V146" s="310"/>
      <c r="W146" s="310"/>
      <c r="X146" s="310"/>
      <c r="Y146" s="310"/>
      <c r="Z146" s="310"/>
      <c r="AA146" s="310"/>
      <c r="AB146" s="310"/>
      <c r="AC146" s="155"/>
    </row>
    <row r="147" spans="4:29" hidden="1" x14ac:dyDescent="0.35">
      <c r="D147" s="787" t="s">
        <v>567</v>
      </c>
      <c r="E147" s="585"/>
      <c r="F147" s="181"/>
      <c r="G147" s="181">
        <f t="shared" ref="G147:S147" si="52">(G129/F129)^4-1</f>
        <v>0.10578312944398705</v>
      </c>
      <c r="H147" s="181">
        <f t="shared" si="52"/>
        <v>4.1744934553236801E-2</v>
      </c>
      <c r="I147" s="181">
        <f t="shared" si="52"/>
        <v>2.7986793488743444E-2</v>
      </c>
      <c r="J147" s="181">
        <f t="shared" si="52"/>
        <v>-0.34970130690663714</v>
      </c>
      <c r="K147" s="181">
        <f t="shared" si="52"/>
        <v>0.98547836855144699</v>
      </c>
      <c r="L147" s="181">
        <f t="shared" si="52"/>
        <v>-0.1085469464882084</v>
      </c>
      <c r="M147" s="181">
        <f t="shared" si="52"/>
        <v>-0.10596654721724863</v>
      </c>
      <c r="N147" s="181">
        <f t="shared" si="52"/>
        <v>0.32880103280025574</v>
      </c>
      <c r="O147" s="181">
        <f t="shared" si="52"/>
        <v>3.6044774195732154E-2</v>
      </c>
      <c r="P147" s="181">
        <f t="shared" si="52"/>
        <v>-6.4550024300153996E-3</v>
      </c>
      <c r="Q147" s="181">
        <f t="shared" si="52"/>
        <v>4.9154478043828886E-2</v>
      </c>
      <c r="R147" s="181">
        <f t="shared" si="52"/>
        <v>5.4060298595324685E-2</v>
      </c>
      <c r="S147" s="181">
        <f t="shared" si="52"/>
        <v>6.2660845264692622E-2</v>
      </c>
      <c r="T147" s="159"/>
      <c r="U147" s="310"/>
      <c r="V147" s="310"/>
      <c r="W147" s="310"/>
      <c r="X147" s="310"/>
      <c r="Y147" s="310"/>
      <c r="Z147" s="310"/>
      <c r="AA147" s="310"/>
      <c r="AB147" s="310"/>
      <c r="AC147" s="155"/>
    </row>
    <row r="148" spans="4:29" hidden="1" x14ac:dyDescent="0.35">
      <c r="D148" s="787" t="s">
        <v>568</v>
      </c>
      <c r="E148" s="585"/>
      <c r="F148" s="181"/>
      <c r="G148" s="181">
        <f t="shared" ref="G148:S148" si="53">(G130/F130)^4-1</f>
        <v>1.7350665401546284E-2</v>
      </c>
      <c r="H148" s="181">
        <f t="shared" si="53"/>
        <v>5.1903311323329371E-2</v>
      </c>
      <c r="I148" s="181">
        <f t="shared" si="53"/>
        <v>8.5072603128263369E-2</v>
      </c>
      <c r="J148" s="181">
        <f t="shared" si="53"/>
        <v>-2.5764424405961162E-2</v>
      </c>
      <c r="K148" s="181">
        <f t="shared" si="53"/>
        <v>2.6445784830072538E-2</v>
      </c>
      <c r="L148" s="181">
        <f t="shared" si="53"/>
        <v>-3.4420635784840226E-2</v>
      </c>
      <c r="M148" s="181">
        <f t="shared" si="53"/>
        <v>1.7423885940878847E-2</v>
      </c>
      <c r="N148" s="181">
        <f t="shared" si="53"/>
        <v>-3.2403751505907019E-2</v>
      </c>
      <c r="O148" s="181">
        <f t="shared" si="53"/>
        <v>5.2582897021147934E-2</v>
      </c>
      <c r="P148" s="181">
        <f t="shared" si="53"/>
        <v>9.6870587526498575E-2</v>
      </c>
      <c r="Q148" s="181">
        <f t="shared" si="53"/>
        <v>2.8973729785401803E-2</v>
      </c>
      <c r="R148" s="181">
        <f t="shared" si="53"/>
        <v>0.17714811192574409</v>
      </c>
      <c r="S148" s="181">
        <f t="shared" si="53"/>
        <v>0.101607744588458</v>
      </c>
      <c r="T148" s="159"/>
      <c r="U148" s="310"/>
      <c r="V148" s="310"/>
      <c r="W148" s="310"/>
      <c r="X148" s="310"/>
      <c r="Y148" s="310"/>
      <c r="Z148" s="310"/>
      <c r="AA148" s="310"/>
      <c r="AB148" s="310"/>
      <c r="AC148" s="155"/>
    </row>
    <row r="149" spans="4:29" hidden="1" x14ac:dyDescent="0.35">
      <c r="D149" s="787" t="s">
        <v>569</v>
      </c>
      <c r="E149" s="585"/>
      <c r="F149" s="181"/>
      <c r="G149" s="181">
        <f t="shared" ref="G149:S149" si="54">(G131/F131)^4-1</f>
        <v>3.4783891285258939E-2</v>
      </c>
      <c r="H149" s="181">
        <f t="shared" si="54"/>
        <v>1.1995399534317164E-2</v>
      </c>
      <c r="I149" s="181">
        <f t="shared" si="54"/>
        <v>-1.72401618421828E-2</v>
      </c>
      <c r="J149" s="181">
        <f t="shared" si="54"/>
        <v>-8.3739764588403598E-2</v>
      </c>
      <c r="K149" s="181">
        <f t="shared" si="54"/>
        <v>-4.1593591819862108E-2</v>
      </c>
      <c r="L149" s="181">
        <f t="shared" si="54"/>
        <v>0.10028621896444267</v>
      </c>
      <c r="M149" s="181">
        <f t="shared" si="54"/>
        <v>1.8865576255239436E-2</v>
      </c>
      <c r="N149" s="181">
        <f t="shared" si="54"/>
        <v>8.4683729354623427E-2</v>
      </c>
      <c r="O149" s="181">
        <f t="shared" si="54"/>
        <v>3.3706346430805167E-2</v>
      </c>
      <c r="P149" s="181">
        <f t="shared" si="54"/>
        <v>4.492129388861188E-2</v>
      </c>
      <c r="Q149" s="181">
        <f t="shared" si="54"/>
        <v>1.4067779320086293E-2</v>
      </c>
      <c r="R149" s="181">
        <f t="shared" si="54"/>
        <v>6.6555550049419487E-2</v>
      </c>
      <c r="S149" s="181">
        <f t="shared" si="54"/>
        <v>4.3795001871779204E-2</v>
      </c>
      <c r="T149" s="159"/>
      <c r="U149" s="310"/>
      <c r="V149" s="310"/>
      <c r="W149" s="310"/>
      <c r="X149" s="310"/>
      <c r="Y149" s="310"/>
      <c r="Z149" s="310"/>
      <c r="AA149" s="310"/>
      <c r="AB149" s="310"/>
      <c r="AC149" s="155"/>
    </row>
    <row r="150" spans="4:29" hidden="1" x14ac:dyDescent="0.35">
      <c r="D150" s="738" t="s">
        <v>554</v>
      </c>
      <c r="E150" s="142"/>
      <c r="F150" s="181"/>
      <c r="G150" s="181">
        <f t="shared" ref="G150:S150" si="55">(G132/F132)^4-1</f>
        <v>2.4257130985616993E-2</v>
      </c>
      <c r="H150" s="181">
        <f t="shared" si="55"/>
        <v>6.4229034399477136E-2</v>
      </c>
      <c r="I150" s="181">
        <f t="shared" si="55"/>
        <v>6.3479192755366398E-2</v>
      </c>
      <c r="J150" s="181">
        <f t="shared" si="55"/>
        <v>-0.23748829732952048</v>
      </c>
      <c r="K150" s="181">
        <f t="shared" si="55"/>
        <v>0.20508073180198716</v>
      </c>
      <c r="L150" s="181">
        <f t="shared" si="55"/>
        <v>0.1611535586248285</v>
      </c>
      <c r="M150" s="181">
        <f t="shared" si="55"/>
        <v>2.873742311872407E-2</v>
      </c>
      <c r="N150" s="181">
        <f t="shared" si="55"/>
        <v>0.12186398788851394</v>
      </c>
      <c r="O150" s="181">
        <f t="shared" si="55"/>
        <v>0.11710776964011727</v>
      </c>
      <c r="P150" s="181">
        <f t="shared" si="55"/>
        <v>0.13100342179485458</v>
      </c>
      <c r="Q150" s="181">
        <f t="shared" si="55"/>
        <v>6.8458061444058416E-2</v>
      </c>
      <c r="R150" s="181">
        <f t="shared" si="55"/>
        <v>4.9374455409313622E-2</v>
      </c>
      <c r="S150" s="181">
        <f t="shared" si="55"/>
        <v>6.9517271813918535E-2</v>
      </c>
      <c r="T150" s="159"/>
      <c r="U150" s="310"/>
      <c r="V150" s="310"/>
      <c r="W150" s="310"/>
      <c r="X150" s="310"/>
      <c r="Y150" s="310"/>
      <c r="Z150" s="310"/>
      <c r="AA150" s="310"/>
      <c r="AB150" s="310"/>
      <c r="AC150" s="155"/>
    </row>
    <row r="151" spans="4:29" hidden="1" x14ac:dyDescent="0.35">
      <c r="D151" s="738" t="s">
        <v>555</v>
      </c>
      <c r="E151" s="585"/>
      <c r="F151" s="181"/>
      <c r="G151" s="181">
        <f t="shared" ref="G151:S151" si="56">(G133/F133)^4-1</f>
        <v>4.5002423223402754E-2</v>
      </c>
      <c r="H151" s="181">
        <f t="shared" si="56"/>
        <v>3.8323064342955293E-2</v>
      </c>
      <c r="I151" s="181">
        <f t="shared" si="56"/>
        <v>-4.8032396760868568E-2</v>
      </c>
      <c r="J151" s="181">
        <f t="shared" si="56"/>
        <v>-0.33300498256979416</v>
      </c>
      <c r="K151" s="181">
        <f t="shared" si="56"/>
        <v>0.47798765988551417</v>
      </c>
      <c r="L151" s="181">
        <f t="shared" si="56"/>
        <v>5.5987082820652123E-2</v>
      </c>
      <c r="M151" s="181">
        <f t="shared" si="56"/>
        <v>0.15819874984710092</v>
      </c>
      <c r="N151" s="181">
        <f t="shared" si="56"/>
        <v>0.1928451879925992</v>
      </c>
      <c r="O151" s="181">
        <f t="shared" si="56"/>
        <v>8.7145430326741824E-2</v>
      </c>
      <c r="P151" s="181">
        <f t="shared" si="56"/>
        <v>9.5040522503139657E-2</v>
      </c>
      <c r="Q151" s="181">
        <f t="shared" si="56"/>
        <v>8.9242780231497676E-2</v>
      </c>
      <c r="R151" s="181">
        <f t="shared" si="56"/>
        <v>9.481178927373124E-2</v>
      </c>
      <c r="S151" s="181">
        <f t="shared" si="56"/>
        <v>6.6821460633025076E-2</v>
      </c>
      <c r="T151" s="159"/>
      <c r="U151" s="310"/>
      <c r="V151" s="310"/>
      <c r="W151" s="310"/>
      <c r="X151" s="310"/>
      <c r="Y151" s="310"/>
      <c r="Z151" s="310"/>
      <c r="AA151" s="310"/>
      <c r="AB151" s="310"/>
      <c r="AC151" s="155"/>
    </row>
    <row r="152" spans="4:29" hidden="1" x14ac:dyDescent="0.35">
      <c r="D152" s="696" t="s">
        <v>570</v>
      </c>
      <c r="E152" s="430"/>
      <c r="F152" s="199"/>
      <c r="G152" s="199">
        <f t="shared" ref="G152:S152" si="57">(G134/F134)^4-1</f>
        <v>2.1539346032199758E-2</v>
      </c>
      <c r="H152" s="199">
        <f t="shared" si="57"/>
        <v>0.11472501548972591</v>
      </c>
      <c r="I152" s="199">
        <f t="shared" si="57"/>
        <v>-0.35009057164746982</v>
      </c>
      <c r="J152" s="199">
        <f t="shared" si="57"/>
        <v>-0.28413788741165624</v>
      </c>
      <c r="K152" s="199">
        <f t="shared" si="57"/>
        <v>1.667649037274042</v>
      </c>
      <c r="L152" s="199">
        <f t="shared" si="57"/>
        <v>-0.17136450639292922</v>
      </c>
      <c r="M152" s="199">
        <f t="shared" si="57"/>
        <v>0.49346165457827729</v>
      </c>
      <c r="N152" s="199">
        <f t="shared" si="57"/>
        <v>0.56301012914725668</v>
      </c>
      <c r="O152" s="199">
        <f t="shared" si="57"/>
        <v>4.1681341019436546E-2</v>
      </c>
      <c r="P152" s="199">
        <f t="shared" si="57"/>
        <v>1.8883812263239985E-2</v>
      </c>
      <c r="Q152" s="199">
        <f t="shared" si="57"/>
        <v>-1.7080068525602621E-2</v>
      </c>
      <c r="R152" s="199">
        <f t="shared" si="57"/>
        <v>0.18639186970056576</v>
      </c>
      <c r="S152" s="199">
        <f t="shared" si="57"/>
        <v>2.2720498509915421E-2</v>
      </c>
      <c r="T152" s="173"/>
      <c r="U152" s="290"/>
      <c r="V152" s="290"/>
      <c r="W152" s="290"/>
      <c r="X152" s="290"/>
      <c r="Y152" s="290"/>
      <c r="Z152" s="290"/>
      <c r="AA152" s="290"/>
      <c r="AB152" s="290"/>
      <c r="AC152" s="291"/>
    </row>
    <row r="153" spans="4:29" hidden="1" x14ac:dyDescent="0.35"/>
    <row r="154" spans="4:29" hidden="1" x14ac:dyDescent="0.35"/>
    <row r="155" spans="4:29" hidden="1" x14ac:dyDescent="0.35">
      <c r="D155" s="1536" t="s">
        <v>1800</v>
      </c>
      <c r="E155" s="1536"/>
      <c r="F155" s="1536"/>
      <c r="G155" s="1536"/>
      <c r="H155" s="1536"/>
      <c r="I155" s="1536"/>
      <c r="J155" s="1536"/>
      <c r="K155" s="1536"/>
      <c r="L155" s="1536"/>
      <c r="M155" s="1536"/>
      <c r="N155" s="1536"/>
      <c r="O155" s="1536"/>
      <c r="P155" s="1536"/>
      <c r="Q155" s="1537"/>
      <c r="R155" s="1537"/>
      <c r="S155" s="1537"/>
      <c r="T155" s="1537"/>
      <c r="U155" s="1536"/>
      <c r="V155" s="1536"/>
      <c r="W155" s="1536"/>
      <c r="X155" s="1536"/>
      <c r="Y155" s="1536"/>
      <c r="Z155" s="1536"/>
      <c r="AA155" s="1536"/>
      <c r="AB155" s="1536"/>
      <c r="AC155" s="1536"/>
    </row>
    <row r="156" spans="4:29" hidden="1" x14ac:dyDescent="0.35">
      <c r="D156" s="1528" t="s">
        <v>962</v>
      </c>
      <c r="E156" s="1538"/>
      <c r="F156" s="1418">
        <v>2019</v>
      </c>
      <c r="G156" s="1435"/>
      <c r="H156" s="1436"/>
      <c r="I156" s="1418">
        <v>2020</v>
      </c>
      <c r="J156" s="1435"/>
      <c r="K156" s="1435"/>
      <c r="L156" s="1436"/>
      <c r="M156" s="1418">
        <v>2021</v>
      </c>
      <c r="N156" s="1435"/>
      <c r="O156" s="1435"/>
      <c r="P156" s="1435"/>
      <c r="Q156" s="1418">
        <v>2022</v>
      </c>
      <c r="R156" s="1419"/>
      <c r="S156" s="1419"/>
      <c r="T156" s="1436"/>
      <c r="U156" s="1441">
        <v>2023</v>
      </c>
      <c r="V156" s="1442"/>
      <c r="W156" s="1442"/>
      <c r="X156" s="1443"/>
      <c r="Y156" s="1444">
        <v>2024</v>
      </c>
      <c r="Z156" s="1442"/>
      <c r="AA156" s="1442"/>
      <c r="AB156" s="1442"/>
      <c r="AC156" s="274">
        <v>2025</v>
      </c>
    </row>
    <row r="157" spans="4:29" hidden="1" x14ac:dyDescent="0.35">
      <c r="D157" s="1539"/>
      <c r="E157" s="1540"/>
      <c r="F157" s="137" t="s">
        <v>329</v>
      </c>
      <c r="G157" s="150" t="s">
        <v>238</v>
      </c>
      <c r="H157" s="226" t="s">
        <v>327</v>
      </c>
      <c r="I157" s="137" t="s">
        <v>328</v>
      </c>
      <c r="J157" s="150" t="s">
        <v>329</v>
      </c>
      <c r="K157" s="150" t="s">
        <v>238</v>
      </c>
      <c r="L157" s="226" t="s">
        <v>327</v>
      </c>
      <c r="M157" s="137" t="s">
        <v>328</v>
      </c>
      <c r="N157" s="150" t="s">
        <v>329</v>
      </c>
      <c r="O157" s="150" t="s">
        <v>238</v>
      </c>
      <c r="P157" s="150" t="s">
        <v>327</v>
      </c>
      <c r="Q157" s="137" t="s">
        <v>328</v>
      </c>
      <c r="R157" s="150" t="s">
        <v>329</v>
      </c>
      <c r="S157" s="150" t="s">
        <v>238</v>
      </c>
      <c r="T157" s="226" t="s">
        <v>327</v>
      </c>
      <c r="U157" s="310" t="s">
        <v>328</v>
      </c>
      <c r="V157" s="310" t="s">
        <v>329</v>
      </c>
      <c r="W157" s="310" t="s">
        <v>238</v>
      </c>
      <c r="X157" s="155" t="s">
        <v>327</v>
      </c>
      <c r="Y157" s="379" t="s">
        <v>328</v>
      </c>
      <c r="Z157" s="267" t="s">
        <v>329</v>
      </c>
      <c r="AA157" s="310" t="s">
        <v>238</v>
      </c>
      <c r="AB157" s="310" t="s">
        <v>327</v>
      </c>
      <c r="AC157" s="404" t="s">
        <v>328</v>
      </c>
    </row>
    <row r="158" spans="4:29" hidden="1" x14ac:dyDescent="0.35">
      <c r="D158" s="797" t="s">
        <v>553</v>
      </c>
      <c r="E158" s="764"/>
      <c r="F158" s="314">
        <f>F160+F162</f>
        <v>14660.3</v>
      </c>
      <c r="G158" s="315">
        <f t="shared" ref="G158:P158" si="58">G160+G162</f>
        <v>14748</v>
      </c>
      <c r="H158" s="315">
        <f t="shared" si="58"/>
        <v>14896.1</v>
      </c>
      <c r="I158" s="315">
        <f t="shared" si="58"/>
        <v>5492.6</v>
      </c>
      <c r="J158" s="315">
        <f t="shared" si="58"/>
        <v>14127</v>
      </c>
      <c r="K158" s="315">
        <f t="shared" si="58"/>
        <v>14803.099999999999</v>
      </c>
      <c r="L158" s="315">
        <f t="shared" si="58"/>
        <v>15014.2</v>
      </c>
      <c r="M158" s="315">
        <f t="shared" si="58"/>
        <v>15152.900000000001</v>
      </c>
      <c r="N158" s="315">
        <f t="shared" si="58"/>
        <v>15654.4</v>
      </c>
      <c r="O158" s="315">
        <f t="shared" si="58"/>
        <v>15799.3</v>
      </c>
      <c r="P158" s="315">
        <f t="shared" si="58"/>
        <v>15983.8</v>
      </c>
      <c r="Q158" s="315">
        <f>Q160+Q162</f>
        <v>16571.400000000001</v>
      </c>
      <c r="R158" s="315">
        <f t="shared" ref="R158:S158" si="59">R160+R162</f>
        <v>16848</v>
      </c>
      <c r="S158" s="315">
        <f t="shared" si="59"/>
        <v>17094.3</v>
      </c>
      <c r="T158" s="685">
        <f>S158*(1+T170)^(1/4)</f>
        <v>17463.472490140091</v>
      </c>
      <c r="U158" s="788">
        <f t="shared" ref="U158:AC158" si="60">T158*(1+U170)^(1/4)</f>
        <v>17681.570370477613</v>
      </c>
      <c r="V158" s="788">
        <f t="shared" si="60"/>
        <v>17915.310313953283</v>
      </c>
      <c r="W158" s="788">
        <f t="shared" si="60"/>
        <v>18134.299197887285</v>
      </c>
      <c r="X158" s="788">
        <f t="shared" si="60"/>
        <v>18366.85113656765</v>
      </c>
      <c r="Y158" s="788">
        <f t="shared" si="60"/>
        <v>18567.326945774861</v>
      </c>
      <c r="Z158" s="788">
        <f t="shared" si="60"/>
        <v>18756.714710225915</v>
      </c>
      <c r="AA158" s="788">
        <f t="shared" si="60"/>
        <v>18946.894477873844</v>
      </c>
      <c r="AB158" s="788">
        <f t="shared" si="60"/>
        <v>19139.846256710807</v>
      </c>
      <c r="AC158" s="439">
        <f t="shared" si="60"/>
        <v>19339.332061921934</v>
      </c>
    </row>
    <row r="159" spans="4:29" s="1066" customFormat="1" hidden="1" x14ac:dyDescent="0.35">
      <c r="D159" s="738"/>
      <c r="E159" s="1149"/>
      <c r="F159" s="470"/>
      <c r="G159" s="1135"/>
      <c r="H159" s="1135"/>
      <c r="I159" s="1135"/>
      <c r="J159" s="1135"/>
      <c r="K159" s="1135"/>
      <c r="L159" s="1135"/>
      <c r="M159" s="1135"/>
      <c r="N159" s="1135"/>
      <c r="O159" s="1135"/>
      <c r="P159" s="1135"/>
      <c r="Q159" s="1135"/>
      <c r="R159" s="1135"/>
      <c r="S159" s="1135"/>
      <c r="T159" s="686"/>
      <c r="U159" s="1150"/>
      <c r="V159" s="1150"/>
      <c r="W159" s="1150"/>
      <c r="X159" s="1150"/>
      <c r="Y159" s="1150"/>
      <c r="Z159" s="1150"/>
      <c r="AA159" s="1150"/>
      <c r="AB159" s="1150"/>
      <c r="AC159" s="466"/>
    </row>
    <row r="160" spans="4:29" hidden="1" x14ac:dyDescent="0.35">
      <c r="D160" s="297" t="s">
        <v>554</v>
      </c>
      <c r="E160" s="539"/>
      <c r="F160" s="470">
        <v>9274.9</v>
      </c>
      <c r="G160" s="436">
        <v>9311.2999999999993</v>
      </c>
      <c r="H160" s="436">
        <v>9422.5</v>
      </c>
      <c r="I160" s="436">
        <v>0</v>
      </c>
      <c r="J160" s="436">
        <v>8908.7999999999993</v>
      </c>
      <c r="K160" s="436">
        <v>9343.2999999999993</v>
      </c>
      <c r="L160" s="436">
        <v>9546</v>
      </c>
      <c r="M160" s="436">
        <v>9702.2000000000007</v>
      </c>
      <c r="N160" s="436">
        <v>9950.4</v>
      </c>
      <c r="O160" s="436">
        <v>10175.1</v>
      </c>
      <c r="P160" s="436">
        <v>10336.6</v>
      </c>
      <c r="Q160" s="436">
        <v>10995.9</v>
      </c>
      <c r="R160" s="436">
        <v>11172.6</v>
      </c>
      <c r="S160" s="436">
        <v>11320.4</v>
      </c>
      <c r="T160" s="686">
        <f>S160*(1+T172)^(1/4)</f>
        <v>11487.097039810064</v>
      </c>
      <c r="U160" s="465">
        <f t="shared" ref="U160:AC160" si="61">T160*(1+U172)^(1/4)</f>
        <v>11613.629756622413</v>
      </c>
      <c r="V160" s="465">
        <f t="shared" si="61"/>
        <v>11725.163766350403</v>
      </c>
      <c r="W160" s="465">
        <f t="shared" si="61"/>
        <v>11851.5958206991</v>
      </c>
      <c r="X160" s="465">
        <f t="shared" si="61"/>
        <v>11996.046456041759</v>
      </c>
      <c r="Y160" s="465">
        <f t="shared" si="61"/>
        <v>12140.094441529804</v>
      </c>
      <c r="Z160" s="465">
        <f t="shared" si="61"/>
        <v>12282.028515281125</v>
      </c>
      <c r="AA160" s="465">
        <f t="shared" si="61"/>
        <v>12426.982462942049</v>
      </c>
      <c r="AB160" s="465">
        <f t="shared" si="61"/>
        <v>12578.580133204099</v>
      </c>
      <c r="AC160" s="466">
        <f t="shared" si="61"/>
        <v>12737.224175921889</v>
      </c>
    </row>
    <row r="161" spans="3:30" s="1066" customFormat="1" hidden="1" x14ac:dyDescent="0.35">
      <c r="D161" s="297"/>
      <c r="E161" s="539"/>
      <c r="F161" s="470"/>
      <c r="G161" s="436"/>
      <c r="H161" s="436"/>
      <c r="I161" s="436"/>
      <c r="J161" s="436"/>
      <c r="K161" s="436"/>
      <c r="L161" s="436"/>
      <c r="M161" s="436"/>
      <c r="N161" s="436"/>
      <c r="O161" s="436"/>
      <c r="P161" s="436"/>
      <c r="Q161" s="436"/>
      <c r="R161" s="436"/>
      <c r="S161" s="436"/>
      <c r="T161" s="686"/>
      <c r="U161" s="465"/>
      <c r="V161" s="465"/>
      <c r="W161" s="465"/>
      <c r="X161" s="465"/>
      <c r="Y161" s="465"/>
      <c r="Z161" s="465"/>
      <c r="AA161" s="465"/>
      <c r="AB161" s="465"/>
      <c r="AC161" s="466"/>
    </row>
    <row r="162" spans="3:30" hidden="1" x14ac:dyDescent="0.35">
      <c r="D162" s="297" t="s">
        <v>961</v>
      </c>
      <c r="E162" s="539"/>
      <c r="F162" s="470">
        <v>5385.4</v>
      </c>
      <c r="G162" s="436">
        <v>5436.7</v>
      </c>
      <c r="H162" s="436">
        <v>5473.6</v>
      </c>
      <c r="I162" s="436">
        <v>5492.6</v>
      </c>
      <c r="J162" s="436">
        <v>5218.2</v>
      </c>
      <c r="K162" s="436">
        <v>5459.8</v>
      </c>
      <c r="L162" s="436">
        <v>5468.2</v>
      </c>
      <c r="M162" s="436">
        <v>5450.7</v>
      </c>
      <c r="N162" s="436">
        <v>5704</v>
      </c>
      <c r="O162" s="436">
        <v>5624.2</v>
      </c>
      <c r="P162" s="436">
        <v>5647.2</v>
      </c>
      <c r="Q162" s="436">
        <v>5575.5</v>
      </c>
      <c r="R162" s="436">
        <v>5675.4</v>
      </c>
      <c r="S162" s="436">
        <v>5773.9</v>
      </c>
      <c r="T162" s="686">
        <f t="shared" ref="T162:AC162" si="62">S162*(1+T174)^(1/4)</f>
        <v>5972.692471350274</v>
      </c>
      <c r="U162" s="465">
        <f t="shared" si="62"/>
        <v>6063.4101162597572</v>
      </c>
      <c r="V162" s="465">
        <f t="shared" si="62"/>
        <v>6183.5678425510705</v>
      </c>
      <c r="W162" s="465">
        <f t="shared" si="62"/>
        <v>6275.2444477661511</v>
      </c>
      <c r="X162" s="465">
        <f t="shared" si="62"/>
        <v>6362.8934196977234</v>
      </c>
      <c r="Y162" s="465">
        <f t="shared" si="62"/>
        <v>6419.8556618501898</v>
      </c>
      <c r="Z162" s="465">
        <f t="shared" si="62"/>
        <v>6468.0913652217214</v>
      </c>
      <c r="AA162" s="465">
        <f t="shared" si="62"/>
        <v>6514.2173559209414</v>
      </c>
      <c r="AB162" s="465">
        <f t="shared" si="62"/>
        <v>6556.699297458892</v>
      </c>
      <c r="AC162" s="466">
        <f t="shared" si="62"/>
        <v>6598.7976548746037</v>
      </c>
    </row>
    <row r="163" spans="3:30" s="1066" customFormat="1" hidden="1" x14ac:dyDescent="0.35">
      <c r="D163" s="297"/>
      <c r="E163" s="539"/>
      <c r="F163" s="470"/>
      <c r="G163" s="436"/>
      <c r="H163" s="436"/>
      <c r="I163" s="436"/>
      <c r="J163" s="436"/>
      <c r="K163" s="436"/>
      <c r="L163" s="436"/>
      <c r="M163" s="436"/>
      <c r="N163" s="436"/>
      <c r="O163" s="436"/>
      <c r="P163" s="436"/>
      <c r="Q163" s="436"/>
      <c r="R163" s="436"/>
      <c r="S163" s="436"/>
      <c r="T163" s="686"/>
      <c r="U163" s="465"/>
      <c r="V163" s="465"/>
      <c r="W163" s="465"/>
      <c r="X163" s="465"/>
      <c r="Y163" s="465"/>
      <c r="Z163" s="465"/>
      <c r="AA163" s="465"/>
      <c r="AB163" s="465"/>
      <c r="AC163" s="466"/>
    </row>
    <row r="164" spans="3:30" hidden="1" x14ac:dyDescent="0.35">
      <c r="D164" s="298" t="s">
        <v>555</v>
      </c>
      <c r="E164" s="539"/>
      <c r="F164" s="547"/>
      <c r="G164" s="539"/>
      <c r="H164" s="436"/>
      <c r="I164" s="436"/>
      <c r="J164" s="436"/>
      <c r="K164" s="436"/>
      <c r="L164" s="436"/>
      <c r="M164" s="436">
        <v>15041</v>
      </c>
      <c r="N164" s="436">
        <v>15551</v>
      </c>
      <c r="O164" s="436">
        <v>15824</v>
      </c>
      <c r="P164" s="436">
        <v>16056</v>
      </c>
      <c r="Q164" s="436">
        <v>16690.7</v>
      </c>
      <c r="R164" s="436">
        <v>16993</v>
      </c>
      <c r="S164" s="436">
        <v>17251.3</v>
      </c>
      <c r="T164" s="686">
        <f t="shared" ref="T164:AC164" si="63">S164*(1+T176)^(1/4)</f>
        <v>17580.231969332821</v>
      </c>
      <c r="U164" s="465">
        <f t="shared" si="63"/>
        <v>17789.802996500563</v>
      </c>
      <c r="V164" s="465">
        <f t="shared" si="63"/>
        <v>17975.344263034403</v>
      </c>
      <c r="W164" s="465">
        <f t="shared" si="63"/>
        <v>18172.801927259647</v>
      </c>
      <c r="X164" s="465">
        <f t="shared" si="63"/>
        <v>18366.41876908849</v>
      </c>
      <c r="Y164" s="465">
        <f t="shared" si="63"/>
        <v>18550.679761490199</v>
      </c>
      <c r="Z164" s="465">
        <f t="shared" si="63"/>
        <v>18730.804483618864</v>
      </c>
      <c r="AA164" s="465">
        <f t="shared" si="63"/>
        <v>18909.550448989845</v>
      </c>
      <c r="AB164" s="465">
        <f t="shared" si="63"/>
        <v>19097.652263787957</v>
      </c>
      <c r="AC164" s="466">
        <f t="shared" si="63"/>
        <v>19291.367588242345</v>
      </c>
    </row>
    <row r="165" spans="3:30" s="1066" customFormat="1" hidden="1" x14ac:dyDescent="0.35">
      <c r="D165" s="298"/>
      <c r="E165" s="539"/>
      <c r="F165" s="547"/>
      <c r="G165" s="539"/>
      <c r="H165" s="436"/>
      <c r="I165" s="436"/>
      <c r="J165" s="436"/>
      <c r="K165" s="436"/>
      <c r="L165" s="436"/>
      <c r="M165" s="436"/>
      <c r="N165" s="436"/>
      <c r="O165" s="436"/>
      <c r="P165" s="436"/>
      <c r="Q165" s="436"/>
      <c r="R165" s="436"/>
      <c r="S165" s="436"/>
      <c r="T165" s="686"/>
      <c r="U165" s="465"/>
      <c r="V165" s="465"/>
      <c r="W165" s="465"/>
      <c r="X165" s="465"/>
      <c r="Y165" s="465"/>
      <c r="Z165" s="465"/>
      <c r="AA165" s="465"/>
      <c r="AB165" s="465"/>
      <c r="AC165" s="466"/>
    </row>
    <row r="166" spans="3:30" hidden="1" x14ac:dyDescent="0.35">
      <c r="C166" s="35"/>
      <c r="D166" s="299" t="s">
        <v>562</v>
      </c>
      <c r="E166" s="542"/>
      <c r="F166" s="564"/>
      <c r="G166" s="542"/>
      <c r="H166" s="711"/>
      <c r="I166" s="711"/>
      <c r="J166" s="711"/>
      <c r="K166" s="711"/>
      <c r="L166" s="711"/>
      <c r="M166" s="711">
        <v>1874</v>
      </c>
      <c r="N166" s="711">
        <v>2307</v>
      </c>
      <c r="O166" s="711">
        <v>2443</v>
      </c>
      <c r="P166" s="711">
        <v>2460</v>
      </c>
      <c r="Q166" s="711">
        <v>2329.5</v>
      </c>
      <c r="R166" s="711">
        <v>2420.1999999999998</v>
      </c>
      <c r="S166" s="711">
        <v>2468.6999999999998</v>
      </c>
      <c r="T166" s="687">
        <f t="shared" ref="T166:AC166" si="64">S166*(1+T178)^(1/4)</f>
        <v>2337.8012141236418</v>
      </c>
      <c r="U166" s="713">
        <f t="shared" si="64"/>
        <v>2180.860252378488</v>
      </c>
      <c r="V166" s="713">
        <f t="shared" si="64"/>
        <v>2057.2336212730388</v>
      </c>
      <c r="W166" s="713">
        <f t="shared" si="64"/>
        <v>1987.5585167787908</v>
      </c>
      <c r="X166" s="713">
        <f t="shared" si="64"/>
        <v>1936.6534333824293</v>
      </c>
      <c r="Y166" s="713">
        <f t="shared" si="64"/>
        <v>1958.5681700569246</v>
      </c>
      <c r="Z166" s="713">
        <f t="shared" si="64"/>
        <v>1993.6514032084713</v>
      </c>
      <c r="AA166" s="713">
        <f t="shared" si="64"/>
        <v>2043.2789459018352</v>
      </c>
      <c r="AB166" s="713">
        <f t="shared" si="64"/>
        <v>2113.9367740137736</v>
      </c>
      <c r="AC166" s="714">
        <f t="shared" si="64"/>
        <v>2182.1377930814861</v>
      </c>
      <c r="AD166" s="35"/>
    </row>
    <row r="167" spans="3:30" ht="14.9" hidden="1" customHeight="1" x14ac:dyDescent="0.35">
      <c r="C167" s="35"/>
      <c r="D167" s="159"/>
      <c r="E167" s="539"/>
      <c r="F167" s="539"/>
      <c r="G167" s="539"/>
      <c r="H167" s="436"/>
      <c r="I167" s="436"/>
      <c r="J167" s="436"/>
      <c r="K167" s="436"/>
      <c r="L167" s="436"/>
      <c r="M167" s="436"/>
      <c r="N167" s="436"/>
      <c r="O167" s="436"/>
      <c r="P167" s="436"/>
      <c r="Q167" s="436"/>
      <c r="R167" s="436"/>
      <c r="S167" s="436"/>
      <c r="T167" s="436"/>
      <c r="U167" s="465"/>
      <c r="V167" s="465"/>
      <c r="W167" s="465"/>
      <c r="X167" s="465"/>
      <c r="Y167" s="465"/>
      <c r="Z167" s="465"/>
      <c r="AA167" s="465"/>
      <c r="AB167" s="465"/>
      <c r="AC167" s="465"/>
      <c r="AD167" s="35"/>
    </row>
    <row r="168" spans="3:30" hidden="1" x14ac:dyDescent="0.35">
      <c r="C168" s="35"/>
      <c r="D168" s="1528" t="s">
        <v>962</v>
      </c>
      <c r="E168" s="1538"/>
      <c r="F168" s="1418">
        <v>2019</v>
      </c>
      <c r="G168" s="1435"/>
      <c r="H168" s="1436"/>
      <c r="I168" s="1418">
        <v>2020</v>
      </c>
      <c r="J168" s="1435"/>
      <c r="K168" s="1435"/>
      <c r="L168" s="1436"/>
      <c r="M168" s="1418">
        <v>2021</v>
      </c>
      <c r="N168" s="1435"/>
      <c r="O168" s="1435"/>
      <c r="P168" s="1419"/>
      <c r="Q168" s="1418">
        <v>2022</v>
      </c>
      <c r="R168" s="1419"/>
      <c r="S168" s="1419"/>
      <c r="T168" s="1436"/>
      <c r="U168" s="1441">
        <v>2023</v>
      </c>
      <c r="V168" s="1442"/>
      <c r="W168" s="1442"/>
      <c r="X168" s="1443"/>
      <c r="Y168" s="1444">
        <v>2024</v>
      </c>
      <c r="Z168" s="1442"/>
      <c r="AA168" s="1442"/>
      <c r="AB168" s="1443"/>
      <c r="AC168" s="274">
        <v>2025</v>
      </c>
      <c r="AD168" s="35"/>
    </row>
    <row r="169" spans="3:30" hidden="1" x14ac:dyDescent="0.35">
      <c r="C169" s="35"/>
      <c r="D169" s="1539"/>
      <c r="E169" s="1540"/>
      <c r="F169" s="137" t="s">
        <v>329</v>
      </c>
      <c r="G169" s="150" t="s">
        <v>238</v>
      </c>
      <c r="H169" s="226" t="s">
        <v>327</v>
      </c>
      <c r="I169" s="137" t="s">
        <v>328</v>
      </c>
      <c r="J169" s="150" t="s">
        <v>329</v>
      </c>
      <c r="K169" s="150" t="s">
        <v>238</v>
      </c>
      <c r="L169" s="226" t="s">
        <v>327</v>
      </c>
      <c r="M169" s="137" t="s">
        <v>328</v>
      </c>
      <c r="N169" s="150" t="s">
        <v>329</v>
      </c>
      <c r="O169" s="150" t="s">
        <v>238</v>
      </c>
      <c r="P169" s="150" t="s">
        <v>327</v>
      </c>
      <c r="Q169" s="137" t="s">
        <v>328</v>
      </c>
      <c r="R169" s="150" t="s">
        <v>329</v>
      </c>
      <c r="S169" s="150" t="s">
        <v>238</v>
      </c>
      <c r="T169" s="226" t="s">
        <v>327</v>
      </c>
      <c r="U169" s="310" t="s">
        <v>328</v>
      </c>
      <c r="V169" s="310" t="s">
        <v>329</v>
      </c>
      <c r="W169" s="310" t="s">
        <v>238</v>
      </c>
      <c r="X169" s="155" t="s">
        <v>327</v>
      </c>
      <c r="Y169" s="379" t="s">
        <v>328</v>
      </c>
      <c r="Z169" s="267" t="s">
        <v>329</v>
      </c>
      <c r="AA169" s="310" t="s">
        <v>238</v>
      </c>
      <c r="AB169" s="310" t="s">
        <v>327</v>
      </c>
      <c r="AC169" s="404" t="s">
        <v>328</v>
      </c>
      <c r="AD169" s="35"/>
    </row>
    <row r="170" spans="3:30" ht="27.65" hidden="1" customHeight="1" x14ac:dyDescent="0.35">
      <c r="C170" s="35"/>
      <c r="D170" s="797" t="s">
        <v>553</v>
      </c>
      <c r="E170" s="764"/>
      <c r="F170" s="668"/>
      <c r="G170" s="689" t="e">
        <f t="shared" ref="G170:AC170" si="65">(G105/F105)^4-1</f>
        <v>#DIV/0!</v>
      </c>
      <c r="H170" s="689" t="e">
        <f t="shared" si="65"/>
        <v>#DIV/0!</v>
      </c>
      <c r="I170" s="689" t="e">
        <f t="shared" si="65"/>
        <v>#DIV/0!</v>
      </c>
      <c r="J170" s="689">
        <f t="shared" si="65"/>
        <v>-0.21070155504838917</v>
      </c>
      <c r="K170" s="689">
        <f t="shared" si="65"/>
        <v>0.20409656990320446</v>
      </c>
      <c r="L170" s="689">
        <f t="shared" si="65"/>
        <v>0.10445079655049061</v>
      </c>
      <c r="M170" s="689">
        <f t="shared" si="65"/>
        <v>1.0038022914703681E-2</v>
      </c>
      <c r="N170" s="689">
        <f t="shared" si="65"/>
        <v>0.12746591651095995</v>
      </c>
      <c r="O170" s="689">
        <f t="shared" si="65"/>
        <v>8.7536504987418162E-2</v>
      </c>
      <c r="P170" s="689">
        <f t="shared" si="65"/>
        <v>9.6257802203331799E-2</v>
      </c>
      <c r="Q170" s="689">
        <f t="shared" si="65"/>
        <v>5.3130466022335732E-2</v>
      </c>
      <c r="R170" s="689">
        <f t="shared" si="65"/>
        <v>5.8700506146537323E-2</v>
      </c>
      <c r="S170" s="689">
        <f t="shared" si="65"/>
        <v>6.6224916945864853E-2</v>
      </c>
      <c r="T170" s="691">
        <f t="shared" si="65"/>
        <v>8.9223823992267803E-2</v>
      </c>
      <c r="U170" s="698">
        <f t="shared" si="65"/>
        <v>5.0898852075559109E-2</v>
      </c>
      <c r="V170" s="698">
        <f t="shared" si="65"/>
        <v>5.39354314600895E-2</v>
      </c>
      <c r="W170" s="698">
        <f t="shared" si="65"/>
        <v>4.9798063494010059E-2</v>
      </c>
      <c r="X170" s="698">
        <f t="shared" si="65"/>
        <v>5.229066242697944E-2</v>
      </c>
      <c r="Y170" s="698">
        <f t="shared" si="65"/>
        <v>4.4380405600340955E-2</v>
      </c>
      <c r="Z170" s="698">
        <f t="shared" si="65"/>
        <v>4.1428724323071764E-2</v>
      </c>
      <c r="AA170" s="698">
        <f t="shared" si="65"/>
        <v>4.1178170772385725E-2</v>
      </c>
      <c r="AB170" s="698">
        <f t="shared" si="65"/>
        <v>4.1361780021860417E-2</v>
      </c>
      <c r="AC170" s="700">
        <f t="shared" si="65"/>
        <v>4.2346474891928665E-2</v>
      </c>
      <c r="AD170" s="35"/>
    </row>
    <row r="171" spans="3:30" s="1066" customFormat="1" ht="27.65" hidden="1" customHeight="1" x14ac:dyDescent="0.35">
      <c r="C171" s="1141"/>
      <c r="D171" s="738"/>
      <c r="E171" s="1149"/>
      <c r="F171" s="47"/>
      <c r="G171" s="1151"/>
      <c r="H171" s="1151"/>
      <c r="I171" s="1151"/>
      <c r="J171" s="1151"/>
      <c r="K171" s="1151"/>
      <c r="L171" s="1151"/>
      <c r="M171" s="1151"/>
      <c r="N171" s="1151"/>
      <c r="O171" s="1151"/>
      <c r="P171" s="1151"/>
      <c r="Q171" s="1151"/>
      <c r="R171" s="1151"/>
      <c r="S171" s="1151"/>
      <c r="T171" s="692"/>
      <c r="U171" s="1152"/>
      <c r="V171" s="1152"/>
      <c r="W171" s="1152"/>
      <c r="X171" s="1152"/>
      <c r="Y171" s="1152"/>
      <c r="Z171" s="1152"/>
      <c r="AA171" s="1152"/>
      <c r="AB171" s="1152"/>
      <c r="AC171" s="701"/>
      <c r="AD171" s="1141"/>
    </row>
    <row r="172" spans="3:30" ht="27.65" hidden="1" customHeight="1" x14ac:dyDescent="0.35">
      <c r="C172" s="35"/>
      <c r="D172" s="297" t="s">
        <v>554</v>
      </c>
      <c r="E172" s="539"/>
      <c r="F172" s="47"/>
      <c r="G172" s="181" t="e">
        <f t="shared" ref="G172:AC172" si="66">(G107/F107)^4-1</f>
        <v>#DIV/0!</v>
      </c>
      <c r="H172" s="181" t="e">
        <f t="shared" si="66"/>
        <v>#DIV/0!</v>
      </c>
      <c r="I172" s="181" t="e">
        <f t="shared" si="66"/>
        <v>#DIV/0!</v>
      </c>
      <c r="J172" s="181">
        <f t="shared" si="66"/>
        <v>-0.23688314079507089</v>
      </c>
      <c r="K172" s="181">
        <f t="shared" si="66"/>
        <v>0.20520050761606656</v>
      </c>
      <c r="L172" s="181">
        <f t="shared" si="66"/>
        <v>0.16094955415161705</v>
      </c>
      <c r="M172" s="181">
        <f t="shared" si="66"/>
        <v>2.7883833548878467E-2</v>
      </c>
      <c r="N172" s="181">
        <f t="shared" si="66"/>
        <v>0.12185900162885499</v>
      </c>
      <c r="O172" s="181">
        <f t="shared" si="66"/>
        <v>0.11675899119493027</v>
      </c>
      <c r="P172" s="181">
        <f t="shared" si="66"/>
        <v>0.13115208751063179</v>
      </c>
      <c r="Q172" s="181">
        <f t="shared" si="66"/>
        <v>6.7554374316260324E-2</v>
      </c>
      <c r="R172" s="181">
        <f t="shared" si="66"/>
        <v>4.9399992962044781E-2</v>
      </c>
      <c r="S172" s="181">
        <f t="shared" si="66"/>
        <v>6.9721013529006282E-2</v>
      </c>
      <c r="T172" s="692">
        <f t="shared" si="66"/>
        <v>6.0215303838485168E-2</v>
      </c>
      <c r="U172" s="699">
        <f t="shared" si="66"/>
        <v>4.4794184982262397E-2</v>
      </c>
      <c r="V172" s="699">
        <f t="shared" si="66"/>
        <v>3.8971806498267147E-2</v>
      </c>
      <c r="W172" s="699">
        <f t="shared" si="66"/>
        <v>4.3834530964215634E-2</v>
      </c>
      <c r="X172" s="699">
        <f t="shared" si="66"/>
        <v>4.9651733025286138E-2</v>
      </c>
      <c r="Y172" s="699">
        <f t="shared" si="66"/>
        <v>4.8903912261530902E-2</v>
      </c>
      <c r="Z172" s="699">
        <f t="shared" si="66"/>
        <v>4.7591930307703478E-2</v>
      </c>
      <c r="AA172" s="699">
        <f t="shared" si="66"/>
        <v>4.8050806277727842E-2</v>
      </c>
      <c r="AB172" s="699">
        <f t="shared" si="66"/>
        <v>4.9696481519596158E-2</v>
      </c>
      <c r="AC172" s="701">
        <f t="shared" si="66"/>
        <v>5.1411412231850306E-2</v>
      </c>
      <c r="AD172" s="35"/>
    </row>
    <row r="173" spans="3:30" s="1066" customFormat="1" ht="27.65" hidden="1" customHeight="1" x14ac:dyDescent="0.35">
      <c r="C173" s="1141"/>
      <c r="D173" s="297"/>
      <c r="E173" s="539"/>
      <c r="F173" s="47"/>
      <c r="G173" s="181"/>
      <c r="H173" s="181"/>
      <c r="I173" s="181"/>
      <c r="J173" s="181"/>
      <c r="K173" s="181"/>
      <c r="L173" s="181"/>
      <c r="M173" s="181"/>
      <c r="N173" s="181"/>
      <c r="O173" s="181"/>
      <c r="P173" s="181"/>
      <c r="Q173" s="181"/>
      <c r="R173" s="181"/>
      <c r="S173" s="181"/>
      <c r="T173" s="692"/>
      <c r="U173" s="699"/>
      <c r="V173" s="699"/>
      <c r="W173" s="699"/>
      <c r="X173" s="699"/>
      <c r="Y173" s="699"/>
      <c r="Z173" s="699"/>
      <c r="AA173" s="699"/>
      <c r="AB173" s="699"/>
      <c r="AC173" s="701"/>
      <c r="AD173" s="1141"/>
    </row>
    <row r="174" spans="3:30" hidden="1" x14ac:dyDescent="0.35">
      <c r="C174" s="35"/>
      <c r="D174" s="297" t="s">
        <v>961</v>
      </c>
      <c r="E174" s="539"/>
      <c r="F174" s="47"/>
      <c r="G174" s="181" t="e">
        <f t="shared" ref="G174:AC174" si="67">(G109/F109)^4-1</f>
        <v>#DIV/0!</v>
      </c>
      <c r="H174" s="181" t="e">
        <f t="shared" si="67"/>
        <v>#DIV/0!</v>
      </c>
      <c r="I174" s="181" t="e">
        <f t="shared" si="67"/>
        <v>#DIV/0!</v>
      </c>
      <c r="J174" s="181">
        <f t="shared" si="67"/>
        <v>-0.16336002849894693</v>
      </c>
      <c r="K174" s="181">
        <f t="shared" si="67"/>
        <v>0.20221386896849047</v>
      </c>
      <c r="L174" s="181">
        <f t="shared" si="67"/>
        <v>1.2745999464862878E-2</v>
      </c>
      <c r="M174" s="181">
        <f t="shared" si="67"/>
        <v>-2.0933426342402583E-2</v>
      </c>
      <c r="N174" s="181">
        <f t="shared" si="67"/>
        <v>0.13754934573019617</v>
      </c>
      <c r="O174" s="181">
        <f t="shared" si="67"/>
        <v>3.6864487370476651E-2</v>
      </c>
      <c r="P174" s="181">
        <f t="shared" si="67"/>
        <v>3.4953421847994104E-2</v>
      </c>
      <c r="Q174" s="181">
        <f t="shared" si="67"/>
        <v>2.6732902126662683E-2</v>
      </c>
      <c r="R174" s="181">
        <f t="shared" si="67"/>
        <v>7.630767003118466E-2</v>
      </c>
      <c r="S174" s="181">
        <f t="shared" si="67"/>
        <v>5.9733145707485225E-2</v>
      </c>
      <c r="T174" s="692">
        <f t="shared" si="67"/>
        <v>0.14499498323752569</v>
      </c>
      <c r="U174" s="699">
        <f t="shared" si="67"/>
        <v>6.2153196479126871E-2</v>
      </c>
      <c r="V174" s="699">
        <f t="shared" si="67"/>
        <v>8.1654954647559119E-2</v>
      </c>
      <c r="W174" s="699">
        <f t="shared" si="67"/>
        <v>6.0635288713164925E-2</v>
      </c>
      <c r="X174" s="699">
        <f t="shared" si="67"/>
        <v>5.7051148629246429E-2</v>
      </c>
      <c r="Y174" s="699">
        <f t="shared" si="67"/>
        <v>3.6292752006835016E-2</v>
      </c>
      <c r="Z174" s="699">
        <f t="shared" si="67"/>
        <v>3.0394491009306357E-2</v>
      </c>
      <c r="AA174" s="699">
        <f t="shared" si="67"/>
        <v>2.8831843214639719E-2</v>
      </c>
      <c r="AB174" s="699">
        <f t="shared" si="67"/>
        <v>2.634196107872655E-2</v>
      </c>
      <c r="AC174" s="701">
        <f t="shared" si="67"/>
        <v>2.5931062463653953E-2</v>
      </c>
      <c r="AD174" s="35"/>
    </row>
    <row r="175" spans="3:30" s="1066" customFormat="1" hidden="1" x14ac:dyDescent="0.35">
      <c r="C175" s="1141"/>
      <c r="D175" s="297"/>
      <c r="E175" s="539"/>
      <c r="F175" s="47"/>
      <c r="G175" s="181"/>
      <c r="H175" s="181"/>
      <c r="I175" s="181"/>
      <c r="J175" s="181"/>
      <c r="K175" s="181"/>
      <c r="L175" s="181"/>
      <c r="M175" s="181"/>
      <c r="N175" s="181"/>
      <c r="O175" s="181"/>
      <c r="P175" s="181"/>
      <c r="Q175" s="181"/>
      <c r="R175" s="181"/>
      <c r="S175" s="181"/>
      <c r="T175" s="692"/>
      <c r="U175" s="699"/>
      <c r="V175" s="699"/>
      <c r="W175" s="699"/>
      <c r="X175" s="699"/>
      <c r="Y175" s="699"/>
      <c r="Z175" s="699"/>
      <c r="AA175" s="699"/>
      <c r="AB175" s="699"/>
      <c r="AC175" s="701"/>
      <c r="AD175" s="1141"/>
    </row>
    <row r="176" spans="3:30" hidden="1" x14ac:dyDescent="0.35">
      <c r="C176" s="35"/>
      <c r="D176" s="298" t="s">
        <v>555</v>
      </c>
      <c r="E176" s="539"/>
      <c r="F176" s="47"/>
      <c r="G176" s="181"/>
      <c r="H176" s="181"/>
      <c r="I176" s="181"/>
      <c r="J176" s="181"/>
      <c r="K176" s="181"/>
      <c r="L176" s="181"/>
      <c r="M176" s="181"/>
      <c r="N176" s="181">
        <f t="shared" ref="N176:AC176" si="68">(N111/M111)^4-1</f>
        <v>0.1928451879925992</v>
      </c>
      <c r="O176" s="181">
        <f t="shared" si="68"/>
        <v>8.7145430326741824E-2</v>
      </c>
      <c r="P176" s="181">
        <f t="shared" si="68"/>
        <v>9.5040522503139657E-2</v>
      </c>
      <c r="Q176" s="181">
        <f t="shared" si="68"/>
        <v>8.9242780231497676E-2</v>
      </c>
      <c r="R176" s="181">
        <f t="shared" si="68"/>
        <v>9.481178927373124E-2</v>
      </c>
      <c r="S176" s="181">
        <f t="shared" si="68"/>
        <v>6.0607843328261746E-2</v>
      </c>
      <c r="T176" s="692">
        <f t="shared" si="68"/>
        <v>7.8477513818825395E-2</v>
      </c>
      <c r="U176" s="699">
        <f t="shared" si="68"/>
        <v>4.8542770037778959E-2</v>
      </c>
      <c r="V176" s="699">
        <f t="shared" si="68"/>
        <v>4.2375780152070552E-2</v>
      </c>
      <c r="W176" s="699">
        <f t="shared" si="68"/>
        <v>4.4668994972735243E-2</v>
      </c>
      <c r="X176" s="699">
        <f t="shared" si="68"/>
        <v>4.3302762153154983E-2</v>
      </c>
      <c r="Y176" s="699">
        <f t="shared" si="68"/>
        <v>4.0737932279044653E-2</v>
      </c>
      <c r="Z176" s="699">
        <f t="shared" si="68"/>
        <v>3.9408847565527205E-2</v>
      </c>
      <c r="AA176" s="699">
        <f t="shared" si="68"/>
        <v>3.8721435847691943E-2</v>
      </c>
      <c r="AB176" s="699">
        <f t="shared" si="68"/>
        <v>4.0387459196791431E-2</v>
      </c>
      <c r="AC176" s="701">
        <f t="shared" si="68"/>
        <v>4.1195159376754775E-2</v>
      </c>
      <c r="AD176" s="35"/>
    </row>
    <row r="177" spans="3:30" s="1066" customFormat="1" hidden="1" x14ac:dyDescent="0.35">
      <c r="C177" s="1141"/>
      <c r="D177" s="298"/>
      <c r="E177" s="539"/>
      <c r="F177" s="47"/>
      <c r="G177" s="181"/>
      <c r="H177" s="181"/>
      <c r="I177" s="181"/>
      <c r="J177" s="181"/>
      <c r="K177" s="181"/>
      <c r="L177" s="181"/>
      <c r="M177" s="181"/>
      <c r="N177" s="181"/>
      <c r="O177" s="181"/>
      <c r="P177" s="181"/>
      <c r="Q177" s="181"/>
      <c r="R177" s="181"/>
      <c r="S177" s="181"/>
      <c r="T177" s="692"/>
      <c r="U177" s="699"/>
      <c r="V177" s="699"/>
      <c r="W177" s="699"/>
      <c r="X177" s="699"/>
      <c r="Y177" s="699"/>
      <c r="Z177" s="699"/>
      <c r="AA177" s="699"/>
      <c r="AB177" s="699"/>
      <c r="AC177" s="701"/>
      <c r="AD177" s="1141"/>
    </row>
    <row r="178" spans="3:30" hidden="1" x14ac:dyDescent="0.35">
      <c r="D178" s="299" t="s">
        <v>562</v>
      </c>
      <c r="E178" s="542"/>
      <c r="F178" s="143"/>
      <c r="G178" s="199"/>
      <c r="H178" s="199"/>
      <c r="I178" s="199"/>
      <c r="J178" s="199"/>
      <c r="K178" s="199"/>
      <c r="L178" s="199"/>
      <c r="M178" s="199"/>
      <c r="N178" s="199">
        <f t="shared" ref="N178:AC178" si="69">(N113/M113)^4-1</f>
        <v>0.56301012914725668</v>
      </c>
      <c r="O178" s="199">
        <f t="shared" si="69"/>
        <v>4.1681341019436546E-2</v>
      </c>
      <c r="P178" s="199">
        <f t="shared" si="69"/>
        <v>1.8883812263239985E-2</v>
      </c>
      <c r="Q178" s="199">
        <f t="shared" si="69"/>
        <v>-1.7080068525602621E-2</v>
      </c>
      <c r="R178" s="199">
        <f t="shared" si="69"/>
        <v>0.18639186970056576</v>
      </c>
      <c r="S178" s="199">
        <f t="shared" si="69"/>
        <v>-4.155915873861038E-2</v>
      </c>
      <c r="T178" s="200">
        <f t="shared" si="69"/>
        <v>-0.19581299458313783</v>
      </c>
      <c r="U178" s="702">
        <f t="shared" si="69"/>
        <v>-0.24267720394260905</v>
      </c>
      <c r="V178" s="702">
        <f t="shared" si="69"/>
        <v>-0.20818613090691662</v>
      </c>
      <c r="W178" s="702">
        <f t="shared" si="69"/>
        <v>-0.12874508356170977</v>
      </c>
      <c r="X178" s="702">
        <f t="shared" si="69"/>
        <v>-9.8578431708765346E-2</v>
      </c>
      <c r="Y178" s="702">
        <f t="shared" si="69"/>
        <v>4.6037197407029051E-2</v>
      </c>
      <c r="Z178" s="702">
        <f t="shared" si="69"/>
        <v>7.3599058606389711E-2</v>
      </c>
      <c r="AA178" s="702">
        <f t="shared" si="69"/>
        <v>0.10335114277663515</v>
      </c>
      <c r="AB178" s="702">
        <f t="shared" si="69"/>
        <v>0.14566418086862276</v>
      </c>
      <c r="AC178" s="703">
        <f t="shared" si="69"/>
        <v>0.13543089965831157</v>
      </c>
    </row>
    <row r="179" spans="3:30" hidden="1" x14ac:dyDescent="0.35">
      <c r="D179" s="159"/>
      <c r="E179" s="539"/>
      <c r="G179" s="539"/>
      <c r="H179" s="436"/>
      <c r="I179" s="436"/>
      <c r="J179" s="436"/>
      <c r="K179" s="436"/>
      <c r="L179" s="436"/>
      <c r="M179" s="436"/>
      <c r="N179" s="436"/>
      <c r="O179" s="436"/>
      <c r="P179" s="436"/>
      <c r="Q179" s="436"/>
      <c r="R179" s="436"/>
      <c r="S179" s="436"/>
      <c r="T179" s="465"/>
      <c r="U179" s="465"/>
      <c r="V179" s="465"/>
      <c r="W179" s="465"/>
      <c r="X179" s="465"/>
      <c r="Y179" s="465"/>
      <c r="Z179" s="465"/>
      <c r="AA179" s="465"/>
      <c r="AB179" s="465"/>
      <c r="AC179" s="465"/>
    </row>
    <row r="180" spans="3:30" ht="14.9" hidden="1" customHeight="1" x14ac:dyDescent="0.35"/>
    <row r="181" spans="3:30" ht="14.9" hidden="1" customHeight="1" x14ac:dyDescent="0.35"/>
    <row r="182" spans="3:30" ht="14.9" hidden="1" customHeight="1" x14ac:dyDescent="0.35"/>
  </sheetData>
  <mergeCells count="45">
    <mergeCell ref="Y168:AB168"/>
    <mergeCell ref="D156:E157"/>
    <mergeCell ref="U103:X103"/>
    <mergeCell ref="M103:P103"/>
    <mergeCell ref="M117:P117"/>
    <mergeCell ref="F117:H117"/>
    <mergeCell ref="I117:L117"/>
    <mergeCell ref="U117:X117"/>
    <mergeCell ref="D119:E119"/>
    <mergeCell ref="Y103:AB103"/>
    <mergeCell ref="D117:E118"/>
    <mergeCell ref="D168:E169"/>
    <mergeCell ref="F168:H168"/>
    <mergeCell ref="U156:X156"/>
    <mergeCell ref="I168:L168"/>
    <mergeCell ref="M168:P168"/>
    <mergeCell ref="U168:X168"/>
    <mergeCell ref="I156:L156"/>
    <mergeCell ref="M156:P156"/>
    <mergeCell ref="Q156:T156"/>
    <mergeCell ref="Q168:T168"/>
    <mergeCell ref="F156:H156"/>
    <mergeCell ref="O66:V66"/>
    <mergeCell ref="P67:S67"/>
    <mergeCell ref="F5:T5"/>
    <mergeCell ref="U5:AC5"/>
    <mergeCell ref="Q6:T6"/>
    <mergeCell ref="Q103:T103"/>
    <mergeCell ref="Q117:T117"/>
    <mergeCell ref="D1:AC1"/>
    <mergeCell ref="D2:AC3"/>
    <mergeCell ref="Y156:AB156"/>
    <mergeCell ref="D143:AC143"/>
    <mergeCell ref="D155:AC155"/>
    <mergeCell ref="Y6:AB6"/>
    <mergeCell ref="D103:E104"/>
    <mergeCell ref="U6:X6"/>
    <mergeCell ref="F103:H103"/>
    <mergeCell ref="F6:H6"/>
    <mergeCell ref="I6:L6"/>
    <mergeCell ref="D5:E7"/>
    <mergeCell ref="M6:P6"/>
    <mergeCell ref="D36:F36"/>
    <mergeCell ref="I103:L103"/>
    <mergeCell ref="Y117:AB117"/>
  </mergeCells>
  <pageMargins left="0.7" right="0.7" top="0.75" bottom="0.75" header="0.3" footer="0.3"/>
  <pageSetup orientation="portrait"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X38" sqref="X38"/>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433" t="s">
        <v>363</v>
      </c>
      <c r="I1" s="1433"/>
      <c r="J1" s="1433"/>
      <c r="K1" s="1433"/>
      <c r="L1" s="1433"/>
      <c r="M1" s="1433"/>
      <c r="N1" s="1433"/>
      <c r="O1" s="1433"/>
      <c r="P1" s="1433"/>
      <c r="Q1" s="1433"/>
      <c r="R1" s="1433"/>
      <c r="S1" s="1433"/>
    </row>
    <row r="2" spans="8:22" x14ac:dyDescent="0.35">
      <c r="H2" s="1458" t="s">
        <v>364</v>
      </c>
      <c r="I2" s="1458"/>
      <c r="J2" s="1458"/>
      <c r="K2" s="1458"/>
      <c r="L2" s="1458"/>
      <c r="M2" s="1458"/>
      <c r="N2" s="1458"/>
      <c r="O2" s="1458"/>
      <c r="P2" s="1458"/>
      <c r="Q2" s="1458"/>
      <c r="R2" s="1458"/>
      <c r="S2" s="1458"/>
    </row>
    <row r="3" spans="8:22" x14ac:dyDescent="0.35">
      <c r="H3" s="1458"/>
      <c r="I3" s="1458"/>
      <c r="J3" s="1458"/>
      <c r="K3" s="1458"/>
      <c r="L3" s="1458"/>
      <c r="M3" s="1458"/>
      <c r="N3" s="1458"/>
      <c r="O3" s="1458"/>
      <c r="P3" s="1458"/>
      <c r="Q3" s="1458"/>
      <c r="R3" s="1458"/>
      <c r="S3" s="1458"/>
    </row>
    <row r="4" spans="8:22" x14ac:dyDescent="0.35">
      <c r="H4" s="1458"/>
      <c r="I4" s="1458"/>
      <c r="J4" s="1458"/>
      <c r="K4" s="1458"/>
      <c r="L4" s="1458"/>
      <c r="M4" s="1458"/>
      <c r="N4" s="1458"/>
      <c r="O4" s="1458"/>
      <c r="P4" s="1458"/>
      <c r="Q4" s="1458"/>
      <c r="R4" s="1458"/>
      <c r="S4" s="1458"/>
    </row>
    <row r="5" spans="8:22" ht="54.75" customHeight="1" x14ac:dyDescent="0.35">
      <c r="H5" s="1458"/>
      <c r="I5" s="1458"/>
      <c r="J5" s="1458"/>
      <c r="K5" s="1458"/>
      <c r="L5" s="1458"/>
      <c r="M5" s="1458"/>
      <c r="N5" s="1458"/>
      <c r="O5" s="1458"/>
      <c r="P5" s="1458"/>
      <c r="Q5" s="1458"/>
      <c r="R5" s="1458"/>
      <c r="S5" s="1458"/>
    </row>
    <row r="6" spans="8:22" x14ac:dyDescent="0.35">
      <c r="H6" s="197"/>
      <c r="I6" s="197"/>
      <c r="J6" s="197"/>
      <c r="K6" s="197"/>
      <c r="L6" s="197"/>
      <c r="M6" s="197"/>
      <c r="N6" s="197"/>
      <c r="O6" s="197"/>
      <c r="P6" s="197"/>
      <c r="Q6" s="197"/>
      <c r="R6" s="197"/>
      <c r="S6" s="197"/>
    </row>
    <row r="7" spans="8:22" x14ac:dyDescent="0.35">
      <c r="H7" s="178" t="s">
        <v>365</v>
      </c>
    </row>
    <row r="8" spans="8:22" ht="16.399999999999999" customHeight="1" x14ac:dyDescent="0.35"/>
    <row r="9" spans="8:22" ht="15.75" customHeight="1" x14ac:dyDescent="0.35">
      <c r="L9" s="1418">
        <v>2020</v>
      </c>
      <c r="M9" s="1435"/>
      <c r="N9" s="1435"/>
      <c r="O9" s="205">
        <v>2021</v>
      </c>
      <c r="P9" s="205"/>
      <c r="Q9" s="205"/>
      <c r="R9" s="204"/>
    </row>
    <row r="10" spans="8:22" ht="41.9" customHeight="1" x14ac:dyDescent="0.35">
      <c r="H10" s="209" t="s">
        <v>366</v>
      </c>
      <c r="I10" s="209" t="s">
        <v>367</v>
      </c>
      <c r="J10" s="210" t="s">
        <v>368</v>
      </c>
      <c r="K10" s="168"/>
      <c r="L10" s="201" t="s">
        <v>329</v>
      </c>
      <c r="M10" s="203" t="s">
        <v>238</v>
      </c>
      <c r="N10" s="203" t="s">
        <v>327</v>
      </c>
      <c r="O10" s="203" t="s">
        <v>328</v>
      </c>
      <c r="P10" s="203" t="s">
        <v>329</v>
      </c>
      <c r="Q10" s="203" t="s">
        <v>238</v>
      </c>
      <c r="R10" s="206" t="s">
        <v>327</v>
      </c>
      <c r="S10" s="197" t="s">
        <v>369</v>
      </c>
      <c r="T10" s="168"/>
      <c r="U10" s="168"/>
      <c r="V10" s="168"/>
    </row>
    <row r="11" spans="8:22" x14ac:dyDescent="0.35">
      <c r="H11" s="211">
        <v>43934</v>
      </c>
      <c r="I11" s="159">
        <v>248</v>
      </c>
      <c r="J11" s="170">
        <f>I11</f>
        <v>248</v>
      </c>
      <c r="K11" s="159"/>
      <c r="L11" s="186">
        <f>S11/26*J11</f>
        <v>95.384615384615387</v>
      </c>
      <c r="M11" s="182">
        <f>13/26*J11</f>
        <v>124</v>
      </c>
      <c r="N11" s="182">
        <f>J11-SUM(L11:M11)</f>
        <v>28.615384615384613</v>
      </c>
      <c r="O11" s="182"/>
      <c r="P11" s="182"/>
      <c r="Q11" s="182"/>
      <c r="R11" s="187"/>
      <c r="S11" s="159">
        <v>10</v>
      </c>
      <c r="T11" s="159"/>
      <c r="U11" s="183"/>
      <c r="V11" s="159"/>
    </row>
    <row r="12" spans="8:22" x14ac:dyDescent="0.35">
      <c r="H12" s="184">
        <v>43937</v>
      </c>
      <c r="I12" s="159">
        <v>342</v>
      </c>
      <c r="J12" s="170">
        <f>I12-I11</f>
        <v>94</v>
      </c>
      <c r="K12" s="159"/>
      <c r="L12" s="186">
        <f t="shared" ref="L12:L20" si="0">S12/26*J12</f>
        <v>36.153846153846153</v>
      </c>
      <c r="M12" s="182">
        <f t="shared" ref="M12:M20" si="1">13/26*J12</f>
        <v>47</v>
      </c>
      <c r="N12" s="182">
        <f t="shared" ref="N12:N21" si="2">J12-SUM(L12:M12)</f>
        <v>10.84615384615384</v>
      </c>
      <c r="O12" s="182"/>
      <c r="P12" s="182"/>
      <c r="Q12" s="182"/>
      <c r="R12" s="187"/>
      <c r="S12" s="159">
        <v>10</v>
      </c>
      <c r="T12" s="159"/>
      <c r="U12" s="159"/>
      <c r="V12" s="159"/>
    </row>
    <row r="13" spans="8:22" x14ac:dyDescent="0.35">
      <c r="H13" s="184">
        <v>43952</v>
      </c>
      <c r="I13" s="159">
        <v>518</v>
      </c>
      <c r="J13" s="170">
        <f>I13-I12</f>
        <v>176</v>
      </c>
      <c r="K13" s="159"/>
      <c r="L13" s="186">
        <f t="shared" si="0"/>
        <v>54.15384615384616</v>
      </c>
      <c r="M13" s="182">
        <f t="shared" si="1"/>
        <v>88</v>
      </c>
      <c r="N13" s="182">
        <f t="shared" si="2"/>
        <v>33.84615384615384</v>
      </c>
      <c r="O13" s="182"/>
      <c r="P13" s="182"/>
      <c r="Q13" s="182"/>
      <c r="R13" s="187"/>
      <c r="S13" s="159">
        <v>8</v>
      </c>
      <c r="T13" s="159"/>
      <c r="U13" s="159"/>
      <c r="V13" s="159"/>
    </row>
    <row r="14" spans="8:22" x14ac:dyDescent="0.35">
      <c r="H14" s="184">
        <v>43959</v>
      </c>
      <c r="I14" s="159">
        <v>531</v>
      </c>
      <c r="J14" s="170">
        <f t="shared" ref="J14:J45" si="3">I14-I13</f>
        <v>13</v>
      </c>
      <c r="K14" s="159"/>
      <c r="L14" s="186">
        <f t="shared" si="0"/>
        <v>3.5</v>
      </c>
      <c r="M14" s="182">
        <f t="shared" si="1"/>
        <v>6.5</v>
      </c>
      <c r="N14" s="182">
        <f t="shared" si="2"/>
        <v>3</v>
      </c>
      <c r="O14" s="182"/>
      <c r="P14" s="182"/>
      <c r="Q14" s="182"/>
      <c r="R14" s="187"/>
      <c r="S14" s="159">
        <f t="shared" ref="S14:S20" si="4">S13-1</f>
        <v>7</v>
      </c>
      <c r="T14" s="159"/>
      <c r="U14" s="159"/>
      <c r="V14" s="159"/>
    </row>
    <row r="15" spans="8:22" x14ac:dyDescent="0.35">
      <c r="H15" s="184">
        <v>43967</v>
      </c>
      <c r="I15" s="159">
        <v>513</v>
      </c>
      <c r="J15" s="170">
        <f t="shared" si="3"/>
        <v>-18</v>
      </c>
      <c r="K15" s="159"/>
      <c r="L15" s="186">
        <f t="shared" ref="L15:L17" si="5">S15/26*J15</f>
        <v>-4.1538461538461542</v>
      </c>
      <c r="M15" s="182">
        <f t="shared" ref="M15:M17" si="6">13/26*J15</f>
        <v>-9</v>
      </c>
      <c r="N15" s="182">
        <f t="shared" ref="N15:N17" si="7">J15-SUM(L15:M15)</f>
        <v>-4.8461538461538467</v>
      </c>
      <c r="O15" s="182"/>
      <c r="P15" s="182"/>
      <c r="Q15" s="182"/>
      <c r="R15" s="187"/>
      <c r="S15" s="159">
        <f t="shared" si="4"/>
        <v>6</v>
      </c>
      <c r="T15" s="159"/>
      <c r="U15" s="159"/>
      <c r="V15" s="159"/>
    </row>
    <row r="16" spans="8:22" x14ac:dyDescent="0.35">
      <c r="H16" s="184">
        <v>43974</v>
      </c>
      <c r="I16" s="159">
        <v>511</v>
      </c>
      <c r="J16" s="170">
        <f t="shared" si="3"/>
        <v>-2</v>
      </c>
      <c r="K16" s="159"/>
      <c r="L16" s="186">
        <f t="shared" si="5"/>
        <v>-0.38461538461538464</v>
      </c>
      <c r="M16" s="182">
        <f t="shared" si="6"/>
        <v>-1</v>
      </c>
      <c r="N16" s="182">
        <f t="shared" si="7"/>
        <v>-0.61538461538461542</v>
      </c>
      <c r="O16" s="182"/>
      <c r="P16" s="182"/>
      <c r="Q16" s="182"/>
      <c r="R16" s="187"/>
      <c r="S16" s="159">
        <f t="shared" si="4"/>
        <v>5</v>
      </c>
      <c r="T16" s="159"/>
      <c r="U16" s="159"/>
      <c r="V16" s="159"/>
    </row>
    <row r="17" spans="8:22" x14ac:dyDescent="0.35">
      <c r="H17" s="184">
        <v>43981</v>
      </c>
      <c r="I17" s="159">
        <v>510</v>
      </c>
      <c r="J17" s="170">
        <f t="shared" si="3"/>
        <v>-1</v>
      </c>
      <c r="K17" s="159"/>
      <c r="L17" s="186">
        <f t="shared" si="5"/>
        <v>-0.15384615384615385</v>
      </c>
      <c r="M17" s="182">
        <f t="shared" si="6"/>
        <v>-0.5</v>
      </c>
      <c r="N17" s="182">
        <f t="shared" si="7"/>
        <v>-0.34615384615384615</v>
      </c>
      <c r="O17" s="182"/>
      <c r="P17" s="182"/>
      <c r="Q17" s="182"/>
      <c r="R17" s="187"/>
      <c r="S17" s="159">
        <f t="shared" si="4"/>
        <v>4</v>
      </c>
      <c r="T17" s="159"/>
      <c r="U17" s="159"/>
      <c r="V17" s="159"/>
    </row>
    <row r="18" spans="8:22" x14ac:dyDescent="0.35">
      <c r="H18" s="184">
        <v>43988</v>
      </c>
      <c r="I18" s="159">
        <v>511</v>
      </c>
      <c r="J18" s="170">
        <f t="shared" si="3"/>
        <v>1</v>
      </c>
      <c r="K18" s="159"/>
      <c r="L18" s="186">
        <f t="shared" si="0"/>
        <v>0.11538461538461539</v>
      </c>
      <c r="M18" s="182">
        <f t="shared" si="1"/>
        <v>0.5</v>
      </c>
      <c r="N18" s="182">
        <f t="shared" si="2"/>
        <v>0.38461538461538458</v>
      </c>
      <c r="O18" s="182"/>
      <c r="P18" s="182"/>
      <c r="Q18" s="182"/>
      <c r="R18" s="187"/>
      <c r="S18" s="159">
        <f t="shared" si="4"/>
        <v>3</v>
      </c>
      <c r="T18" s="159"/>
      <c r="U18" s="159"/>
      <c r="V18" s="159"/>
    </row>
    <row r="19" spans="8:22" x14ac:dyDescent="0.35">
      <c r="H19" s="184">
        <v>43994</v>
      </c>
      <c r="I19" s="159">
        <v>512</v>
      </c>
      <c r="J19" s="170">
        <f t="shared" si="3"/>
        <v>1</v>
      </c>
      <c r="K19" s="159"/>
      <c r="L19" s="186">
        <f t="shared" si="0"/>
        <v>7.6923076923076927E-2</v>
      </c>
      <c r="M19" s="182">
        <f t="shared" si="1"/>
        <v>0.5</v>
      </c>
      <c r="N19" s="182">
        <f t="shared" si="2"/>
        <v>0.42307692307692313</v>
      </c>
      <c r="O19" s="182"/>
      <c r="P19" s="182"/>
      <c r="Q19" s="182"/>
      <c r="R19" s="187"/>
      <c r="S19" s="159">
        <f t="shared" si="4"/>
        <v>2</v>
      </c>
      <c r="T19" s="159"/>
      <c r="U19" s="159"/>
      <c r="V19" s="159"/>
    </row>
    <row r="20" spans="8:22" x14ac:dyDescent="0.35">
      <c r="H20" s="184">
        <v>44002</v>
      </c>
      <c r="I20" s="159">
        <v>515</v>
      </c>
      <c r="J20" s="170">
        <f t="shared" si="3"/>
        <v>3</v>
      </c>
      <c r="K20" s="159"/>
      <c r="L20" s="186">
        <f t="shared" si="0"/>
        <v>0.11538461538461539</v>
      </c>
      <c r="M20" s="182">
        <f t="shared" si="1"/>
        <v>1.5</v>
      </c>
      <c r="N20" s="182">
        <f t="shared" si="2"/>
        <v>1.3846153846153846</v>
      </c>
      <c r="O20" s="182"/>
      <c r="P20" s="182"/>
      <c r="Q20" s="182"/>
      <c r="R20" s="187"/>
      <c r="S20" s="159">
        <f t="shared" si="4"/>
        <v>1</v>
      </c>
      <c r="T20" s="159"/>
      <c r="U20" s="159"/>
      <c r="V20" s="159"/>
    </row>
    <row r="21" spans="8:22" x14ac:dyDescent="0.35">
      <c r="H21" s="184">
        <v>44009</v>
      </c>
      <c r="I21" s="159">
        <v>519</v>
      </c>
      <c r="J21" s="170">
        <f t="shared" si="3"/>
        <v>4</v>
      </c>
      <c r="K21" s="159"/>
      <c r="L21" s="186"/>
      <c r="M21" s="182">
        <f>S21/26*J21</f>
        <v>2</v>
      </c>
      <c r="N21" s="182">
        <f t="shared" si="2"/>
        <v>2</v>
      </c>
      <c r="O21" s="182"/>
      <c r="P21" s="182"/>
      <c r="Q21" s="182"/>
      <c r="R21" s="187"/>
      <c r="S21" s="159">
        <v>13</v>
      </c>
      <c r="T21" s="159"/>
      <c r="U21" s="159"/>
      <c r="V21" s="159"/>
    </row>
    <row r="22" spans="8:22" x14ac:dyDescent="0.35">
      <c r="H22" s="184">
        <v>44012</v>
      </c>
      <c r="I22" s="159">
        <v>521</v>
      </c>
      <c r="J22" s="170">
        <f t="shared" si="3"/>
        <v>2</v>
      </c>
      <c r="K22" s="159"/>
      <c r="L22" s="186"/>
      <c r="M22" s="182">
        <f t="shared" ref="M22:M26" si="8">S22/26*J22</f>
        <v>1</v>
      </c>
      <c r="N22" s="182">
        <f>J22-SUM(L22:M22)</f>
        <v>1</v>
      </c>
      <c r="O22" s="182"/>
      <c r="P22" s="182"/>
      <c r="Q22" s="182"/>
      <c r="R22" s="187"/>
      <c r="S22" s="159">
        <v>13</v>
      </c>
      <c r="T22" s="159"/>
      <c r="U22" s="159"/>
      <c r="V22" s="159"/>
    </row>
    <row r="23" spans="8:22" x14ac:dyDescent="0.35">
      <c r="H23" s="184">
        <v>44029</v>
      </c>
      <c r="I23" s="159">
        <v>518</v>
      </c>
      <c r="J23" s="170">
        <f t="shared" si="3"/>
        <v>-3</v>
      </c>
      <c r="K23" s="159"/>
      <c r="L23" s="186"/>
      <c r="M23" s="182">
        <f t="shared" ref="M23" si="9">S23/26*J23</f>
        <v>-1.153846153846154</v>
      </c>
      <c r="N23" s="182">
        <f t="shared" ref="N23" si="10">13/26*J23</f>
        <v>-1.5</v>
      </c>
      <c r="O23" s="182">
        <f t="shared" ref="O23" si="11">J23-N23-M23</f>
        <v>-0.34615384615384603</v>
      </c>
      <c r="P23" s="182"/>
      <c r="Q23" s="182"/>
      <c r="R23" s="187"/>
      <c r="S23" s="159">
        <f>S22-3</f>
        <v>10</v>
      </c>
      <c r="T23" s="159"/>
      <c r="U23" s="159"/>
      <c r="V23" s="159"/>
    </row>
    <row r="24" spans="8:22" x14ac:dyDescent="0.35">
      <c r="H24" s="184">
        <v>44036</v>
      </c>
      <c r="I24" s="159">
        <v>520</v>
      </c>
      <c r="J24" s="170">
        <f t="shared" si="3"/>
        <v>2</v>
      </c>
      <c r="K24" s="159"/>
      <c r="L24" s="186"/>
      <c r="M24" s="182">
        <f t="shared" si="8"/>
        <v>0.69230769230769229</v>
      </c>
      <c r="N24" s="182">
        <f t="shared" ref="N24:N26" si="12">13/26*J24</f>
        <v>1</v>
      </c>
      <c r="O24" s="182">
        <f t="shared" ref="O24:O26" si="13">J24-N24-M24</f>
        <v>0.30769230769230771</v>
      </c>
      <c r="P24" s="182"/>
      <c r="Q24" s="182"/>
      <c r="R24" s="187"/>
      <c r="S24" s="159">
        <f>S23-1</f>
        <v>9</v>
      </c>
      <c r="T24" s="159"/>
      <c r="U24" s="159"/>
      <c r="V24" s="159"/>
    </row>
    <row r="25" spans="8:22" x14ac:dyDescent="0.35">
      <c r="H25" s="184">
        <v>44043</v>
      </c>
      <c r="I25" s="159">
        <v>521</v>
      </c>
      <c r="J25" s="170">
        <f t="shared" si="3"/>
        <v>1</v>
      </c>
      <c r="K25" s="159"/>
      <c r="L25" s="186"/>
      <c r="M25" s="182">
        <f t="shared" si="8"/>
        <v>0.30769230769230771</v>
      </c>
      <c r="N25" s="182">
        <f t="shared" si="12"/>
        <v>0.5</v>
      </c>
      <c r="O25" s="182">
        <f t="shared" si="13"/>
        <v>0.19230769230769229</v>
      </c>
      <c r="P25" s="182"/>
      <c r="Q25" s="182"/>
      <c r="R25" s="187"/>
      <c r="S25" s="159">
        <f>S24-1</f>
        <v>8</v>
      </c>
      <c r="T25" s="159"/>
      <c r="U25" s="159"/>
      <c r="V25" s="159"/>
    </row>
    <row r="26" spans="8:22" x14ac:dyDescent="0.35">
      <c r="H26" s="184">
        <v>44051</v>
      </c>
      <c r="I26" s="159">
        <v>525</v>
      </c>
      <c r="J26" s="170">
        <f t="shared" si="3"/>
        <v>4</v>
      </c>
      <c r="K26" s="159"/>
      <c r="L26" s="186"/>
      <c r="M26" s="182">
        <f t="shared" si="8"/>
        <v>1.0769230769230769</v>
      </c>
      <c r="N26" s="182">
        <f t="shared" si="12"/>
        <v>2</v>
      </c>
      <c r="O26" s="182">
        <f t="shared" si="13"/>
        <v>0.92307692307692313</v>
      </c>
      <c r="P26" s="182"/>
      <c r="Q26" s="182"/>
      <c r="R26" s="187"/>
      <c r="S26" s="159">
        <f>S25-1</f>
        <v>7</v>
      </c>
      <c r="T26" s="159"/>
      <c r="U26" s="159"/>
      <c r="V26" s="159"/>
    </row>
    <row r="27" spans="8:22" x14ac:dyDescent="0.35">
      <c r="H27" s="184">
        <v>44220</v>
      </c>
      <c r="I27" s="159">
        <v>558</v>
      </c>
      <c r="J27" s="170">
        <f t="shared" si="3"/>
        <v>33</v>
      </c>
      <c r="K27" s="159"/>
      <c r="L27" s="186"/>
      <c r="M27" s="182"/>
      <c r="N27" s="182"/>
      <c r="O27" s="182">
        <f>S27/26*J27</f>
        <v>12.692307692307693</v>
      </c>
      <c r="P27" s="182">
        <f>J27/2</f>
        <v>16.5</v>
      </c>
      <c r="Q27" s="182">
        <f>J27-P27-O27</f>
        <v>3.8076923076923066</v>
      </c>
      <c r="R27" s="187"/>
      <c r="S27" s="159">
        <v>10</v>
      </c>
      <c r="T27" s="159">
        <v>10</v>
      </c>
      <c r="U27" s="159"/>
      <c r="V27" s="159"/>
    </row>
    <row r="28" spans="8:22" x14ac:dyDescent="0.35">
      <c r="H28" s="184">
        <v>44227</v>
      </c>
      <c r="I28" s="159">
        <v>596</v>
      </c>
      <c r="J28" s="170">
        <f t="shared" si="3"/>
        <v>38</v>
      </c>
      <c r="K28" s="159"/>
      <c r="L28" s="186"/>
      <c r="M28" s="182"/>
      <c r="N28" s="182"/>
      <c r="O28" s="182">
        <f t="shared" ref="O28:O36" si="14">S28/26*J28</f>
        <v>13.153846153846153</v>
      </c>
      <c r="P28" s="182">
        <f t="shared" ref="P28:P36" si="15">J28/2</f>
        <v>19</v>
      </c>
      <c r="Q28" s="182">
        <f t="shared" ref="Q28:Q36" si="16">J28-P28-O28</f>
        <v>5.8461538461538467</v>
      </c>
      <c r="R28" s="187"/>
      <c r="S28" s="159">
        <f>S27-1</f>
        <v>9</v>
      </c>
      <c r="T28" s="159">
        <f>T27-1</f>
        <v>9</v>
      </c>
      <c r="U28" s="159"/>
      <c r="V28" s="159"/>
    </row>
    <row r="29" spans="8:22" x14ac:dyDescent="0.35">
      <c r="H29" s="184">
        <v>44234</v>
      </c>
      <c r="I29" s="159">
        <v>623</v>
      </c>
      <c r="J29" s="170">
        <f t="shared" si="3"/>
        <v>27</v>
      </c>
      <c r="K29" s="159"/>
      <c r="L29" s="186"/>
      <c r="M29" s="182"/>
      <c r="N29" s="182"/>
      <c r="O29" s="182">
        <f t="shared" si="14"/>
        <v>8.3076923076923084</v>
      </c>
      <c r="P29" s="182">
        <f t="shared" si="15"/>
        <v>13.5</v>
      </c>
      <c r="Q29" s="182">
        <f t="shared" si="16"/>
        <v>5.1923076923076916</v>
      </c>
      <c r="R29" s="187"/>
      <c r="S29" s="159">
        <f t="shared" ref="S29:S36" si="17">S28-1</f>
        <v>8</v>
      </c>
      <c r="T29" s="159">
        <f t="shared" ref="T29:T36" si="18">T28-1</f>
        <v>8</v>
      </c>
      <c r="U29" s="159"/>
      <c r="V29" s="159"/>
    </row>
    <row r="30" spans="8:22" x14ac:dyDescent="0.35">
      <c r="H30" s="184">
        <v>44242</v>
      </c>
      <c r="I30" s="159">
        <v>648</v>
      </c>
      <c r="J30" s="170">
        <f t="shared" si="3"/>
        <v>25</v>
      </c>
      <c r="K30" s="159"/>
      <c r="L30" s="186"/>
      <c r="M30" s="182"/>
      <c r="N30" s="182"/>
      <c r="O30" s="182">
        <f t="shared" si="14"/>
        <v>6.7307692307692308</v>
      </c>
      <c r="P30" s="182">
        <f t="shared" si="15"/>
        <v>12.5</v>
      </c>
      <c r="Q30" s="182">
        <f t="shared" si="16"/>
        <v>5.7692307692307692</v>
      </c>
      <c r="R30" s="187"/>
      <c r="S30" s="159">
        <f t="shared" si="17"/>
        <v>7</v>
      </c>
      <c r="T30" s="159">
        <f t="shared" si="18"/>
        <v>7</v>
      </c>
      <c r="U30" s="159"/>
      <c r="V30" s="159"/>
    </row>
    <row r="31" spans="8:22" x14ac:dyDescent="0.35">
      <c r="H31" s="184">
        <v>44248</v>
      </c>
      <c r="I31" s="159">
        <v>663</v>
      </c>
      <c r="J31" s="170">
        <f t="shared" si="3"/>
        <v>15</v>
      </c>
      <c r="K31" s="159"/>
      <c r="L31" s="186"/>
      <c r="M31" s="182"/>
      <c r="N31" s="182"/>
      <c r="O31" s="182">
        <f t="shared" si="14"/>
        <v>3.4615384615384617</v>
      </c>
      <c r="P31" s="182">
        <f t="shared" si="15"/>
        <v>7.5</v>
      </c>
      <c r="Q31" s="182">
        <f t="shared" si="16"/>
        <v>4.0384615384615383</v>
      </c>
      <c r="R31" s="187"/>
      <c r="S31" s="159">
        <f t="shared" si="17"/>
        <v>6</v>
      </c>
      <c r="T31" s="159">
        <f t="shared" si="18"/>
        <v>6</v>
      </c>
      <c r="U31" s="159"/>
      <c r="V31" s="159"/>
    </row>
    <row r="32" spans="8:22" x14ac:dyDescent="0.35">
      <c r="H32" s="184">
        <v>44255</v>
      </c>
      <c r="I32" s="159">
        <v>679</v>
      </c>
      <c r="J32" s="170">
        <f t="shared" si="3"/>
        <v>16</v>
      </c>
      <c r="K32" s="159"/>
      <c r="L32" s="186"/>
      <c r="M32" s="182"/>
      <c r="N32" s="182"/>
      <c r="O32" s="182">
        <f t="shared" si="14"/>
        <v>3.0769230769230771</v>
      </c>
      <c r="P32" s="182">
        <f t="shared" si="15"/>
        <v>8</v>
      </c>
      <c r="Q32" s="182">
        <f t="shared" si="16"/>
        <v>4.9230769230769234</v>
      </c>
      <c r="R32" s="187"/>
      <c r="S32" s="159">
        <f t="shared" si="17"/>
        <v>5</v>
      </c>
      <c r="T32" s="159">
        <f t="shared" si="18"/>
        <v>5</v>
      </c>
      <c r="U32" s="159"/>
      <c r="V32" s="159"/>
    </row>
    <row r="33" spans="8:22" x14ac:dyDescent="0.35">
      <c r="H33" s="184">
        <v>44262</v>
      </c>
      <c r="I33" s="159">
        <v>687</v>
      </c>
      <c r="J33" s="170">
        <f t="shared" si="3"/>
        <v>8</v>
      </c>
      <c r="K33" s="159"/>
      <c r="L33" s="186"/>
      <c r="M33" s="182"/>
      <c r="N33" s="182"/>
      <c r="O33" s="182">
        <f t="shared" si="14"/>
        <v>1.2307692307692308</v>
      </c>
      <c r="P33" s="182">
        <f t="shared" si="15"/>
        <v>4</v>
      </c>
      <c r="Q33" s="182">
        <f t="shared" si="16"/>
        <v>2.7692307692307692</v>
      </c>
      <c r="R33" s="187"/>
      <c r="S33" s="159">
        <f t="shared" si="17"/>
        <v>4</v>
      </c>
      <c r="T33" s="159">
        <f t="shared" si="18"/>
        <v>4</v>
      </c>
      <c r="U33" s="159"/>
      <c r="V33" s="159"/>
    </row>
    <row r="34" spans="8:22" x14ac:dyDescent="0.35">
      <c r="H34" s="184">
        <v>44269</v>
      </c>
      <c r="I34" s="159">
        <v>704</v>
      </c>
      <c r="J34" s="170">
        <f t="shared" si="3"/>
        <v>17</v>
      </c>
      <c r="K34" s="159"/>
      <c r="L34" s="186"/>
      <c r="M34" s="182"/>
      <c r="N34" s="182"/>
      <c r="O34" s="182">
        <f t="shared" si="14"/>
        <v>1.9615384615384617</v>
      </c>
      <c r="P34" s="182">
        <f t="shared" si="15"/>
        <v>8.5</v>
      </c>
      <c r="Q34" s="182">
        <f t="shared" si="16"/>
        <v>6.5384615384615383</v>
      </c>
      <c r="R34" s="187"/>
      <c r="S34" s="159">
        <f t="shared" si="17"/>
        <v>3</v>
      </c>
      <c r="T34" s="159">
        <f t="shared" si="18"/>
        <v>3</v>
      </c>
      <c r="U34" s="159"/>
      <c r="V34" s="159"/>
    </row>
    <row r="35" spans="8:22" x14ac:dyDescent="0.35">
      <c r="H35" s="184">
        <v>44276</v>
      </c>
      <c r="I35" s="159">
        <v>718</v>
      </c>
      <c r="J35" s="170">
        <f t="shared" si="3"/>
        <v>14</v>
      </c>
      <c r="K35" s="159"/>
      <c r="L35" s="186"/>
      <c r="M35" s="182"/>
      <c r="N35" s="182"/>
      <c r="O35" s="182">
        <f t="shared" si="14"/>
        <v>1.0769230769230771</v>
      </c>
      <c r="P35" s="182">
        <f t="shared" si="15"/>
        <v>7</v>
      </c>
      <c r="Q35" s="182">
        <f t="shared" si="16"/>
        <v>5.9230769230769234</v>
      </c>
      <c r="R35" s="187"/>
      <c r="S35" s="159">
        <f t="shared" si="17"/>
        <v>2</v>
      </c>
      <c r="T35" s="159">
        <f t="shared" si="18"/>
        <v>2</v>
      </c>
      <c r="U35" s="159"/>
      <c r="V35" s="159"/>
    </row>
    <row r="36" spans="8:22" x14ac:dyDescent="0.35">
      <c r="H36" s="184">
        <v>44283</v>
      </c>
      <c r="I36" s="159">
        <v>734</v>
      </c>
      <c r="J36" s="170">
        <f t="shared" si="3"/>
        <v>16</v>
      </c>
      <c r="K36" s="159"/>
      <c r="L36" s="186"/>
      <c r="M36" s="182"/>
      <c r="N36" s="182"/>
      <c r="O36" s="182">
        <f t="shared" si="14"/>
        <v>0.61538461538461542</v>
      </c>
      <c r="P36" s="182">
        <f t="shared" si="15"/>
        <v>8</v>
      </c>
      <c r="Q36" s="182">
        <f t="shared" si="16"/>
        <v>7.384615384615385</v>
      </c>
      <c r="R36" s="187"/>
      <c r="S36" s="159">
        <f t="shared" si="17"/>
        <v>1</v>
      </c>
      <c r="T36" s="159">
        <f t="shared" si="18"/>
        <v>1</v>
      </c>
      <c r="U36" s="159"/>
      <c r="V36" s="159"/>
    </row>
    <row r="37" spans="8:22" x14ac:dyDescent="0.35">
      <c r="H37" s="184">
        <v>44290</v>
      </c>
      <c r="I37" s="159">
        <v>746</v>
      </c>
      <c r="J37" s="170">
        <f t="shared" si="3"/>
        <v>12</v>
      </c>
      <c r="K37" s="159"/>
      <c r="L37" s="186"/>
      <c r="M37" s="182"/>
      <c r="N37" s="182"/>
      <c r="O37" s="182"/>
      <c r="P37" s="182">
        <f>T37/26*J37</f>
        <v>6</v>
      </c>
      <c r="Q37" s="182">
        <f>J37/2</f>
        <v>6</v>
      </c>
      <c r="R37" s="187">
        <f>J37-Q37-P37</f>
        <v>0</v>
      </c>
      <c r="S37" s="159">
        <v>13</v>
      </c>
      <c r="T37" s="159">
        <v>13</v>
      </c>
      <c r="U37" s="159"/>
      <c r="V37" s="159"/>
    </row>
    <row r="38" spans="8:22" x14ac:dyDescent="0.35">
      <c r="H38" s="184">
        <v>44297</v>
      </c>
      <c r="I38" s="159">
        <v>755</v>
      </c>
      <c r="J38" s="170">
        <f t="shared" si="3"/>
        <v>9</v>
      </c>
      <c r="K38" s="159"/>
      <c r="L38" s="186"/>
      <c r="M38" s="182"/>
      <c r="N38" s="182"/>
      <c r="O38" s="182"/>
      <c r="P38" s="182">
        <f t="shared" ref="P38:P45" si="19">T38/26*J38</f>
        <v>4.1538461538461542</v>
      </c>
      <c r="Q38" s="182">
        <f t="shared" ref="Q38:Q45" si="20">J38/2</f>
        <v>4.5</v>
      </c>
      <c r="R38" s="187">
        <f t="shared" ref="R38:R45" si="21">J38-Q38-P38</f>
        <v>0.34615384615384581</v>
      </c>
      <c r="S38" s="159">
        <f>S37-1</f>
        <v>12</v>
      </c>
      <c r="T38" s="159">
        <f>T37-1</f>
        <v>12</v>
      </c>
      <c r="U38" s="159"/>
      <c r="V38" s="159"/>
    </row>
    <row r="39" spans="8:22" x14ac:dyDescent="0.35">
      <c r="H39" s="184">
        <v>44304</v>
      </c>
      <c r="I39" s="159">
        <v>762</v>
      </c>
      <c r="J39" s="170">
        <f t="shared" si="3"/>
        <v>7</v>
      </c>
      <c r="K39" s="159"/>
      <c r="L39" s="186"/>
      <c r="M39" s="182"/>
      <c r="N39" s="182"/>
      <c r="O39" s="182"/>
      <c r="P39" s="182">
        <f t="shared" si="19"/>
        <v>2.9615384615384617</v>
      </c>
      <c r="Q39" s="182">
        <f t="shared" si="20"/>
        <v>3.5</v>
      </c>
      <c r="R39" s="187">
        <f t="shared" si="21"/>
        <v>0.53846153846153832</v>
      </c>
      <c r="S39" s="159">
        <f t="shared" ref="S39:S45" si="22">S38-1</f>
        <v>11</v>
      </c>
      <c r="T39" s="159">
        <f t="shared" ref="T39:T45" si="23">T38-1</f>
        <v>11</v>
      </c>
      <c r="U39" s="159"/>
      <c r="V39" s="159"/>
    </row>
    <row r="40" spans="8:22" x14ac:dyDescent="0.35">
      <c r="H40" s="184">
        <v>44311</v>
      </c>
      <c r="I40" s="159">
        <v>771</v>
      </c>
      <c r="J40" s="170">
        <f t="shared" si="3"/>
        <v>9</v>
      </c>
      <c r="K40" s="159"/>
      <c r="L40" s="186"/>
      <c r="M40" s="182"/>
      <c r="N40" s="182"/>
      <c r="O40" s="182"/>
      <c r="P40" s="182">
        <f t="shared" si="19"/>
        <v>3.4615384615384617</v>
      </c>
      <c r="Q40" s="182">
        <f t="shared" si="20"/>
        <v>4.5</v>
      </c>
      <c r="R40" s="187">
        <f t="shared" si="21"/>
        <v>1.0384615384615383</v>
      </c>
      <c r="S40" s="159">
        <f t="shared" si="22"/>
        <v>10</v>
      </c>
      <c r="T40" s="159">
        <f t="shared" si="23"/>
        <v>10</v>
      </c>
      <c r="U40" s="159"/>
      <c r="V40" s="159"/>
    </row>
    <row r="41" spans="8:22" x14ac:dyDescent="0.35">
      <c r="H41" s="184">
        <v>44318</v>
      </c>
      <c r="I41" s="159">
        <v>780</v>
      </c>
      <c r="J41" s="170">
        <f t="shared" si="3"/>
        <v>9</v>
      </c>
      <c r="K41" s="159"/>
      <c r="L41" s="186"/>
      <c r="M41" s="182"/>
      <c r="N41" s="182"/>
      <c r="O41" s="182"/>
      <c r="P41" s="182">
        <f t="shared" si="19"/>
        <v>3.1153846153846154</v>
      </c>
      <c r="Q41" s="182">
        <f t="shared" si="20"/>
        <v>4.5</v>
      </c>
      <c r="R41" s="187">
        <f t="shared" si="21"/>
        <v>1.3846153846153846</v>
      </c>
      <c r="S41" s="159">
        <f t="shared" si="22"/>
        <v>9</v>
      </c>
      <c r="T41" s="159">
        <f t="shared" si="23"/>
        <v>9</v>
      </c>
      <c r="U41" s="159"/>
      <c r="V41" s="159"/>
    </row>
    <row r="42" spans="8:22" x14ac:dyDescent="0.35">
      <c r="H42" s="184">
        <v>44325</v>
      </c>
      <c r="I42" s="159">
        <v>782</v>
      </c>
      <c r="J42" s="170">
        <f t="shared" si="3"/>
        <v>2</v>
      </c>
      <c r="K42" s="159"/>
      <c r="L42" s="186"/>
      <c r="M42" s="182"/>
      <c r="N42" s="182"/>
      <c r="O42" s="182"/>
      <c r="P42" s="182">
        <f t="shared" si="19"/>
        <v>0.61538461538461542</v>
      </c>
      <c r="Q42" s="182">
        <f t="shared" si="20"/>
        <v>1</v>
      </c>
      <c r="R42" s="187">
        <f t="shared" si="21"/>
        <v>0.38461538461538458</v>
      </c>
      <c r="S42" s="159">
        <f t="shared" si="22"/>
        <v>8</v>
      </c>
      <c r="T42" s="159">
        <f t="shared" si="23"/>
        <v>8</v>
      </c>
      <c r="U42" s="159"/>
      <c r="V42" s="159"/>
    </row>
    <row r="43" spans="8:22" x14ac:dyDescent="0.35">
      <c r="H43" s="184">
        <v>44332</v>
      </c>
      <c r="I43" s="159">
        <v>788</v>
      </c>
      <c r="J43" s="170">
        <f t="shared" si="3"/>
        <v>6</v>
      </c>
      <c r="K43" s="159"/>
      <c r="L43" s="186"/>
      <c r="M43" s="182"/>
      <c r="N43" s="182"/>
      <c r="O43" s="182"/>
      <c r="P43" s="182">
        <f t="shared" si="19"/>
        <v>1.6153846153846154</v>
      </c>
      <c r="Q43" s="182">
        <f t="shared" si="20"/>
        <v>3</v>
      </c>
      <c r="R43" s="187">
        <f t="shared" si="21"/>
        <v>1.3846153846153846</v>
      </c>
      <c r="S43" s="159">
        <f t="shared" si="22"/>
        <v>7</v>
      </c>
      <c r="T43" s="159">
        <f t="shared" si="23"/>
        <v>7</v>
      </c>
      <c r="U43" s="159"/>
      <c r="V43" s="159"/>
    </row>
    <row r="44" spans="8:22" x14ac:dyDescent="0.35">
      <c r="H44" s="184">
        <v>44339</v>
      </c>
      <c r="I44" s="159">
        <v>796</v>
      </c>
      <c r="J44" s="170">
        <f t="shared" si="3"/>
        <v>8</v>
      </c>
      <c r="K44" s="159"/>
      <c r="L44" s="186"/>
      <c r="M44" s="182"/>
      <c r="N44" s="182"/>
      <c r="O44" s="182"/>
      <c r="P44" s="182">
        <f t="shared" si="19"/>
        <v>1.8461538461538463</v>
      </c>
      <c r="Q44" s="182">
        <f t="shared" si="20"/>
        <v>4</v>
      </c>
      <c r="R44" s="187">
        <f t="shared" si="21"/>
        <v>2.1538461538461537</v>
      </c>
      <c r="S44" s="159">
        <f t="shared" si="22"/>
        <v>6</v>
      </c>
      <c r="T44" s="159">
        <f t="shared" si="23"/>
        <v>6</v>
      </c>
      <c r="U44" s="159"/>
      <c r="V44" s="159"/>
    </row>
    <row r="45" spans="8:22" x14ac:dyDescent="0.35">
      <c r="H45" s="185">
        <v>44347</v>
      </c>
      <c r="I45" s="173">
        <v>800</v>
      </c>
      <c r="J45" s="177">
        <f t="shared" si="3"/>
        <v>4</v>
      </c>
      <c r="K45" s="159"/>
      <c r="L45" s="186"/>
      <c r="M45" s="182"/>
      <c r="N45" s="182"/>
      <c r="O45" s="182"/>
      <c r="P45" s="182">
        <f t="shared" si="19"/>
        <v>0.76923076923076927</v>
      </c>
      <c r="Q45" s="182">
        <f t="shared" si="20"/>
        <v>2</v>
      </c>
      <c r="R45" s="187">
        <f t="shared" si="21"/>
        <v>1.2307692307692308</v>
      </c>
      <c r="S45" s="159">
        <f t="shared" si="22"/>
        <v>5</v>
      </c>
      <c r="T45" s="159">
        <f t="shared" si="23"/>
        <v>5</v>
      </c>
      <c r="U45" s="159"/>
      <c r="V45" s="159"/>
    </row>
    <row r="46" spans="8:22" x14ac:dyDescent="0.35">
      <c r="H46" s="159"/>
      <c r="I46" s="159"/>
      <c r="J46" s="159"/>
      <c r="K46" s="159"/>
      <c r="L46" s="186">
        <f>SUM(L11:L45)</f>
        <v>184.80769230769229</v>
      </c>
      <c r="M46" s="182">
        <f t="shared" ref="M46:R46" si="24">SUM(M11:M45)</f>
        <v>261.42307692307696</v>
      </c>
      <c r="N46" s="182">
        <f t="shared" si="24"/>
        <v>77.692307692307693</v>
      </c>
      <c r="O46" s="182">
        <f t="shared" si="24"/>
        <v>53.384615384615394</v>
      </c>
      <c r="P46" s="182">
        <f t="shared" si="24"/>
        <v>129.03846153846155</v>
      </c>
      <c r="Q46" s="182">
        <f t="shared" si="24"/>
        <v>85.192307692307693</v>
      </c>
      <c r="R46" s="187">
        <f t="shared" si="24"/>
        <v>8.4615384615384599</v>
      </c>
      <c r="S46" s="159"/>
      <c r="T46" s="159"/>
      <c r="U46" s="159"/>
      <c r="V46" s="159"/>
    </row>
    <row r="47" spans="8:22" x14ac:dyDescent="0.35">
      <c r="H47" s="159"/>
      <c r="I47" s="159"/>
      <c r="J47" s="159"/>
      <c r="K47" s="159"/>
      <c r="L47" s="188">
        <f>L46*4</f>
        <v>739.23076923076917</v>
      </c>
      <c r="M47" s="189">
        <f t="shared" ref="M47:R47" si="25">M46*4</f>
        <v>1045.6923076923078</v>
      </c>
      <c r="N47" s="189">
        <f t="shared" si="25"/>
        <v>310.76923076923077</v>
      </c>
      <c r="O47" s="189">
        <f t="shared" si="25"/>
        <v>213.53846153846158</v>
      </c>
      <c r="P47" s="189">
        <f t="shared" si="25"/>
        <v>516.15384615384619</v>
      </c>
      <c r="Q47" s="189">
        <f t="shared" si="25"/>
        <v>340.76923076923077</v>
      </c>
      <c r="R47" s="191">
        <f t="shared" si="25"/>
        <v>33.84615384615384</v>
      </c>
      <c r="S47" s="159" t="s">
        <v>370</v>
      </c>
      <c r="T47" s="159"/>
      <c r="U47" s="159"/>
      <c r="V47" s="159"/>
    </row>
    <row r="48" spans="8:22" x14ac:dyDescent="0.35">
      <c r="J48" s="171" t="s">
        <v>371</v>
      </c>
      <c r="L48" s="171">
        <v>634</v>
      </c>
      <c r="M48" s="212">
        <f>K55</f>
        <v>900.7</v>
      </c>
      <c r="N48" s="212">
        <f t="shared" ref="N48:P48" si="26">L55</f>
        <v>270.7</v>
      </c>
      <c r="O48" s="212">
        <f t="shared" si="26"/>
        <v>208.7</v>
      </c>
      <c r="P48" s="212">
        <f t="shared" si="26"/>
        <v>469.7</v>
      </c>
      <c r="Q48" s="212">
        <v>279</v>
      </c>
      <c r="R48" s="212"/>
    </row>
    <row r="50" spans="8:29" x14ac:dyDescent="0.35">
      <c r="H50" s="1531" t="s">
        <v>372</v>
      </c>
      <c r="I50" s="1532"/>
      <c r="J50" s="1523" t="s">
        <v>325</v>
      </c>
      <c r="K50" s="1524"/>
      <c r="L50" s="1524"/>
      <c r="M50" s="1475"/>
      <c r="N50" s="1475"/>
      <c r="O50" s="1475"/>
      <c r="P50" s="1438"/>
      <c r="Q50" s="196"/>
      <c r="R50" s="196"/>
      <c r="S50" s="196"/>
      <c r="T50" s="196"/>
      <c r="U50" s="196"/>
      <c r="V50" s="196"/>
      <c r="W50" s="196"/>
      <c r="X50" s="196"/>
      <c r="Y50" s="196"/>
    </row>
    <row r="51" spans="8:29" x14ac:dyDescent="0.35">
      <c r="H51" s="1533"/>
      <c r="I51" s="1534"/>
      <c r="J51" s="1418">
        <v>2020</v>
      </c>
      <c r="K51" s="1435"/>
      <c r="L51" s="1435"/>
      <c r="M51" s="1418">
        <v>2021</v>
      </c>
      <c r="N51" s="1435"/>
      <c r="O51" s="1435"/>
      <c r="P51" s="1436"/>
      <c r="Q51" s="1464"/>
      <c r="R51" s="1464"/>
      <c r="S51" s="1464"/>
      <c r="T51" s="1464"/>
      <c r="U51" s="1464"/>
      <c r="V51" s="1464"/>
      <c r="W51" s="1464"/>
      <c r="X51" s="1464"/>
    </row>
    <row r="52" spans="8:29" x14ac:dyDescent="0.35">
      <c r="H52" s="1557"/>
      <c r="I52" s="1558"/>
      <c r="J52" s="137" t="s">
        <v>329</v>
      </c>
      <c r="K52" s="150" t="s">
        <v>238</v>
      </c>
      <c r="L52" s="150" t="s">
        <v>327</v>
      </c>
      <c r="M52" s="190" t="s">
        <v>328</v>
      </c>
      <c r="N52" s="192" t="s">
        <v>329</v>
      </c>
      <c r="O52" s="192" t="s">
        <v>238</v>
      </c>
      <c r="P52" s="172" t="s">
        <v>327</v>
      </c>
      <c r="Q52" s="159"/>
      <c r="S52" s="171"/>
      <c r="T52" s="171"/>
      <c r="U52" s="159"/>
      <c r="V52" s="171"/>
      <c r="W52" s="171"/>
      <c r="X52" s="171"/>
      <c r="Y52" s="171"/>
      <c r="Z52" s="171"/>
      <c r="AA52" s="171"/>
    </row>
    <row r="53" spans="8:29" ht="32.9" customHeight="1" x14ac:dyDescent="0.35">
      <c r="H53" s="202" t="s">
        <v>373</v>
      </c>
      <c r="I53" s="159" t="s">
        <v>374</v>
      </c>
      <c r="J53" s="207">
        <f>'Haver Pivoted'!GU47</f>
        <v>57.2</v>
      </c>
      <c r="K53" s="208">
        <f>'Haver Pivoted'!GV47</f>
        <v>81.2</v>
      </c>
      <c r="L53" s="208">
        <f>'Haver Pivoted'!GW47</f>
        <v>24.4</v>
      </c>
      <c r="M53" s="174">
        <f>'Haver Pivoted'!GX47</f>
        <v>11.7</v>
      </c>
      <c r="N53" s="174">
        <f>'Haver Pivoted'!GY47</f>
        <v>28.5</v>
      </c>
      <c r="O53" s="169">
        <f>'Haver Pivoted'!GZ47</f>
        <v>18.8</v>
      </c>
      <c r="P53" s="169">
        <f>'Haver Pivoted'!HA47</f>
        <v>1.6</v>
      </c>
      <c r="Q53" s="174"/>
      <c r="S53" s="171"/>
      <c r="T53" s="171"/>
      <c r="U53" s="171"/>
      <c r="V53" s="171"/>
      <c r="W53" s="171"/>
      <c r="X53" s="171"/>
      <c r="Y53" s="171"/>
      <c r="Z53" s="171"/>
      <c r="AA53" s="171"/>
    </row>
    <row r="54" spans="8:29" ht="33.75" customHeight="1" x14ac:dyDescent="0.35">
      <c r="H54" s="202" t="s">
        <v>375</v>
      </c>
      <c r="I54" s="166" t="s">
        <v>376</v>
      </c>
      <c r="J54" s="179">
        <f>'Haver Pivoted'!GU49</f>
        <v>576.9</v>
      </c>
      <c r="K54" s="174">
        <f>'Haver Pivoted'!GV49</f>
        <v>819.5</v>
      </c>
      <c r="L54" s="174">
        <f>'Haver Pivoted'!GW49</f>
        <v>246.3</v>
      </c>
      <c r="M54" s="174">
        <f>'Haver Pivoted'!GX49</f>
        <v>197</v>
      </c>
      <c r="N54" s="174">
        <f>'Haver Pivoted'!GY49</f>
        <v>441.2</v>
      </c>
      <c r="O54" s="169">
        <f>'Haver Pivoted'!GZ49</f>
        <v>276.7</v>
      </c>
      <c r="P54" s="169">
        <f>'Haver Pivoted'!HA49</f>
        <v>28.2</v>
      </c>
      <c r="Q54" s="174"/>
      <c r="R54" s="174"/>
    </row>
    <row r="55" spans="8:29" x14ac:dyDescent="0.35">
      <c r="H55" s="194" t="s">
        <v>359</v>
      </c>
      <c r="I55" s="159"/>
      <c r="J55" s="179">
        <f>J54+J53</f>
        <v>634.1</v>
      </c>
      <c r="K55" s="174">
        <f t="shared" ref="K55:M55" si="27">K54+K53</f>
        <v>900.7</v>
      </c>
      <c r="L55" s="174">
        <f t="shared" si="27"/>
        <v>270.7</v>
      </c>
      <c r="M55" s="174">
        <f t="shared" si="27"/>
        <v>208.7</v>
      </c>
      <c r="N55" s="174">
        <f t="shared" ref="N55:P55" si="28">N54+N53</f>
        <v>469.7</v>
      </c>
      <c r="O55" s="169">
        <f t="shared" si="28"/>
        <v>295.5</v>
      </c>
      <c r="P55" s="169">
        <f t="shared" si="28"/>
        <v>29.8</v>
      </c>
      <c r="Q55" s="174"/>
      <c r="R55" s="174"/>
    </row>
    <row r="56" spans="8:29" x14ac:dyDescent="0.35">
      <c r="H56" s="167" t="s">
        <v>377</v>
      </c>
      <c r="I56" s="173"/>
      <c r="J56" s="198">
        <f t="shared" ref="J56:P56" si="29">J53/J55</f>
        <v>9.0206592020186091E-2</v>
      </c>
      <c r="K56" s="199">
        <f t="shared" si="29"/>
        <v>9.015210391917397E-2</v>
      </c>
      <c r="L56" s="199">
        <f t="shared" si="29"/>
        <v>9.0136682674547469E-2</v>
      </c>
      <c r="M56" s="199">
        <f t="shared" si="29"/>
        <v>5.6061332055582176E-2</v>
      </c>
      <c r="N56" s="199">
        <f t="shared" si="29"/>
        <v>6.0677027890142649E-2</v>
      </c>
      <c r="O56" s="200">
        <f t="shared" si="29"/>
        <v>6.3620981387478848E-2</v>
      </c>
      <c r="P56" s="200">
        <f t="shared" si="29"/>
        <v>5.3691275167785234E-2</v>
      </c>
      <c r="Q56" s="180"/>
      <c r="R56" s="181"/>
    </row>
    <row r="58" spans="8:29" x14ac:dyDescent="0.35">
      <c r="H58" s="171" t="s">
        <v>873</v>
      </c>
    </row>
    <row r="59" spans="8:29" x14ac:dyDescent="0.35">
      <c r="H59" s="193"/>
      <c r="I59" s="159"/>
      <c r="J59" s="174"/>
      <c r="K59" s="174"/>
      <c r="L59" s="174"/>
      <c r="M59" s="174"/>
      <c r="N59" s="174"/>
      <c r="O59" s="174"/>
      <c r="P59" s="175"/>
      <c r="Q59" s="174"/>
      <c r="R59" s="174"/>
      <c r="S59" s="174"/>
      <c r="T59" s="171"/>
      <c r="U59" s="171"/>
      <c r="V59" s="171"/>
      <c r="W59" s="171"/>
      <c r="X59" s="171"/>
      <c r="Y59" s="171"/>
      <c r="Z59" s="171"/>
      <c r="AA59" s="171"/>
      <c r="AB59" s="171"/>
      <c r="AC59" s="171"/>
    </row>
    <row r="60" spans="8:29" x14ac:dyDescent="0.35">
      <c r="P60" s="174"/>
      <c r="Q60" s="171"/>
      <c r="R60" s="171"/>
      <c r="S60" s="171"/>
      <c r="T60" s="171"/>
      <c r="U60" s="171"/>
      <c r="V60" s="171"/>
      <c r="W60" s="171"/>
      <c r="X60" s="171"/>
      <c r="Y60" s="171"/>
      <c r="Z60" s="171"/>
      <c r="AA60" s="171"/>
      <c r="AB60" s="171"/>
      <c r="AC60" s="171"/>
    </row>
    <row r="61" spans="8:29" x14ac:dyDescent="0.35">
      <c r="P61" s="174"/>
      <c r="Q61" s="176"/>
      <c r="R61" s="176"/>
      <c r="S61" s="176"/>
      <c r="T61" s="176"/>
      <c r="U61" s="176"/>
      <c r="V61" s="176"/>
      <c r="W61" s="176"/>
      <c r="X61" s="176"/>
      <c r="Y61" s="176"/>
      <c r="Z61" s="176"/>
      <c r="AA61" s="176"/>
      <c r="AB61" s="176"/>
      <c r="AC61" s="171"/>
    </row>
    <row r="62" spans="8:29" x14ac:dyDescent="0.35">
      <c r="P62" s="174"/>
      <c r="Q62" s="176"/>
      <c r="R62" s="176"/>
      <c r="S62" s="176"/>
      <c r="T62" s="176"/>
      <c r="U62" s="176"/>
      <c r="V62" s="176"/>
      <c r="W62" s="176"/>
      <c r="X62" s="176"/>
      <c r="Y62" s="176"/>
      <c r="Z62" s="176"/>
      <c r="AA62" s="176"/>
      <c r="AB62" s="176"/>
      <c r="AC62" s="171"/>
    </row>
    <row r="63" spans="8:29" x14ac:dyDescent="0.35">
      <c r="I63" s="171" t="s">
        <v>328</v>
      </c>
      <c r="J63" s="171" t="s">
        <v>329</v>
      </c>
      <c r="K63" s="171" t="s">
        <v>238</v>
      </c>
      <c r="L63" s="171" t="s">
        <v>327</v>
      </c>
      <c r="P63" s="181"/>
      <c r="Q63" s="176"/>
      <c r="R63" s="176"/>
      <c r="S63" s="176"/>
      <c r="T63" s="176"/>
      <c r="U63" s="176"/>
      <c r="V63" s="176"/>
      <c r="W63" s="176"/>
      <c r="X63" s="176"/>
      <c r="Y63" s="176"/>
      <c r="Z63" s="176"/>
      <c r="AA63" s="176"/>
      <c r="AB63" s="176"/>
      <c r="AC63" s="171"/>
    </row>
    <row r="64" spans="8:29" x14ac:dyDescent="0.35">
      <c r="H64" s="171" t="s">
        <v>874</v>
      </c>
      <c r="I64" s="171">
        <v>81.599999999999994</v>
      </c>
      <c r="J64" s="171">
        <v>188.9</v>
      </c>
      <c r="K64" s="171">
        <v>117.2</v>
      </c>
      <c r="L64" s="171" t="e">
        <f>#REF!+#REF!</f>
        <v>#REF!</v>
      </c>
      <c r="P64" s="171"/>
      <c r="Q64" s="171"/>
      <c r="R64" s="171"/>
      <c r="S64" s="171"/>
      <c r="T64" s="171"/>
      <c r="U64" s="171"/>
      <c r="V64" s="171"/>
      <c r="W64" s="171"/>
      <c r="X64" s="171"/>
      <c r="Y64" s="171"/>
      <c r="Z64" s="171"/>
      <c r="AA64" s="171"/>
      <c r="AB64" s="171"/>
      <c r="AC64" s="171"/>
    </row>
    <row r="65" spans="7:29" x14ac:dyDescent="0.35">
      <c r="H65" s="171" t="s">
        <v>520</v>
      </c>
      <c r="I65" s="212">
        <f>M53</f>
        <v>11.7</v>
      </c>
      <c r="J65" s="212">
        <f t="shared" ref="J65:K65" si="30">N53</f>
        <v>28.5</v>
      </c>
      <c r="K65" s="212">
        <f t="shared" si="30"/>
        <v>18.8</v>
      </c>
      <c r="L65" s="171" t="e">
        <f>#REF!</f>
        <v>#REF!</v>
      </c>
      <c r="P65" s="171"/>
      <c r="Q65" s="171"/>
      <c r="R65" s="171"/>
      <c r="S65" s="171"/>
      <c r="T65" s="171"/>
      <c r="U65" s="171"/>
      <c r="V65" s="171"/>
      <c r="W65" s="171"/>
      <c r="X65" s="171"/>
      <c r="Y65" s="171"/>
      <c r="Z65" s="171"/>
      <c r="AA65" s="171"/>
      <c r="AB65" s="171"/>
      <c r="AC65" s="171"/>
    </row>
    <row r="66" spans="7:29" x14ac:dyDescent="0.35">
      <c r="H66" s="171" t="s">
        <v>875</v>
      </c>
      <c r="I66" s="212">
        <f>I67-SUM(I64:I65)</f>
        <v>115.39999999999999</v>
      </c>
      <c r="J66" s="212">
        <f t="shared" ref="J66:K66" si="31">J67-SUM(J64:J65)</f>
        <v>252.29999999999998</v>
      </c>
      <c r="K66" s="212">
        <f t="shared" si="31"/>
        <v>159.5</v>
      </c>
      <c r="L66" s="212" t="e">
        <f>1.26*L64</f>
        <v>#REF!</v>
      </c>
      <c r="P66" s="171"/>
      <c r="Q66" s="171"/>
      <c r="R66" s="171"/>
      <c r="S66" s="171"/>
      <c r="T66" s="171"/>
      <c r="U66" s="171"/>
      <c r="V66" s="171"/>
      <c r="W66" s="171"/>
      <c r="X66" s="171"/>
      <c r="Y66" s="171"/>
      <c r="Z66" s="171"/>
      <c r="AA66" s="171"/>
      <c r="AB66" s="171"/>
      <c r="AC66" s="171"/>
    </row>
    <row r="67" spans="7:29" x14ac:dyDescent="0.35">
      <c r="H67" s="171" t="s">
        <v>359</v>
      </c>
      <c r="I67" s="212">
        <f>M55</f>
        <v>208.7</v>
      </c>
      <c r="J67" s="212">
        <f>N55</f>
        <v>469.7</v>
      </c>
      <c r="K67" s="212">
        <f>O55</f>
        <v>295.5</v>
      </c>
      <c r="L67" s="212" t="e">
        <f>SUM(L64:L66)</f>
        <v>#REF!</v>
      </c>
    </row>
    <row r="68" spans="7:29" x14ac:dyDescent="0.35">
      <c r="G68" s="171" t="s">
        <v>876</v>
      </c>
    </row>
    <row r="69" spans="7:29" x14ac:dyDescent="0.35">
      <c r="H69" s="171" t="s">
        <v>874</v>
      </c>
      <c r="I69" s="195">
        <f>I64/I$67</f>
        <v>0.39099185433636796</v>
      </c>
      <c r="J69" s="195">
        <f t="shared" ref="J69:L69" si="32">J64/J$67</f>
        <v>0.40217159889291038</v>
      </c>
      <c r="K69" s="195">
        <f t="shared" si="32"/>
        <v>0.3966159052453469</v>
      </c>
      <c r="L69" s="195" t="e">
        <f t="shared" si="32"/>
        <v>#REF!</v>
      </c>
    </row>
    <row r="70" spans="7:29" x14ac:dyDescent="0.35">
      <c r="H70" s="171" t="s">
        <v>520</v>
      </c>
      <c r="I70" s="195">
        <f t="shared" ref="I70:L71" si="33">I65/I$67</f>
        <v>5.6061332055582176E-2</v>
      </c>
      <c r="J70" s="195">
        <f t="shared" si="33"/>
        <v>6.0677027890142649E-2</v>
      </c>
      <c r="K70" s="195">
        <f t="shared" si="33"/>
        <v>6.3620981387478848E-2</v>
      </c>
      <c r="L70" s="195" t="e">
        <f t="shared" si="33"/>
        <v>#REF!</v>
      </c>
    </row>
    <row r="71" spans="7:29" x14ac:dyDescent="0.35">
      <c r="H71" s="171" t="s">
        <v>875</v>
      </c>
      <c r="I71" s="195">
        <f t="shared" si="33"/>
        <v>0.55294681360804987</v>
      </c>
      <c r="J71" s="195">
        <f t="shared" si="33"/>
        <v>0.53715137321694695</v>
      </c>
      <c r="K71" s="195">
        <f t="shared" si="33"/>
        <v>0.53976311336717431</v>
      </c>
      <c r="L71" s="195" t="e">
        <f t="shared" si="33"/>
        <v>#REF!</v>
      </c>
    </row>
    <row r="73" spans="7:29" x14ac:dyDescent="0.35">
      <c r="H73" s="171" t="s">
        <v>877</v>
      </c>
      <c r="I73" s="171">
        <f>I66/I64</f>
        <v>1.4142156862745099</v>
      </c>
      <c r="J73" s="171">
        <f t="shared" ref="J73:K73" si="34">J66/J64</f>
        <v>1.3356273160402328</v>
      </c>
      <c r="K73" s="17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G22" sqref="G22"/>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408" t="s">
        <v>152</v>
      </c>
      <c r="C1" s="1408"/>
      <c r="D1" s="1408"/>
      <c r="E1" s="1408"/>
      <c r="F1" s="1408"/>
      <c r="G1" s="1408"/>
      <c r="H1" s="1408"/>
      <c r="I1" s="1408"/>
      <c r="J1" s="1408"/>
      <c r="K1" s="1408"/>
      <c r="L1" s="1408"/>
      <c r="M1" s="1408"/>
      <c r="N1" s="1408"/>
      <c r="O1" s="1408"/>
      <c r="P1" s="1408"/>
      <c r="Q1" s="1408"/>
      <c r="R1" s="1408"/>
      <c r="S1" s="1408"/>
      <c r="T1" s="1408"/>
    </row>
    <row r="2" spans="1:22" x14ac:dyDescent="0.35">
      <c r="B2" s="1559" t="s">
        <v>917</v>
      </c>
      <c r="C2" s="1559"/>
      <c r="D2" s="1559"/>
      <c r="E2" s="1559"/>
      <c r="F2" s="1559"/>
      <c r="G2" s="1559"/>
      <c r="H2" s="1559"/>
      <c r="I2" s="1559"/>
      <c r="J2" s="1559"/>
      <c r="K2" s="1559"/>
      <c r="L2" s="1559"/>
      <c r="M2" s="1559"/>
      <c r="N2" s="1559"/>
      <c r="O2" s="1559"/>
      <c r="P2" s="1559"/>
      <c r="Q2" s="1559"/>
      <c r="R2" s="1559"/>
      <c r="S2" s="1559"/>
      <c r="T2" s="1559"/>
    </row>
    <row r="3" spans="1:22" x14ac:dyDescent="0.35">
      <c r="B3" s="1559"/>
      <c r="C3" s="1559"/>
      <c r="D3" s="1559"/>
      <c r="E3" s="1559"/>
      <c r="F3" s="1559"/>
      <c r="G3" s="1559"/>
      <c r="H3" s="1559"/>
      <c r="I3" s="1559"/>
      <c r="J3" s="1559"/>
      <c r="K3" s="1559"/>
      <c r="L3" s="1559"/>
      <c r="M3" s="1559"/>
      <c r="N3" s="1559"/>
      <c r="O3" s="1559"/>
      <c r="P3" s="1559"/>
      <c r="Q3" s="1559"/>
      <c r="R3" s="1559"/>
      <c r="S3" s="1559"/>
      <c r="T3" s="1559"/>
    </row>
    <row r="4" spans="1:22" x14ac:dyDescent="0.35">
      <c r="B4" s="1559"/>
      <c r="C4" s="1559"/>
      <c r="D4" s="1559"/>
      <c r="E4" s="1559"/>
      <c r="F4" s="1559"/>
      <c r="G4" s="1559"/>
      <c r="H4" s="1559"/>
      <c r="I4" s="1559"/>
      <c r="J4" s="1559"/>
      <c r="K4" s="1559"/>
      <c r="L4" s="1559"/>
      <c r="M4" s="1559"/>
      <c r="N4" s="1559"/>
      <c r="O4" s="1559"/>
      <c r="P4" s="1559"/>
      <c r="Q4" s="1559"/>
      <c r="R4" s="1559"/>
      <c r="S4" s="1559"/>
      <c r="T4" s="1559"/>
    </row>
    <row r="5" spans="1:22" x14ac:dyDescent="0.35">
      <c r="B5" s="1559"/>
      <c r="C5" s="1559"/>
      <c r="D5" s="1559"/>
      <c r="E5" s="1559"/>
      <c r="F5" s="1559"/>
      <c r="G5" s="1559"/>
      <c r="H5" s="1559"/>
      <c r="I5" s="1559"/>
      <c r="J5" s="1559"/>
      <c r="K5" s="1559"/>
      <c r="L5" s="1559"/>
      <c r="M5" s="1559"/>
      <c r="N5" s="1559"/>
      <c r="O5" s="1559"/>
      <c r="P5" s="1559"/>
      <c r="Q5" s="1559"/>
      <c r="R5" s="1559"/>
      <c r="S5" s="1559"/>
      <c r="T5" s="1559"/>
    </row>
    <row r="6" spans="1:22" x14ac:dyDescent="0.35">
      <c r="B6" s="1559"/>
      <c r="C6" s="1559"/>
      <c r="D6" s="1559"/>
      <c r="E6" s="1559"/>
      <c r="F6" s="1559"/>
      <c r="G6" s="1559"/>
      <c r="H6" s="1559"/>
      <c r="I6" s="1559"/>
      <c r="J6" s="1559"/>
      <c r="K6" s="1559"/>
      <c r="L6" s="1559"/>
      <c r="M6" s="1559"/>
      <c r="N6" s="1559"/>
      <c r="O6" s="1559"/>
      <c r="P6" s="1559"/>
      <c r="Q6" s="1559"/>
      <c r="R6" s="1559"/>
      <c r="S6" s="1559"/>
      <c r="T6" s="1559"/>
    </row>
    <row r="7" spans="1:22" x14ac:dyDescent="0.35">
      <c r="J7" s="158"/>
      <c r="K7" s="158"/>
      <c r="M7" s="158"/>
    </row>
    <row r="9" spans="1:22" ht="14.9" customHeight="1" x14ac:dyDescent="0.35">
      <c r="A9" s="83"/>
      <c r="B9" s="1560" t="s">
        <v>351</v>
      </c>
      <c r="C9" s="1561"/>
      <c r="D9" s="232">
        <v>2018</v>
      </c>
      <c r="E9" s="1566">
        <v>2019</v>
      </c>
      <c r="F9" s="1567"/>
      <c r="G9" s="1567"/>
      <c r="H9" s="1568"/>
      <c r="I9" s="1564">
        <v>2020</v>
      </c>
      <c r="J9" s="1565"/>
      <c r="K9" s="1565"/>
      <c r="L9" s="1565"/>
      <c r="M9" s="1569">
        <v>2021</v>
      </c>
      <c r="N9" s="1570"/>
      <c r="O9" s="1570"/>
      <c r="P9" s="1571"/>
      <c r="Q9" s="1564">
        <v>2022</v>
      </c>
      <c r="R9" s="1572"/>
      <c r="S9" s="1572"/>
      <c r="T9" s="1573"/>
    </row>
    <row r="10" spans="1:22" x14ac:dyDescent="0.35">
      <c r="B10" s="1562"/>
      <c r="C10" s="1563"/>
      <c r="D10" s="236" t="s">
        <v>327</v>
      </c>
      <c r="E10" s="237" t="s">
        <v>328</v>
      </c>
      <c r="F10" s="132" t="s">
        <v>329</v>
      </c>
      <c r="G10" s="132" t="s">
        <v>238</v>
      </c>
      <c r="H10" s="238" t="s">
        <v>327</v>
      </c>
      <c r="I10" s="237" t="s">
        <v>328</v>
      </c>
      <c r="J10" s="132" t="s">
        <v>329</v>
      </c>
      <c r="K10" s="132" t="s">
        <v>238</v>
      </c>
      <c r="L10" s="132" t="s">
        <v>327</v>
      </c>
      <c r="M10" s="137" t="s">
        <v>328</v>
      </c>
      <c r="N10" s="150" t="s">
        <v>329</v>
      </c>
      <c r="O10" s="150" t="s">
        <v>238</v>
      </c>
      <c r="P10" s="226" t="s">
        <v>327</v>
      </c>
      <c r="Q10" s="132" t="s">
        <v>328</v>
      </c>
      <c r="R10" s="132" t="s">
        <v>329</v>
      </c>
      <c r="S10" s="132" t="s">
        <v>238</v>
      </c>
      <c r="T10" s="238" t="s">
        <v>327</v>
      </c>
    </row>
    <row r="11" spans="1:22" ht="29.15" customHeight="1" x14ac:dyDescent="0.35">
      <c r="A11" s="230"/>
      <c r="B11" s="240" t="s">
        <v>139</v>
      </c>
      <c r="C11" s="235" t="s">
        <v>352</v>
      </c>
      <c r="D11" s="221"/>
      <c r="E11" s="222"/>
      <c r="F11" s="222"/>
      <c r="G11" s="222"/>
      <c r="H11" s="222"/>
      <c r="I11" s="222"/>
      <c r="J11" s="213">
        <f>'Haver Pivoted'!GU48</f>
        <v>160.9</v>
      </c>
      <c r="K11" s="213">
        <f>'Haver Pivoted'!GV48</f>
        <v>58.4</v>
      </c>
      <c r="L11" s="213">
        <f>'Haver Pivoted'!GW48</f>
        <v>34.5</v>
      </c>
      <c r="M11" s="213">
        <f>'Haver Pivoted'!GX48</f>
        <v>21.4</v>
      </c>
      <c r="N11" s="213">
        <f>'Haver Pivoted'!GY48</f>
        <v>13.3</v>
      </c>
      <c r="O11" s="213">
        <f>'Haver Pivoted'!GZ48</f>
        <v>18.7</v>
      </c>
      <c r="P11" s="213">
        <f>'Haver Pivoted'!HA48</f>
        <v>32.200000000000003</v>
      </c>
      <c r="Q11" s="213">
        <f>'Haver Pivoted'!HB48</f>
        <v>26.9</v>
      </c>
      <c r="R11" s="213">
        <f>'Haver Pivoted'!HC48</f>
        <v>20</v>
      </c>
      <c r="S11" s="219">
        <f>'Haver Pivoted'!HD48</f>
        <v>8.1</v>
      </c>
      <c r="T11" s="214">
        <f>'Haver Pivoted'!HE48</f>
        <v>4.9000000000000004</v>
      </c>
    </row>
    <row r="12" spans="1:22" ht="29.15" customHeight="1" x14ac:dyDescent="0.35">
      <c r="A12" s="230"/>
      <c r="B12" s="228" t="s">
        <v>353</v>
      </c>
      <c r="C12" s="220" t="s">
        <v>354</v>
      </c>
      <c r="D12" s="228"/>
      <c r="E12" s="220"/>
      <c r="F12" s="220"/>
      <c r="G12" s="220"/>
      <c r="H12" s="220"/>
      <c r="I12" s="220"/>
      <c r="J12" s="215">
        <f>'Haver Pivoted'!GU58</f>
        <v>64.400000000000006</v>
      </c>
      <c r="K12" s="215">
        <f>'Haver Pivoted'!GV58</f>
        <v>23.4</v>
      </c>
      <c r="L12" s="215">
        <f>'Haver Pivoted'!GW58</f>
        <v>13.8</v>
      </c>
      <c r="M12" s="215">
        <f>'Haver Pivoted'!GX58</f>
        <v>12</v>
      </c>
      <c r="N12" s="215">
        <f>'Haver Pivoted'!GY58</f>
        <v>7.5</v>
      </c>
      <c r="O12" s="215">
        <f>'Haver Pivoted'!GZ58</f>
        <v>10.5</v>
      </c>
      <c r="P12" s="215">
        <f>'Haver Pivoted'!HA58</f>
        <v>18</v>
      </c>
      <c r="Q12" s="215">
        <f>'Haver Pivoted'!HB58</f>
        <v>15</v>
      </c>
      <c r="R12" s="215">
        <f>'Haver Pivoted'!HC58</f>
        <v>11.2</v>
      </c>
      <c r="S12" s="218">
        <f>'Haver Pivoted'!HD58</f>
        <v>7.5</v>
      </c>
      <c r="T12" s="223">
        <f>'Haver Pivoted'!HE58</f>
        <v>6.2</v>
      </c>
    </row>
    <row r="13" spans="1:22" ht="47.15" customHeight="1" x14ac:dyDescent="0.35">
      <c r="A13" s="230"/>
      <c r="B13" s="228" t="s">
        <v>355</v>
      </c>
      <c r="C13" s="220" t="s">
        <v>356</v>
      </c>
      <c r="D13" s="228"/>
      <c r="E13" s="220"/>
      <c r="F13" s="220"/>
      <c r="G13" s="220"/>
      <c r="H13" s="220"/>
      <c r="I13" s="220"/>
      <c r="J13" s="215">
        <f>'Haver Pivoted'!GU54</f>
        <v>96.6</v>
      </c>
      <c r="K13" s="215">
        <f>'Haver Pivoted'!GV54</f>
        <v>35.1</v>
      </c>
      <c r="L13" s="215">
        <f>'Haver Pivoted'!GW54</f>
        <v>20.7</v>
      </c>
      <c r="M13" s="215">
        <f>'Haver Pivoted'!GX54</f>
        <v>15.4</v>
      </c>
      <c r="N13" s="215">
        <f>'Haver Pivoted'!GY54</f>
        <v>9.6</v>
      </c>
      <c r="O13" s="215">
        <f>'Haver Pivoted'!GZ54</f>
        <v>13.5</v>
      </c>
      <c r="P13" s="215">
        <f>'Haver Pivoted'!HA54</f>
        <v>23.2</v>
      </c>
      <c r="Q13" s="215">
        <f>'Haver Pivoted'!HB54</f>
        <v>19.3</v>
      </c>
      <c r="R13" s="215">
        <f>'Haver Pivoted'!HC54</f>
        <v>14.4</v>
      </c>
      <c r="S13" s="218">
        <f>'Haver Pivoted'!HD54</f>
        <v>5.9</v>
      </c>
      <c r="T13" s="223">
        <f>'Haver Pivoted'!HE54</f>
        <v>3.6</v>
      </c>
      <c r="U13" s="216" t="s">
        <v>357</v>
      </c>
      <c r="V13" s="233" t="s">
        <v>358</v>
      </c>
    </row>
    <row r="14" spans="1:22" x14ac:dyDescent="0.35">
      <c r="B14" s="54" t="s">
        <v>359</v>
      </c>
      <c r="C14" s="56"/>
      <c r="D14" s="54"/>
      <c r="E14" s="56"/>
      <c r="F14" s="56"/>
      <c r="G14" s="56"/>
      <c r="H14" s="56"/>
      <c r="I14" s="56"/>
      <c r="J14" s="215">
        <f t="shared" ref="J14:T14" si="0">J13+J12+J11</f>
        <v>321.89999999999998</v>
      </c>
      <c r="K14" s="215">
        <f t="shared" si="0"/>
        <v>116.9</v>
      </c>
      <c r="L14" s="215">
        <f t="shared" si="0"/>
        <v>69</v>
      </c>
      <c r="M14" s="215">
        <f t="shared" si="0"/>
        <v>48.8</v>
      </c>
      <c r="N14" s="215">
        <f t="shared" si="0"/>
        <v>30.400000000000002</v>
      </c>
      <c r="O14" s="215">
        <f t="shared" si="0"/>
        <v>42.7</v>
      </c>
      <c r="P14" s="215">
        <f t="shared" si="0"/>
        <v>73.400000000000006</v>
      </c>
      <c r="Q14" s="215">
        <f t="shared" si="0"/>
        <v>61.199999999999996</v>
      </c>
      <c r="R14" s="215">
        <f t="shared" si="0"/>
        <v>45.6</v>
      </c>
      <c r="S14" s="218">
        <f t="shared" si="0"/>
        <v>21.5</v>
      </c>
      <c r="T14" s="223">
        <f t="shared" si="0"/>
        <v>14.700000000000001</v>
      </c>
      <c r="U14" s="217">
        <v>236</v>
      </c>
      <c r="V14" s="239">
        <f>SUM(J14:S14)/4</f>
        <v>207.85</v>
      </c>
    </row>
    <row r="15" spans="1:22" x14ac:dyDescent="0.35">
      <c r="B15" s="229" t="s">
        <v>360</v>
      </c>
      <c r="C15" s="58"/>
      <c r="D15" s="229"/>
      <c r="E15" s="58"/>
      <c r="F15" s="58"/>
      <c r="G15" s="58"/>
      <c r="H15" s="58"/>
      <c r="I15" s="58"/>
      <c r="J15" s="83">
        <f t="shared" ref="J15:N17" si="1">J11/J$14</f>
        <v>0.49984467225846541</v>
      </c>
      <c r="K15" s="83">
        <f t="shared" si="1"/>
        <v>0.49957228400342168</v>
      </c>
      <c r="L15" s="83">
        <f t="shared" si="1"/>
        <v>0.5</v>
      </c>
      <c r="M15" s="83">
        <f t="shared" si="1"/>
        <v>0.43852459016393441</v>
      </c>
      <c r="N15" s="83">
        <f t="shared" si="1"/>
        <v>0.4375</v>
      </c>
      <c r="O15" s="83">
        <f>O11/O$14</f>
        <v>0.43793911007025754</v>
      </c>
      <c r="P15" s="83">
        <f t="shared" ref="P15:T15" si="2">P11/P$14</f>
        <v>0.43869209809264303</v>
      </c>
      <c r="Q15" s="83">
        <f t="shared" si="2"/>
        <v>0.43954248366013071</v>
      </c>
      <c r="R15" s="83">
        <f t="shared" si="2"/>
        <v>0.43859649122807015</v>
      </c>
      <c r="S15" s="132">
        <f t="shared" si="2"/>
        <v>0.37674418604651161</v>
      </c>
      <c r="T15" s="238">
        <f t="shared" si="2"/>
        <v>0.33333333333333331</v>
      </c>
    </row>
    <row r="16" spans="1:22" x14ac:dyDescent="0.35">
      <c r="B16" s="229" t="s">
        <v>361</v>
      </c>
      <c r="C16" s="58"/>
      <c r="D16" s="229"/>
      <c r="E16" s="58"/>
      <c r="F16" s="58"/>
      <c r="G16" s="58"/>
      <c r="H16" s="58"/>
      <c r="I16" s="58"/>
      <c r="J16" s="83">
        <f t="shared" si="1"/>
        <v>0.20006213109661389</v>
      </c>
      <c r="K16" s="83">
        <f t="shared" si="1"/>
        <v>0.20017108639863129</v>
      </c>
      <c r="L16" s="83">
        <f t="shared" si="1"/>
        <v>0.2</v>
      </c>
      <c r="M16" s="83">
        <f t="shared" si="1"/>
        <v>0.24590163934426232</v>
      </c>
      <c r="N16" s="83">
        <f t="shared" si="1"/>
        <v>0.24671052631578946</v>
      </c>
      <c r="O16" s="83">
        <f t="shared" ref="O16:T16" si="3">O12/O$14</f>
        <v>0.24590163934426229</v>
      </c>
      <c r="P16" s="83">
        <f t="shared" si="3"/>
        <v>0.24523160762942778</v>
      </c>
      <c r="Q16" s="83">
        <f t="shared" si="3"/>
        <v>0.24509803921568629</v>
      </c>
      <c r="R16" s="83">
        <f t="shared" si="3"/>
        <v>0.24561403508771928</v>
      </c>
      <c r="S16" s="132">
        <f t="shared" si="3"/>
        <v>0.34883720930232559</v>
      </c>
      <c r="T16" s="238">
        <f t="shared" si="3"/>
        <v>0.42176870748299317</v>
      </c>
      <c r="U16" s="225"/>
    </row>
    <row r="17" spans="2:21" x14ac:dyDescent="0.35">
      <c r="B17" s="231" t="s">
        <v>362</v>
      </c>
      <c r="C17" s="234"/>
      <c r="D17" s="231"/>
      <c r="E17" s="234"/>
      <c r="F17" s="234"/>
      <c r="G17" s="234"/>
      <c r="H17" s="234"/>
      <c r="I17" s="234"/>
      <c r="J17" s="227">
        <f t="shared" si="1"/>
        <v>0.30009319664492079</v>
      </c>
      <c r="K17" s="227">
        <f t="shared" si="1"/>
        <v>0.30025662959794697</v>
      </c>
      <c r="L17" s="227">
        <f t="shared" si="1"/>
        <v>0.3</v>
      </c>
      <c r="M17" s="227">
        <f t="shared" si="1"/>
        <v>0.3155737704918033</v>
      </c>
      <c r="N17" s="227">
        <f t="shared" si="1"/>
        <v>0.31578947368421051</v>
      </c>
      <c r="O17" s="227">
        <f t="shared" ref="O17:T17" si="4">O13/O$14</f>
        <v>0.31615925058548006</v>
      </c>
      <c r="P17" s="227">
        <f t="shared" si="4"/>
        <v>0.3160762942779291</v>
      </c>
      <c r="Q17" s="227">
        <f t="shared" si="4"/>
        <v>0.31535947712418305</v>
      </c>
      <c r="R17" s="227">
        <f t="shared" si="4"/>
        <v>0.31578947368421051</v>
      </c>
      <c r="S17" s="241">
        <f t="shared" si="4"/>
        <v>0.2744186046511628</v>
      </c>
      <c r="T17" s="224">
        <f t="shared" si="4"/>
        <v>0.24489795918367346</v>
      </c>
    </row>
    <row r="18" spans="2:21" x14ac:dyDescent="0.35">
      <c r="B18" s="58"/>
      <c r="C18" s="58"/>
      <c r="D18" s="58"/>
      <c r="E18" s="58"/>
      <c r="F18" s="58"/>
      <c r="G18" s="58"/>
      <c r="H18" s="58"/>
      <c r="I18" s="58"/>
      <c r="J18" s="83"/>
      <c r="K18" s="83"/>
      <c r="L18" s="83"/>
      <c r="M18" s="83"/>
      <c r="N18" s="83"/>
      <c r="O18" s="8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E24" sqref="E24"/>
    </sheetView>
  </sheetViews>
  <sheetFormatPr defaultColWidth="11.453125" defaultRowHeight="14.5" x14ac:dyDescent="0.35"/>
  <cols>
    <col min="1" max="1" width="6" customWidth="1"/>
    <col min="2" max="2" width="29.453125" customWidth="1"/>
    <col min="3" max="7" width="10.453125" customWidth="1"/>
  </cols>
  <sheetData>
    <row r="1" spans="1:29" x14ac:dyDescent="0.35">
      <c r="B1" s="1433" t="s">
        <v>56</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1:29" ht="14.9" customHeight="1" x14ac:dyDescent="0.35">
      <c r="B2" s="1434" t="s">
        <v>508</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row>
    <row r="3" spans="1:29"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row>
    <row r="4" spans="1:29"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row>
    <row r="5" spans="1:29" x14ac:dyDescent="0.35">
      <c r="B5" s="377"/>
      <c r="C5" s="171"/>
      <c r="D5" s="171"/>
      <c r="E5" s="171"/>
      <c r="F5" s="171"/>
      <c r="G5" s="171"/>
      <c r="H5" s="171"/>
      <c r="I5" s="171"/>
      <c r="J5" s="171"/>
      <c r="K5" s="171"/>
      <c r="L5" s="171"/>
      <c r="M5" s="171"/>
      <c r="N5" s="171"/>
      <c r="O5" s="171"/>
      <c r="P5" s="171"/>
      <c r="Q5" s="171"/>
      <c r="R5" s="171"/>
      <c r="S5" s="171"/>
      <c r="T5" s="171"/>
      <c r="U5" s="171"/>
      <c r="V5" s="171"/>
      <c r="W5" s="171"/>
      <c r="X5" s="171"/>
      <c r="Y5" s="171"/>
    </row>
    <row r="6" spans="1:29" x14ac:dyDescent="0.35">
      <c r="B6" s="1437" t="s">
        <v>453</v>
      </c>
      <c r="C6" s="1438"/>
      <c r="D6" s="1447" t="s">
        <v>325</v>
      </c>
      <c r="E6" s="1448"/>
      <c r="F6" s="1448"/>
      <c r="G6" s="1448"/>
      <c r="H6" s="1448"/>
      <c r="I6" s="1448"/>
      <c r="J6" s="1448"/>
      <c r="K6" s="1448"/>
      <c r="L6" s="1448"/>
      <c r="M6" s="1448"/>
      <c r="N6" s="1448"/>
      <c r="O6" s="1448"/>
      <c r="P6" s="1448"/>
      <c r="Q6" s="1456"/>
      <c r="R6" s="1456"/>
      <c r="S6" s="1456"/>
      <c r="T6" s="1438"/>
      <c r="U6" s="1451" t="s">
        <v>326</v>
      </c>
      <c r="V6" s="1451"/>
      <c r="W6" s="1451"/>
      <c r="X6" s="1451"/>
      <c r="Y6" s="1451"/>
      <c r="Z6" s="1451"/>
      <c r="AA6" s="1451"/>
      <c r="AB6" s="1451"/>
      <c r="AC6" s="1452"/>
    </row>
    <row r="7" spans="1:29" x14ac:dyDescent="0.35">
      <c r="B7" s="1439"/>
      <c r="C7" s="1440"/>
      <c r="D7" s="133">
        <v>2018</v>
      </c>
      <c r="E7" s="1418">
        <v>2019</v>
      </c>
      <c r="F7" s="1435"/>
      <c r="G7" s="1435"/>
      <c r="H7" s="1436"/>
      <c r="I7" s="1418">
        <v>2020</v>
      </c>
      <c r="J7" s="1435"/>
      <c r="K7" s="1435"/>
      <c r="L7" s="1435"/>
      <c r="M7" s="1418">
        <v>2021</v>
      </c>
      <c r="N7" s="1435"/>
      <c r="O7" s="1435"/>
      <c r="P7" s="1435"/>
      <c r="Q7" s="1418">
        <v>2022</v>
      </c>
      <c r="R7" s="1419"/>
      <c r="S7" s="1419"/>
      <c r="T7" s="1436"/>
      <c r="U7" s="1441">
        <v>2023</v>
      </c>
      <c r="V7" s="1442"/>
      <c r="W7" s="1442"/>
      <c r="X7" s="1442"/>
      <c r="Y7" s="1444">
        <v>2024</v>
      </c>
      <c r="Z7" s="1442"/>
      <c r="AA7" s="1442"/>
      <c r="AB7" s="1443"/>
      <c r="AC7" s="274">
        <v>2025</v>
      </c>
    </row>
    <row r="8" spans="1:29" x14ac:dyDescent="0.35">
      <c r="B8" s="1454"/>
      <c r="C8" s="1455"/>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0" t="s">
        <v>328</v>
      </c>
      <c r="V8" s="310" t="s">
        <v>329</v>
      </c>
      <c r="W8" s="310" t="s">
        <v>238</v>
      </c>
      <c r="X8" s="310" t="s">
        <v>327</v>
      </c>
      <c r="Y8" s="379" t="s">
        <v>328</v>
      </c>
      <c r="Z8" s="267" t="s">
        <v>329</v>
      </c>
      <c r="AA8" s="310" t="s">
        <v>238</v>
      </c>
      <c r="AB8" s="155" t="s">
        <v>327</v>
      </c>
      <c r="AC8" s="404" t="s">
        <v>328</v>
      </c>
    </row>
    <row r="9" spans="1:29" x14ac:dyDescent="0.35">
      <c r="B9" s="543" t="s">
        <v>56</v>
      </c>
      <c r="C9" s="455" t="s">
        <v>509</v>
      </c>
      <c r="D9" s="543"/>
      <c r="E9" s="598"/>
      <c r="F9" s="598"/>
      <c r="G9" s="598"/>
      <c r="H9" s="598"/>
      <c r="I9" s="598"/>
      <c r="J9" s="264">
        <f>'Haver Pivoted'!GU45</f>
        <v>1078.0999999999999</v>
      </c>
      <c r="K9" s="264">
        <f>'Haver Pivoted'!GV45</f>
        <v>15.6</v>
      </c>
      <c r="L9" s="264">
        <f>'Haver Pivoted'!GW45</f>
        <v>5</v>
      </c>
      <c r="M9" s="264">
        <f>'Haver Pivoted'!GX45</f>
        <v>1933.7</v>
      </c>
      <c r="N9" s="264">
        <f>'Haver Pivoted'!GY45</f>
        <v>290.10000000000002</v>
      </c>
      <c r="O9" s="264">
        <f>'Haver Pivoted'!GZ45</f>
        <v>38.9</v>
      </c>
      <c r="P9" s="264">
        <f>'Haver Pivoted'!HA45</f>
        <v>14.2</v>
      </c>
      <c r="Q9" s="264">
        <f>'Haver Pivoted'!HB45</f>
        <v>0</v>
      </c>
      <c r="R9" s="264">
        <f>'Haver Pivoted'!HC45</f>
        <v>0</v>
      </c>
      <c r="S9" s="134">
        <f>'Haver Pivoted'!HD45</f>
        <v>0</v>
      </c>
      <c r="T9" s="163">
        <f>'Haver Pivoted'!HE45</f>
        <v>0</v>
      </c>
      <c r="U9" s="252"/>
      <c r="V9" s="252"/>
      <c r="W9" s="252"/>
      <c r="X9" s="252"/>
      <c r="Y9" s="252"/>
      <c r="Z9" s="252"/>
      <c r="AA9" s="252"/>
      <c r="AB9" s="252"/>
      <c r="AC9" s="253"/>
    </row>
    <row r="10" spans="1:29" x14ac:dyDescent="0.35">
      <c r="B10" s="544" t="s">
        <v>214</v>
      </c>
      <c r="C10" s="273"/>
      <c r="D10" s="544"/>
      <c r="E10" s="273"/>
      <c r="F10" s="273"/>
      <c r="G10" s="273"/>
      <c r="H10" s="273"/>
      <c r="I10" s="273"/>
      <c r="J10" s="596"/>
      <c r="K10" s="596"/>
      <c r="L10" s="596"/>
      <c r="M10" s="596">
        <f t="shared" ref="M10:T10" si="0">M9-M11</f>
        <v>1348.1</v>
      </c>
      <c r="N10" s="596">
        <f t="shared" si="0"/>
        <v>290.10000000000002</v>
      </c>
      <c r="O10" s="596">
        <f t="shared" si="0"/>
        <v>38.9</v>
      </c>
      <c r="P10" s="596">
        <f t="shared" si="0"/>
        <v>14.2</v>
      </c>
      <c r="Q10" s="596">
        <f t="shared" si="0"/>
        <v>0</v>
      </c>
      <c r="R10" s="596">
        <f t="shared" si="0"/>
        <v>0</v>
      </c>
      <c r="S10" s="597">
        <f t="shared" si="0"/>
        <v>0</v>
      </c>
      <c r="T10" s="599">
        <f t="shared" si="0"/>
        <v>0</v>
      </c>
      <c r="U10" s="602"/>
      <c r="V10" s="602"/>
      <c r="W10" s="602"/>
      <c r="X10" s="602"/>
      <c r="Y10" s="602"/>
      <c r="Z10" s="602"/>
      <c r="AA10" s="602"/>
      <c r="AB10" s="602"/>
      <c r="AC10" s="611"/>
    </row>
    <row r="11" spans="1:29" x14ac:dyDescent="0.35">
      <c r="B11" s="500" t="s">
        <v>510</v>
      </c>
      <c r="C11" s="501"/>
      <c r="D11" s="500"/>
      <c r="E11" s="501"/>
      <c r="F11" s="501"/>
      <c r="G11" s="501"/>
      <c r="H11" s="501"/>
      <c r="I11" s="501"/>
      <c r="J11" s="610">
        <f t="shared" ref="J11:L11" si="1">J9-J10</f>
        <v>1078.0999999999999</v>
      </c>
      <c r="K11" s="610">
        <f t="shared" si="1"/>
        <v>15.6</v>
      </c>
      <c r="L11" s="610">
        <f t="shared" si="1"/>
        <v>5</v>
      </c>
      <c r="M11" s="610">
        <f>SUM(C17:D17)/12*4</f>
        <v>585.6</v>
      </c>
      <c r="N11" s="610">
        <v>0</v>
      </c>
      <c r="O11" s="610">
        <v>0</v>
      </c>
      <c r="P11" s="610">
        <v>0</v>
      </c>
      <c r="Q11" s="610">
        <v>0</v>
      </c>
      <c r="R11" s="610">
        <v>0</v>
      </c>
      <c r="S11" s="610">
        <v>0</v>
      </c>
      <c r="T11" s="600"/>
      <c r="U11" s="603"/>
      <c r="V11" s="603"/>
      <c r="W11" s="603"/>
      <c r="X11" s="603"/>
      <c r="Y11" s="603"/>
      <c r="Z11" s="603"/>
      <c r="AA11" s="603"/>
      <c r="AB11" s="603"/>
      <c r="AC11" s="604"/>
    </row>
    <row r="12" spans="1:29" x14ac:dyDescent="0.3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3" spans="1:29" x14ac:dyDescent="0.35">
      <c r="A13" s="76"/>
      <c r="B13" s="76"/>
      <c r="C13" s="76"/>
      <c r="D13" s="76"/>
      <c r="E13" s="76"/>
      <c r="F13" s="76"/>
      <c r="G13" s="76"/>
      <c r="H13" s="76"/>
      <c r="I13" s="76"/>
      <c r="J13" s="76"/>
      <c r="K13" s="76"/>
      <c r="L13" s="97"/>
      <c r="M13" s="97"/>
      <c r="N13" s="97"/>
    </row>
    <row r="14" spans="1:29" x14ac:dyDescent="0.35">
      <c r="A14" s="76"/>
      <c r="N14" s="35"/>
    </row>
    <row r="15" spans="1:29" x14ac:dyDescent="0.35">
      <c r="A15" s="83"/>
      <c r="B15" s="1574" t="s">
        <v>511</v>
      </c>
      <c r="C15" s="1564">
        <v>2021</v>
      </c>
      <c r="D15" s="1565"/>
      <c r="E15" s="1565"/>
      <c r="F15" s="1565"/>
      <c r="G15" s="47"/>
      <c r="K15" s="1576"/>
      <c r="L15" s="1576"/>
      <c r="M15" s="35"/>
      <c r="N15" s="35"/>
    </row>
    <row r="16" spans="1:29" x14ac:dyDescent="0.35">
      <c r="B16" s="1575"/>
      <c r="C16" s="607" t="s">
        <v>234</v>
      </c>
      <c r="D16" s="241" t="s">
        <v>235</v>
      </c>
      <c r="E16" s="241" t="s">
        <v>236</v>
      </c>
      <c r="F16" s="241" t="s">
        <v>237</v>
      </c>
      <c r="G16" s="601"/>
      <c r="H16" s="83"/>
      <c r="I16" s="83"/>
      <c r="J16" s="83"/>
      <c r="K16" s="83"/>
      <c r="L16" s="83"/>
      <c r="M16" s="83"/>
      <c r="N16" s="83"/>
    </row>
    <row r="17" spans="2:29" ht="16.399999999999999" customHeight="1" x14ac:dyDescent="0.35">
      <c r="B17" s="606" t="s">
        <v>512</v>
      </c>
      <c r="C17" s="608">
        <v>1660.9</v>
      </c>
      <c r="D17" s="608">
        <v>95.9</v>
      </c>
      <c r="E17" s="608">
        <v>4044.2</v>
      </c>
      <c r="F17" s="609">
        <v>688</v>
      </c>
      <c r="G17" s="605"/>
      <c r="H17" s="605"/>
      <c r="I17" s="605"/>
      <c r="J17" s="605"/>
      <c r="K17" s="605"/>
      <c r="L17" s="605"/>
      <c r="M17" s="171"/>
      <c r="N17" s="171"/>
    </row>
    <row r="18" spans="2:29" x14ac:dyDescent="0.35">
      <c r="B18" s="178" t="s">
        <v>513</v>
      </c>
      <c r="C18" s="171"/>
      <c r="D18" s="171"/>
      <c r="E18" s="171"/>
      <c r="F18" s="171"/>
      <c r="G18" s="171"/>
      <c r="H18" s="171"/>
      <c r="I18" s="171"/>
      <c r="J18" s="171"/>
      <c r="K18" s="171"/>
      <c r="L18" s="171"/>
      <c r="M18" s="171"/>
      <c r="N18" s="171"/>
    </row>
    <row r="19" spans="2:29" x14ac:dyDescent="0.35">
      <c r="B19" s="171"/>
      <c r="C19" s="171"/>
      <c r="D19" s="171"/>
      <c r="E19" s="171"/>
      <c r="F19" s="171"/>
      <c r="G19" s="171"/>
      <c r="H19" s="171"/>
      <c r="I19" s="171"/>
      <c r="J19" s="171"/>
      <c r="K19" s="171"/>
      <c r="L19" s="171"/>
      <c r="M19" s="171"/>
      <c r="N19" s="171"/>
    </row>
    <row r="20" spans="2:29" x14ac:dyDescent="0.35">
      <c r="B20" s="178"/>
      <c r="C20" s="171"/>
      <c r="D20" s="171"/>
      <c r="E20" s="171"/>
      <c r="F20" s="171"/>
      <c r="G20" s="171"/>
      <c r="H20" s="171"/>
      <c r="I20" s="171"/>
      <c r="J20" s="171"/>
      <c r="K20" s="171"/>
      <c r="L20" s="171"/>
      <c r="M20" s="171"/>
      <c r="N20" s="171"/>
    </row>
    <row r="21" spans="2:29" x14ac:dyDescent="0.35">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35"/>
      <c r="AA21" s="35"/>
      <c r="AB21" s="35"/>
      <c r="AC21" s="35"/>
    </row>
    <row r="22" spans="2:29" x14ac:dyDescent="0.35">
      <c r="B22" s="76"/>
      <c r="C22" s="76"/>
      <c r="D22" s="76"/>
      <c r="E22" s="76"/>
      <c r="F22" s="76"/>
      <c r="G22" s="76"/>
      <c r="H22" s="76"/>
      <c r="I22" s="76"/>
      <c r="J22" s="76"/>
      <c r="K22" s="76"/>
      <c r="L22" s="97"/>
      <c r="M22" s="97"/>
      <c r="N22" s="97"/>
    </row>
    <row r="23" spans="2:29" x14ac:dyDescent="0.35">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row>
    <row r="24" spans="2:29" x14ac:dyDescent="0.35">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row>
    <row r="25" spans="2:29" x14ac:dyDescent="0.35">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row>
    <row r="26" spans="2:29" x14ac:dyDescent="0.35">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row>
    <row r="27" spans="2:29" x14ac:dyDescent="0.35">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row>
    <row r="28" spans="2:29" x14ac:dyDescent="0.35">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row>
    <row r="29" spans="2:29" x14ac:dyDescent="0.35">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row>
    <row r="30" spans="2:29" x14ac:dyDescent="0.35">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row>
    <row r="31" spans="2:29" x14ac:dyDescent="0.35">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row>
    <row r="32" spans="2:29" x14ac:dyDescent="0.35">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row>
    <row r="33" spans="2:25" x14ac:dyDescent="0.35">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row>
    <row r="34" spans="2:25" x14ac:dyDescent="0.35">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row>
    <row r="35" spans="2:25" x14ac:dyDescent="0.35">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row>
    <row r="36" spans="2:25" x14ac:dyDescent="0.35">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row>
    <row r="37" spans="2:25" x14ac:dyDescent="0.35">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row>
    <row r="38" spans="2:25" x14ac:dyDescent="0.35">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row>
    <row r="39" spans="2:25" x14ac:dyDescent="0.35">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row>
    <row r="40" spans="2:25" x14ac:dyDescent="0.35">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row>
    <row r="41" spans="2:25" x14ac:dyDescent="0.35">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row>
    <row r="42" spans="2:25" x14ac:dyDescent="0.35">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row>
    <row r="43" spans="2:25" x14ac:dyDescent="0.35">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row>
    <row r="44" spans="2:25" x14ac:dyDescent="0.35">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row>
    <row r="45" spans="2:25" x14ac:dyDescent="0.35">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row>
    <row r="46" spans="2:25" x14ac:dyDescent="0.35">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row>
    <row r="47" spans="2:25" x14ac:dyDescent="0.35">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row>
    <row r="48" spans="2:25" x14ac:dyDescent="0.35">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row>
    <row r="49" spans="2:25" x14ac:dyDescent="0.35">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row>
    <row r="50" spans="2:25" x14ac:dyDescent="0.35">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row>
    <row r="51" spans="2:25" x14ac:dyDescent="0.35">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row>
    <row r="52" spans="2:25" x14ac:dyDescent="0.35">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5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594" t="s">
        <v>1801</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2" x14ac:dyDescent="0.35">
      <c r="B2" s="1595" t="s">
        <v>1802</v>
      </c>
      <c r="C2" s="1595"/>
      <c r="D2" s="1595"/>
      <c r="E2" s="1595"/>
      <c r="F2" s="1595"/>
      <c r="G2" s="1595"/>
      <c r="H2" s="1595"/>
      <c r="I2" s="1595"/>
      <c r="J2" s="1595"/>
      <c r="K2" s="1595"/>
      <c r="L2" s="1595"/>
      <c r="M2" s="1595"/>
      <c r="N2" s="1595"/>
      <c r="O2" s="1595"/>
      <c r="P2" s="1595"/>
      <c r="Q2" s="1595"/>
      <c r="R2" s="1595"/>
      <c r="S2" s="1595"/>
      <c r="T2" s="1595"/>
      <c r="U2" s="1595"/>
      <c r="V2" s="1595"/>
      <c r="W2" s="1595"/>
      <c r="X2" s="1595"/>
      <c r="Y2" s="1595"/>
      <c r="Z2" s="1595"/>
      <c r="AA2" s="1595"/>
      <c r="AB2" s="1595"/>
      <c r="AC2" s="1595"/>
    </row>
    <row r="3" spans="2:32" x14ac:dyDescent="0.35">
      <c r="B3" s="1595"/>
      <c r="C3" s="1595"/>
      <c r="D3" s="1595"/>
      <c r="E3" s="1595"/>
      <c r="F3" s="1595"/>
      <c r="G3" s="1595"/>
      <c r="H3" s="1595"/>
      <c r="I3" s="1595"/>
      <c r="J3" s="1595"/>
      <c r="K3" s="1595"/>
      <c r="L3" s="1595"/>
      <c r="M3" s="1595"/>
      <c r="N3" s="1595"/>
      <c r="O3" s="1595"/>
      <c r="P3" s="1595"/>
      <c r="Q3" s="1595"/>
      <c r="R3" s="1595"/>
      <c r="S3" s="1595"/>
      <c r="T3" s="1595"/>
      <c r="U3" s="1595"/>
      <c r="V3" s="1595"/>
      <c r="W3" s="1595"/>
      <c r="X3" s="1595"/>
      <c r="Y3" s="1595"/>
      <c r="Z3" s="1595"/>
      <c r="AA3" s="1595"/>
      <c r="AB3" s="1595"/>
      <c r="AC3" s="1595"/>
    </row>
    <row r="4" spans="2:32" x14ac:dyDescent="0.35">
      <c r="B4" s="1595"/>
      <c r="C4" s="1595"/>
      <c r="D4" s="1595"/>
      <c r="E4" s="1595"/>
      <c r="F4" s="1595"/>
      <c r="G4" s="1595"/>
      <c r="H4" s="1595"/>
      <c r="I4" s="1595"/>
      <c r="J4" s="1595"/>
      <c r="K4" s="1595"/>
      <c r="L4" s="1595"/>
      <c r="M4" s="1595"/>
      <c r="N4" s="1595"/>
      <c r="O4" s="1595"/>
      <c r="P4" s="1595"/>
      <c r="Q4" s="1595"/>
      <c r="R4" s="1595"/>
      <c r="S4" s="1595"/>
      <c r="T4" s="1595"/>
      <c r="U4" s="1595"/>
      <c r="V4" s="1595"/>
      <c r="W4" s="1595"/>
      <c r="X4" s="1595"/>
      <c r="Y4" s="1595"/>
      <c r="Z4" s="1595"/>
      <c r="AA4" s="1595"/>
      <c r="AB4" s="1595"/>
      <c r="AC4" s="1595"/>
    </row>
    <row r="5" spans="2:32" x14ac:dyDescent="0.35">
      <c r="B5" s="808"/>
      <c r="C5" s="808"/>
      <c r="D5" s="808"/>
      <c r="E5" s="808"/>
      <c r="F5" s="808"/>
      <c r="G5" s="808"/>
      <c r="H5" s="808"/>
      <c r="I5" s="808"/>
      <c r="J5" s="808"/>
      <c r="K5" s="808"/>
      <c r="L5" s="808"/>
      <c r="M5" s="808"/>
      <c r="N5" s="808"/>
      <c r="O5" s="808"/>
      <c r="P5" s="808"/>
      <c r="Q5" s="808"/>
      <c r="R5" s="808"/>
      <c r="S5" s="808"/>
      <c r="T5" s="808"/>
      <c r="U5" s="808"/>
      <c r="V5" s="808"/>
      <c r="W5" s="808"/>
      <c r="X5" s="808"/>
      <c r="Y5" s="808"/>
      <c r="Z5" s="808"/>
      <c r="AA5" s="808"/>
      <c r="AB5" s="808"/>
      <c r="AC5" s="808"/>
    </row>
    <row r="6" spans="2:32" x14ac:dyDescent="0.35">
      <c r="B6" s="74"/>
      <c r="C6" s="829"/>
      <c r="D6" s="810"/>
      <c r="E6" s="810"/>
      <c r="F6" s="810"/>
      <c r="G6" s="810"/>
      <c r="H6" s="810"/>
      <c r="I6" s="810"/>
      <c r="J6" s="810"/>
      <c r="K6" s="810"/>
      <c r="L6" s="810"/>
      <c r="M6" s="810"/>
      <c r="N6" s="810"/>
      <c r="O6" s="810"/>
      <c r="P6" s="810"/>
      <c r="Q6" s="810"/>
      <c r="R6" s="810"/>
      <c r="S6" s="810"/>
      <c r="T6" s="810"/>
      <c r="U6" s="810"/>
      <c r="V6" s="810"/>
      <c r="W6" s="810"/>
      <c r="X6" s="810"/>
      <c r="Y6" s="810"/>
      <c r="Z6" s="810"/>
      <c r="AA6" s="810"/>
      <c r="AB6" s="810"/>
      <c r="AC6" s="810"/>
      <c r="AD6" s="810"/>
      <c r="AE6" s="810"/>
      <c r="AF6" s="810"/>
    </row>
    <row r="7" spans="2:32" ht="14.5" customHeight="1" x14ac:dyDescent="0.35">
      <c r="B7" s="1602" t="s">
        <v>1831</v>
      </c>
      <c r="C7" s="1602"/>
      <c r="D7" s="1602"/>
      <c r="E7" s="1602"/>
      <c r="F7" s="1602"/>
      <c r="G7" s="808"/>
      <c r="H7" s="808"/>
      <c r="I7" s="808"/>
      <c r="J7" s="808"/>
      <c r="K7" s="808"/>
      <c r="L7" s="808"/>
      <c r="M7" s="808"/>
      <c r="N7" s="808"/>
      <c r="O7" s="808"/>
      <c r="P7" s="808"/>
      <c r="Q7" s="808"/>
      <c r="R7" s="808"/>
      <c r="S7" s="808"/>
      <c r="T7" s="808"/>
      <c r="U7" s="808"/>
      <c r="V7" s="808"/>
      <c r="W7" s="808"/>
      <c r="X7" s="808"/>
      <c r="Y7" s="808"/>
      <c r="Z7" s="808"/>
      <c r="AA7" s="808"/>
      <c r="AB7" s="808"/>
      <c r="AC7" s="808"/>
    </row>
    <row r="8" spans="2:32" x14ac:dyDescent="0.35">
      <c r="B8" s="1597" t="s">
        <v>1820</v>
      </c>
      <c r="C8" s="1598"/>
      <c r="D8" s="1603" t="s">
        <v>325</v>
      </c>
      <c r="E8" s="1524"/>
      <c r="F8" s="1524"/>
      <c r="G8" s="1524"/>
      <c r="H8" s="1524"/>
      <c r="I8" s="1524"/>
      <c r="J8" s="1524"/>
      <c r="K8" s="1524"/>
      <c r="L8" s="1524"/>
      <c r="M8" s="1524"/>
      <c r="N8" s="1524"/>
      <c r="O8" s="1524"/>
      <c r="P8" s="1524"/>
      <c r="Q8" s="1604"/>
      <c r="R8" s="1604"/>
      <c r="S8" s="1114"/>
      <c r="T8" s="1590" t="s">
        <v>2198</v>
      </c>
      <c r="U8" s="1525"/>
      <c r="V8" s="1525"/>
      <c r="W8" s="1525"/>
      <c r="X8" s="1525"/>
      <c r="Y8" s="1525"/>
      <c r="Z8" s="1525"/>
      <c r="AA8" s="1525"/>
      <c r="AB8" s="1525"/>
      <c r="AC8" s="1525"/>
      <c r="AD8" s="1525"/>
      <c r="AE8" s="1525"/>
      <c r="AF8" s="1526"/>
    </row>
    <row r="9" spans="2:32" x14ac:dyDescent="0.35">
      <c r="B9" s="1439"/>
      <c r="C9" s="1440"/>
      <c r="D9" s="1097">
        <v>2018</v>
      </c>
      <c r="E9" s="1465">
        <v>2019</v>
      </c>
      <c r="F9" s="1580"/>
      <c r="G9" s="1580"/>
      <c r="H9" s="1473"/>
      <c r="I9" s="1465">
        <v>2020</v>
      </c>
      <c r="J9" s="1580"/>
      <c r="K9" s="1580"/>
      <c r="L9" s="1580"/>
      <c r="M9" s="1465">
        <v>2021</v>
      </c>
      <c r="N9" s="1580"/>
      <c r="O9" s="1580"/>
      <c r="P9" s="1580"/>
      <c r="Q9" s="1581">
        <v>2022</v>
      </c>
      <c r="R9" s="1582"/>
      <c r="S9" s="1115"/>
      <c r="T9" s="1115"/>
      <c r="U9" s="1591">
        <v>2023</v>
      </c>
      <c r="V9" s="1592"/>
      <c r="W9" s="1592"/>
      <c r="X9" s="1592"/>
      <c r="Y9" s="1591">
        <v>2024</v>
      </c>
      <c r="Z9" s="1592"/>
      <c r="AA9" s="1592"/>
      <c r="AB9" s="1593"/>
      <c r="AC9" s="1591">
        <v>2025</v>
      </c>
      <c r="AD9" s="1592"/>
      <c r="AE9" s="1592"/>
      <c r="AF9" s="1593"/>
    </row>
    <row r="10" spans="2:32" x14ac:dyDescent="0.35">
      <c r="B10" s="1454"/>
      <c r="C10" s="1455"/>
      <c r="D10" s="1097" t="s">
        <v>327</v>
      </c>
      <c r="E10" s="1097" t="s">
        <v>328</v>
      </c>
      <c r="F10" s="1116" t="s">
        <v>329</v>
      </c>
      <c r="G10" s="1116" t="s">
        <v>238</v>
      </c>
      <c r="H10" s="1098" t="s">
        <v>327</v>
      </c>
      <c r="I10" s="1116" t="s">
        <v>328</v>
      </c>
      <c r="J10" s="1116" t="s">
        <v>329</v>
      </c>
      <c r="K10" s="1116" t="s">
        <v>238</v>
      </c>
      <c r="L10" s="1116" t="s">
        <v>327</v>
      </c>
      <c r="M10" s="1097" t="s">
        <v>328</v>
      </c>
      <c r="N10" s="1116" t="s">
        <v>329</v>
      </c>
      <c r="O10" s="1116" t="s">
        <v>238</v>
      </c>
      <c r="P10" s="1116" t="s">
        <v>327</v>
      </c>
      <c r="Q10" s="1097" t="s">
        <v>328</v>
      </c>
      <c r="R10" s="1116" t="s">
        <v>329</v>
      </c>
      <c r="S10" s="1098" t="s">
        <v>238</v>
      </c>
      <c r="T10" s="1098" t="s">
        <v>327</v>
      </c>
      <c r="U10" s="379" t="s">
        <v>328</v>
      </c>
      <c r="V10" s="1117" t="s">
        <v>329</v>
      </c>
      <c r="W10" s="1117" t="s">
        <v>238</v>
      </c>
      <c r="X10" s="1117" t="s">
        <v>327</v>
      </c>
      <c r="Y10" s="379" t="s">
        <v>328</v>
      </c>
      <c r="Z10" s="1057" t="s">
        <v>329</v>
      </c>
      <c r="AA10" s="1117" t="s">
        <v>238</v>
      </c>
      <c r="AB10" s="155" t="s">
        <v>327</v>
      </c>
      <c r="AC10" s="404" t="s">
        <v>328</v>
      </c>
      <c r="AD10" s="1117" t="s">
        <v>329</v>
      </c>
      <c r="AE10" s="1117" t="s">
        <v>238</v>
      </c>
      <c r="AF10" s="155" t="s">
        <v>327</v>
      </c>
    </row>
    <row r="11" spans="2:32" x14ac:dyDescent="0.35">
      <c r="B11" s="1605" t="s">
        <v>1830</v>
      </c>
      <c r="C11" s="1606"/>
      <c r="D11" s="1606"/>
      <c r="E11" s="1606"/>
      <c r="F11" s="1606"/>
      <c r="G11" s="1606"/>
      <c r="H11" s="1606"/>
      <c r="I11" s="1606"/>
      <c r="J11" s="1606"/>
      <c r="K11" s="1606"/>
      <c r="L11" s="1606"/>
      <c r="M11" s="1606"/>
      <c r="N11" s="1606"/>
      <c r="O11" s="1606"/>
      <c r="P11" s="1606"/>
      <c r="Q11" s="1606"/>
      <c r="R11" s="1606"/>
      <c r="S11" s="1606"/>
      <c r="T11" s="1606"/>
      <c r="U11" s="1606"/>
      <c r="V11" s="1606"/>
      <c r="W11" s="1606"/>
      <c r="X11" s="1606"/>
      <c r="Y11" s="1606"/>
      <c r="Z11" s="1606"/>
      <c r="AA11" s="1606"/>
      <c r="AB11" s="1606"/>
      <c r="AC11" s="1606"/>
      <c r="AD11" s="1606"/>
      <c r="AE11" s="1606"/>
      <c r="AF11" s="1607"/>
    </row>
    <row r="12" spans="2:32" x14ac:dyDescent="0.35">
      <c r="B12" s="1107" t="s">
        <v>1805</v>
      </c>
      <c r="C12" s="1108"/>
      <c r="D12" s="1105">
        <f t="shared" ref="D12:S12" si="0">D38</f>
        <v>1.5156509117148609E-2</v>
      </c>
      <c r="E12" s="1105">
        <f t="shared" si="0"/>
        <v>8.3593342288621475E-3</v>
      </c>
      <c r="F12" s="1105">
        <f t="shared" si="0"/>
        <v>2.4734353401225873E-2</v>
      </c>
      <c r="G12" s="1105">
        <f t="shared" si="0"/>
        <v>1.0490970472330163E-2</v>
      </c>
      <c r="H12" s="1105">
        <f t="shared" si="0"/>
        <v>1.4569048707785859E-2</v>
      </c>
      <c r="I12" s="1105">
        <f t="shared" si="0"/>
        <v>1.4662498774455912E-2</v>
      </c>
      <c r="J12" s="1105">
        <f t="shared" si="0"/>
        <v>-1.794085945788193E-2</v>
      </c>
      <c r="K12" s="1105">
        <f t="shared" si="0"/>
        <v>3.3775526155126689E-2</v>
      </c>
      <c r="L12" s="1105">
        <f t="shared" si="0"/>
        <v>1.6442937470855457E-2</v>
      </c>
      <c r="M12" s="1105">
        <f t="shared" si="0"/>
        <v>4.5025943450949013E-2</v>
      </c>
      <c r="N12" s="1105">
        <f t="shared" si="0"/>
        <v>6.444180274366329E-2</v>
      </c>
      <c r="O12" s="1105">
        <f t="shared" si="0"/>
        <v>5.5998846943190017E-2</v>
      </c>
      <c r="P12" s="1105">
        <f t="shared" si="0"/>
        <v>6.1859650545573519E-2</v>
      </c>
      <c r="Q12" s="1105">
        <f t="shared" si="0"/>
        <v>7.4784916271317448E-2</v>
      </c>
      <c r="R12" s="1105">
        <f t="shared" si="0"/>
        <v>7.2922192171477107E-2</v>
      </c>
      <c r="S12" s="1105">
        <f t="shared" si="0"/>
        <v>4.3177876601944165E-2</v>
      </c>
      <c r="T12" s="1106">
        <f>T38</f>
        <v>3.15560907815855E-2</v>
      </c>
      <c r="U12" s="1105">
        <f>U38+U13</f>
        <v>3.5724460314211282E-2</v>
      </c>
      <c r="V12" s="1105">
        <f t="shared" ref="V12:AF12" si="1">V38+V13</f>
        <v>3.3692799617050628E-2</v>
      </c>
      <c r="W12" s="1105">
        <f t="shared" si="1"/>
        <v>3.3167790258204821E-2</v>
      </c>
      <c r="X12" s="1105">
        <f t="shared" si="1"/>
        <v>2.9707222134434552E-2</v>
      </c>
      <c r="Y12" s="1105">
        <f t="shared" si="1"/>
        <v>2.6454849931970781E-2</v>
      </c>
      <c r="Z12" s="1105">
        <f t="shared" si="1"/>
        <v>2.4178630417615032E-2</v>
      </c>
      <c r="AA12" s="1105">
        <f t="shared" si="1"/>
        <v>2.3052401549803703E-2</v>
      </c>
      <c r="AB12" s="1105">
        <f t="shared" si="1"/>
        <v>2.2407286089961342E-2</v>
      </c>
      <c r="AC12" s="1105">
        <f t="shared" si="1"/>
        <v>2.2473232090692186E-2</v>
      </c>
      <c r="AD12" s="1105">
        <f t="shared" si="1"/>
        <v>2.2071462401670683E-2</v>
      </c>
      <c r="AE12" s="1105">
        <f t="shared" si="1"/>
        <v>2.1752174739111618E-2</v>
      </c>
      <c r="AF12" s="1106">
        <f t="shared" si="1"/>
        <v>2.1591374086621817E-2</v>
      </c>
    </row>
    <row r="13" spans="2:32" s="1066" customFormat="1" x14ac:dyDescent="0.35">
      <c r="B13" s="1118" t="s">
        <v>2193</v>
      </c>
      <c r="C13" s="1109"/>
      <c r="D13" s="1110"/>
      <c r="E13" s="1111"/>
      <c r="F13" s="1111"/>
      <c r="G13" s="1111"/>
      <c r="H13" s="1111"/>
      <c r="I13" s="1111"/>
      <c r="J13" s="1111"/>
      <c r="K13" s="1111"/>
      <c r="L13" s="1111"/>
      <c r="M13" s="1111"/>
      <c r="N13" s="1111"/>
      <c r="O13" s="1111"/>
      <c r="P13" s="1111"/>
      <c r="Q13" s="1111"/>
      <c r="R13" s="1111"/>
      <c r="S13" s="1111"/>
      <c r="T13" s="1112"/>
      <c r="U13" s="1111"/>
      <c r="V13" s="1111"/>
      <c r="W13" s="1111"/>
      <c r="X13" s="1111"/>
      <c r="Y13" s="1111"/>
      <c r="Z13" s="1111"/>
      <c r="AA13" s="1111"/>
      <c r="AB13" s="1111"/>
      <c r="AC13" s="1111"/>
      <c r="AD13" s="1111"/>
      <c r="AE13" s="1111"/>
      <c r="AF13" s="1112"/>
    </row>
    <row r="14" spans="2:32" x14ac:dyDescent="0.35">
      <c r="B14" s="1119" t="s">
        <v>1806</v>
      </c>
      <c r="C14" s="1108"/>
      <c r="D14" s="1104">
        <f t="shared" ref="D14:S14" si="2">D39</f>
        <v>2.9652502701153827E-2</v>
      </c>
      <c r="E14" s="1104">
        <f t="shared" si="2"/>
        <v>4.3357912415273203E-2</v>
      </c>
      <c r="F14" s="1104">
        <f t="shared" si="2"/>
        <v>-2.634393397263235E-2</v>
      </c>
      <c r="G14" s="1104">
        <f t="shared" si="2"/>
        <v>1.0018821110834297E-2</v>
      </c>
      <c r="H14" s="1104">
        <f t="shared" si="2"/>
        <v>1.6245763277308534E-2</v>
      </c>
      <c r="I14" s="1104">
        <f t="shared" si="2"/>
        <v>1.3591255249431944E-2</v>
      </c>
      <c r="J14" s="1104">
        <f t="shared" si="2"/>
        <v>3.3104511883148557E-3</v>
      </c>
      <c r="K14" s="1104">
        <f t="shared" si="2"/>
        <v>2.5959727144998501E-2</v>
      </c>
      <c r="L14" s="1104">
        <f t="shared" si="2"/>
        <v>2.4447407360365325E-2</v>
      </c>
      <c r="M14" s="1104">
        <f t="shared" si="2"/>
        <v>4.0827649049088865E-2</v>
      </c>
      <c r="N14" s="1104">
        <f t="shared" si="2"/>
        <v>4.1247362410053112E-2</v>
      </c>
      <c r="O14" s="1104">
        <f t="shared" si="2"/>
        <v>4.4017858095279694E-2</v>
      </c>
      <c r="P14" s="1104">
        <f t="shared" si="2"/>
        <v>4.3432299825096221E-2</v>
      </c>
      <c r="Q14" s="1104">
        <f t="shared" si="2"/>
        <v>5.6798579453040565E-2</v>
      </c>
      <c r="R14" s="1104">
        <f t="shared" si="2"/>
        <v>5.9959109255099508E-2</v>
      </c>
      <c r="S14" s="1104">
        <f t="shared" si="2"/>
        <v>4.8205722331254197E-2</v>
      </c>
      <c r="T14" s="835">
        <f>T39</f>
        <v>2.853967118119427E-2</v>
      </c>
      <c r="U14" s="1104">
        <f>U39+U15</f>
        <v>2.5929771595060602E-2</v>
      </c>
      <c r="V14" s="1104">
        <f t="shared" ref="V14:AF14" si="3">V39+V15</f>
        <v>2.3505953506363975E-2</v>
      </c>
      <c r="W14" s="1104">
        <f t="shared" si="3"/>
        <v>2.5343185973087934E-2</v>
      </c>
      <c r="X14" s="1104">
        <f t="shared" si="3"/>
        <v>2.5512101094298911E-2</v>
      </c>
      <c r="Y14" s="1104">
        <f t="shared" si="3"/>
        <v>2.940897202642212E-2</v>
      </c>
      <c r="Z14" s="1104">
        <f t="shared" si="3"/>
        <v>2.823164052632654E-2</v>
      </c>
      <c r="AA14" s="1104">
        <f t="shared" si="3"/>
        <v>2.7484808362226332E-2</v>
      </c>
      <c r="AB14" s="1104">
        <f t="shared" si="3"/>
        <v>2.6738284169484539E-2</v>
      </c>
      <c r="AC14" s="1104">
        <f t="shared" si="3"/>
        <v>2.4037894596453224E-2</v>
      </c>
      <c r="AD14" s="1104">
        <f t="shared" si="3"/>
        <v>2.4492235467838519E-2</v>
      </c>
      <c r="AE14" s="1104">
        <f t="shared" si="3"/>
        <v>2.4419305134427693E-2</v>
      </c>
      <c r="AF14" s="835">
        <f t="shared" si="3"/>
        <v>2.4121029556380291E-2</v>
      </c>
    </row>
    <row r="15" spans="2:32" s="1066" customFormat="1" x14ac:dyDescent="0.35">
      <c r="B15" s="826" t="s">
        <v>2194</v>
      </c>
      <c r="C15" s="1109"/>
      <c r="D15" s="1110"/>
      <c r="E15" s="1111"/>
      <c r="F15" s="1111"/>
      <c r="G15" s="1111"/>
      <c r="H15" s="1111"/>
      <c r="I15" s="1111"/>
      <c r="J15" s="1111"/>
      <c r="K15" s="1111"/>
      <c r="L15" s="1111"/>
      <c r="M15" s="1111"/>
      <c r="N15" s="1111"/>
      <c r="O15" s="1111"/>
      <c r="P15" s="1111"/>
      <c r="Q15" s="1111"/>
      <c r="R15" s="1111"/>
      <c r="S15" s="1111"/>
      <c r="T15" s="1112"/>
      <c r="U15" s="1111"/>
      <c r="V15" s="1111"/>
      <c r="W15" s="1111"/>
      <c r="X15" s="1111"/>
      <c r="Y15" s="1111"/>
      <c r="Z15" s="1111"/>
      <c r="AA15" s="1111"/>
      <c r="AB15" s="1111"/>
      <c r="AC15" s="1111"/>
      <c r="AD15" s="1111"/>
      <c r="AE15" s="1111"/>
      <c r="AF15" s="1112"/>
    </row>
    <row r="16" spans="2:32" x14ac:dyDescent="0.35">
      <c r="B16" s="1119" t="s">
        <v>1807</v>
      </c>
      <c r="C16" s="1108"/>
      <c r="D16" s="1104">
        <f t="shared" ref="D16:T16" si="4">D40</f>
        <v>2.0739486303195998E-2</v>
      </c>
      <c r="E16" s="1104">
        <f t="shared" si="4"/>
        <v>-1.0909955372547464E-2</v>
      </c>
      <c r="F16" s="1104">
        <f t="shared" si="4"/>
        <v>2.9915559028399707E-2</v>
      </c>
      <c r="G16" s="1104">
        <f t="shared" si="4"/>
        <v>1.0527559706478895E-2</v>
      </c>
      <c r="H16" s="1104">
        <f t="shared" si="4"/>
        <v>1.4919704890896002E-2</v>
      </c>
      <c r="I16" s="1104">
        <f t="shared" si="4"/>
        <v>4.3158369252632278E-2</v>
      </c>
      <c r="J16" s="1104">
        <f t="shared" si="4"/>
        <v>-2.2930962354547058E-3</v>
      </c>
      <c r="K16" s="1104">
        <f t="shared" si="4"/>
        <v>3.587837095953339E-2</v>
      </c>
      <c r="L16" s="1104">
        <f t="shared" si="4"/>
        <v>4.5534894387470937E-2</v>
      </c>
      <c r="M16" s="1104">
        <f t="shared" si="4"/>
        <v>8.7714323909891423E-2</v>
      </c>
      <c r="N16" s="1104">
        <f t="shared" si="4"/>
        <v>8.4888593948209357E-2</v>
      </c>
      <c r="O16" s="1104">
        <f t="shared" si="4"/>
        <v>6.9703587118332688E-2</v>
      </c>
      <c r="P16" s="1104">
        <f t="shared" si="4"/>
        <v>9.0463399615994478E-2</v>
      </c>
      <c r="Q16" s="1104">
        <f t="shared" si="4"/>
        <v>0.10558682780244433</v>
      </c>
      <c r="R16" s="1104">
        <f t="shared" si="4"/>
        <v>0.14979890704557142</v>
      </c>
      <c r="S16" s="1104">
        <f t="shared" si="4"/>
        <v>2.9055945911607095E-2</v>
      </c>
      <c r="T16" s="835">
        <f t="shared" si="4"/>
        <v>3.1040705684582059E-2</v>
      </c>
      <c r="U16" s="1104">
        <f>U40+U17</f>
        <v>3.4770037870923476E-2</v>
      </c>
      <c r="V16" s="1104">
        <f t="shared" ref="V16:AF16" si="5">V40+V17</f>
        <v>3.2439960780993538E-2</v>
      </c>
      <c r="W16" s="1104">
        <f t="shared" si="5"/>
        <v>3.4971806389749727E-2</v>
      </c>
      <c r="X16" s="1104">
        <f t="shared" si="5"/>
        <v>3.4409055377128128E-2</v>
      </c>
      <c r="Y16" s="1104">
        <f t="shared" si="5"/>
        <v>3.1280978879036248E-2</v>
      </c>
      <c r="Z16" s="1104">
        <f t="shared" si="5"/>
        <v>2.8069377631034564E-2</v>
      </c>
      <c r="AA16" s="1104">
        <f t="shared" si="5"/>
        <v>2.7079936500734814E-2</v>
      </c>
      <c r="AB16" s="1104">
        <f t="shared" si="5"/>
        <v>2.6642026237504224E-2</v>
      </c>
      <c r="AC16" s="1104">
        <f t="shared" si="5"/>
        <v>2.7649904239910983E-2</v>
      </c>
      <c r="AD16" s="1104">
        <f t="shared" si="5"/>
        <v>2.7332985680263322E-2</v>
      </c>
      <c r="AE16" s="1104">
        <f t="shared" si="5"/>
        <v>2.7468596479684804E-2</v>
      </c>
      <c r="AF16" s="835">
        <f t="shared" si="5"/>
        <v>2.7135528596684111E-2</v>
      </c>
    </row>
    <row r="17" spans="2:33" s="1066" customFormat="1" x14ac:dyDescent="0.35">
      <c r="B17" s="826" t="s">
        <v>2195</v>
      </c>
      <c r="C17" s="1109"/>
      <c r="D17" s="1110"/>
      <c r="E17" s="1111"/>
      <c r="F17" s="1111"/>
      <c r="G17" s="1111"/>
      <c r="H17" s="1111"/>
      <c r="I17" s="1111"/>
      <c r="J17" s="1111"/>
      <c r="K17" s="1111"/>
      <c r="L17" s="1111"/>
      <c r="M17" s="1111"/>
      <c r="N17" s="1111"/>
      <c r="O17" s="1111"/>
      <c r="P17" s="1111"/>
      <c r="Q17" s="1111"/>
      <c r="R17" s="1111"/>
      <c r="S17" s="1111"/>
      <c r="T17" s="1112"/>
      <c r="U17" s="1111"/>
      <c r="V17" s="1111"/>
      <c r="W17" s="1111"/>
      <c r="X17" s="1111"/>
      <c r="Y17" s="1111"/>
      <c r="Z17" s="1111"/>
      <c r="AA17" s="1111"/>
      <c r="AB17" s="1111"/>
      <c r="AC17" s="1111"/>
      <c r="AD17" s="1111"/>
      <c r="AE17" s="1111"/>
      <c r="AF17" s="1112"/>
    </row>
    <row r="18" spans="2:33" x14ac:dyDescent="0.35">
      <c r="B18" s="1119" t="s">
        <v>1808</v>
      </c>
      <c r="C18" s="1108"/>
      <c r="D18" s="1104">
        <f t="shared" ref="D18:T18" si="6">D41</f>
        <v>1.6036274889288604E-2</v>
      </c>
      <c r="E18" s="1104">
        <f t="shared" si="6"/>
        <v>-1.6750426853228473E-2</v>
      </c>
      <c r="F18" s="1104">
        <f t="shared" si="6"/>
        <v>2.5813818283004775E-2</v>
      </c>
      <c r="G18" s="1104">
        <f t="shared" si="6"/>
        <v>8.6124156242581851E-3</v>
      </c>
      <c r="H18" s="1104">
        <f t="shared" si="6"/>
        <v>1.6996215944869331E-2</v>
      </c>
      <c r="I18" s="1104">
        <f t="shared" si="6"/>
        <v>5.0660572456327158E-2</v>
      </c>
      <c r="J18" s="1104">
        <f t="shared" si="6"/>
        <v>-1.0613393340251909E-3</v>
      </c>
      <c r="K18" s="1104">
        <f t="shared" si="6"/>
        <v>3.4596703938156059E-2</v>
      </c>
      <c r="L18" s="1104">
        <f t="shared" si="6"/>
        <v>5.1547958936444926E-2</v>
      </c>
      <c r="M18" s="1104">
        <f t="shared" si="6"/>
        <v>9.2834286401326738E-2</v>
      </c>
      <c r="N18" s="1104">
        <f t="shared" si="6"/>
        <v>8.057551462066237E-2</v>
      </c>
      <c r="O18" s="1104">
        <f t="shared" si="6"/>
        <v>6.4680375979367932E-2</v>
      </c>
      <c r="P18" s="1104">
        <f t="shared" si="6"/>
        <v>8.4136934840179034E-2</v>
      </c>
      <c r="Q18" s="1104">
        <f t="shared" si="6"/>
        <v>0.10120576467409093</v>
      </c>
      <c r="R18" s="1104">
        <f t="shared" si="6"/>
        <v>0.15221841372862355</v>
      </c>
      <c r="S18" s="1104">
        <f t="shared" si="6"/>
        <v>1.6422651906601304E-2</v>
      </c>
      <c r="T18" s="835">
        <f t="shared" si="6"/>
        <v>2.6567634000696616E-2</v>
      </c>
      <c r="U18" s="1104">
        <f>U41+U19</f>
        <v>3.4770037870923476E-2</v>
      </c>
      <c r="V18" s="1104">
        <f t="shared" ref="V18:AF18" si="7">V41+V19</f>
        <v>3.2439960780993538E-2</v>
      </c>
      <c r="W18" s="1104">
        <f t="shared" si="7"/>
        <v>3.4971806389749727E-2</v>
      </c>
      <c r="X18" s="1104">
        <f t="shared" si="7"/>
        <v>3.4409055377128128E-2</v>
      </c>
      <c r="Y18" s="1104">
        <f t="shared" si="7"/>
        <v>3.1280978879036248E-2</v>
      </c>
      <c r="Z18" s="1104">
        <f t="shared" si="7"/>
        <v>2.8069377631034564E-2</v>
      </c>
      <c r="AA18" s="1104">
        <f t="shared" si="7"/>
        <v>2.7079936500734814E-2</v>
      </c>
      <c r="AB18" s="1104">
        <f t="shared" si="7"/>
        <v>2.6642026237504224E-2</v>
      </c>
      <c r="AC18" s="1104">
        <f t="shared" si="7"/>
        <v>2.7649904239910983E-2</v>
      </c>
      <c r="AD18" s="1104">
        <f t="shared" si="7"/>
        <v>2.7332985680263322E-2</v>
      </c>
      <c r="AE18" s="1104">
        <f t="shared" si="7"/>
        <v>2.7468596479684804E-2</v>
      </c>
      <c r="AF18" s="835">
        <f t="shared" si="7"/>
        <v>2.7135528596684111E-2</v>
      </c>
    </row>
    <row r="19" spans="2:33" s="1066" customFormat="1" x14ac:dyDescent="0.35">
      <c r="B19" s="826" t="s">
        <v>2196</v>
      </c>
      <c r="C19" s="1109"/>
      <c r="D19" s="1110"/>
      <c r="E19" s="1111"/>
      <c r="F19" s="1111"/>
      <c r="G19" s="1111"/>
      <c r="H19" s="1111"/>
      <c r="I19" s="1111"/>
      <c r="J19" s="1111"/>
      <c r="K19" s="1111"/>
      <c r="L19" s="1111"/>
      <c r="M19" s="1111"/>
      <c r="N19" s="1111"/>
      <c r="O19" s="1111"/>
      <c r="P19" s="1111"/>
      <c r="Q19" s="1111"/>
      <c r="R19" s="1111"/>
      <c r="S19" s="1111"/>
      <c r="T19" s="1112"/>
      <c r="U19" s="1111"/>
      <c r="V19" s="1111"/>
      <c r="W19" s="1111"/>
      <c r="X19" s="1111"/>
      <c r="Y19" s="1111"/>
      <c r="Z19" s="1111"/>
      <c r="AA19" s="1111"/>
      <c r="AB19" s="1111"/>
      <c r="AC19" s="1111"/>
      <c r="AD19" s="1111"/>
      <c r="AE19" s="1111"/>
      <c r="AF19" s="1112"/>
      <c r="AG19" s="1113"/>
    </row>
    <row r="20" spans="2:33" x14ac:dyDescent="0.35">
      <c r="B20" s="1119" t="s">
        <v>1809</v>
      </c>
      <c r="C20" s="1108"/>
      <c r="D20" s="1104">
        <f t="shared" ref="D20:T20" si="8">D42</f>
        <v>4.1912016313215839E-2</v>
      </c>
      <c r="E20" s="1104">
        <f t="shared" si="8"/>
        <v>1.5721372171975556E-2</v>
      </c>
      <c r="F20" s="1104">
        <f t="shared" si="8"/>
        <v>4.8037769815769016E-2</v>
      </c>
      <c r="G20" s="1104">
        <f t="shared" si="8"/>
        <v>1.9083730667159404E-2</v>
      </c>
      <c r="H20" s="1104">
        <f t="shared" si="8"/>
        <v>5.8979339636944239E-3</v>
      </c>
      <c r="I20" s="1104">
        <f t="shared" si="8"/>
        <v>1.0418465412080913E-2</v>
      </c>
      <c r="J20" s="1104">
        <f t="shared" si="8"/>
        <v>-7.6555980249765065E-3</v>
      </c>
      <c r="K20" s="1104">
        <f t="shared" si="8"/>
        <v>4.135501545294451E-2</v>
      </c>
      <c r="L20" s="1104">
        <f t="shared" si="8"/>
        <v>1.8415186976738607E-2</v>
      </c>
      <c r="M20" s="1104">
        <f t="shared" si="8"/>
        <v>6.4160755006020143E-2</v>
      </c>
      <c r="N20" s="1104">
        <f t="shared" si="8"/>
        <v>0.10458990215743946</v>
      </c>
      <c r="O20" s="1104">
        <f t="shared" si="8"/>
        <v>9.3631239224950313E-2</v>
      </c>
      <c r="P20" s="1104">
        <f t="shared" si="8"/>
        <v>0.12124821634027616</v>
      </c>
      <c r="Q20" s="1104">
        <f t="shared" si="8"/>
        <v>0.12687792670398412</v>
      </c>
      <c r="R20" s="1104">
        <f t="shared" si="8"/>
        <v>0.13796693794697101</v>
      </c>
      <c r="S20" s="1104">
        <f t="shared" si="8"/>
        <v>9.3268944702830758E-2</v>
      </c>
      <c r="T20" s="835">
        <f t="shared" si="8"/>
        <v>5.2666155244963875E-2</v>
      </c>
      <c r="U20" s="1104">
        <f>U42+U21</f>
        <v>3.4770037870923476E-2</v>
      </c>
      <c r="V20" s="1104">
        <f t="shared" ref="V20:AF20" si="9">V42+V21</f>
        <v>3.2439960780993538E-2</v>
      </c>
      <c r="W20" s="1104">
        <f t="shared" si="9"/>
        <v>3.4971806389749727E-2</v>
      </c>
      <c r="X20" s="1104">
        <f t="shared" si="9"/>
        <v>3.4409055377128128E-2</v>
      </c>
      <c r="Y20" s="1104">
        <f t="shared" si="9"/>
        <v>3.1280978879036248E-2</v>
      </c>
      <c r="Z20" s="1104">
        <f t="shared" si="9"/>
        <v>2.8069377631034564E-2</v>
      </c>
      <c r="AA20" s="1104">
        <f t="shared" si="9"/>
        <v>2.7079936500734814E-2</v>
      </c>
      <c r="AB20" s="1104">
        <f t="shared" si="9"/>
        <v>2.6642026237504224E-2</v>
      </c>
      <c r="AC20" s="1104">
        <f t="shared" si="9"/>
        <v>2.7649904239910983E-2</v>
      </c>
      <c r="AD20" s="1104">
        <f t="shared" si="9"/>
        <v>2.7332985680263322E-2</v>
      </c>
      <c r="AE20" s="1104">
        <f t="shared" si="9"/>
        <v>2.7468596479684804E-2</v>
      </c>
      <c r="AF20" s="835">
        <f t="shared" si="9"/>
        <v>2.7135528596684111E-2</v>
      </c>
    </row>
    <row r="21" spans="2:33" s="1066" customFormat="1" x14ac:dyDescent="0.35">
      <c r="B21" s="826" t="s">
        <v>2197</v>
      </c>
      <c r="C21" s="1109"/>
      <c r="D21" s="837"/>
      <c r="E21" s="837"/>
      <c r="F21" s="837"/>
      <c r="G21" s="837"/>
      <c r="H21" s="837"/>
      <c r="I21" s="837"/>
      <c r="J21" s="837"/>
      <c r="K21" s="837"/>
      <c r="L21" s="837"/>
      <c r="M21" s="837"/>
      <c r="N21" s="837"/>
      <c r="O21" s="837"/>
      <c r="P21" s="837"/>
      <c r="Q21" s="837"/>
      <c r="R21" s="837"/>
      <c r="S21" s="837"/>
      <c r="T21" s="838"/>
      <c r="U21" s="837"/>
      <c r="V21" s="837"/>
      <c r="W21" s="837"/>
      <c r="X21" s="837"/>
      <c r="Y21" s="837"/>
      <c r="Z21" s="837"/>
      <c r="AA21" s="837"/>
      <c r="AB21" s="837"/>
      <c r="AC21" s="837"/>
      <c r="AD21" s="837"/>
      <c r="AE21" s="837"/>
      <c r="AF21" s="838"/>
    </row>
    <row r="22" spans="2:33" x14ac:dyDescent="0.35">
      <c r="B22" s="1587" t="s">
        <v>1835</v>
      </c>
      <c r="C22" s="1588"/>
      <c r="D22" s="1588"/>
      <c r="E22" s="1588"/>
      <c r="F22" s="1588"/>
      <c r="G22" s="1588"/>
      <c r="H22" s="1588"/>
      <c r="I22" s="1588"/>
      <c r="J22" s="1588"/>
      <c r="K22" s="1588"/>
      <c r="L22" s="1588"/>
      <c r="M22" s="1588"/>
      <c r="N22" s="1588"/>
      <c r="O22" s="1588"/>
      <c r="P22" s="1588"/>
      <c r="Q22" s="1588"/>
      <c r="R22" s="1588"/>
      <c r="S22" s="1588"/>
      <c r="T22" s="1588"/>
      <c r="U22" s="1588"/>
      <c r="V22" s="1588"/>
      <c r="W22" s="1588"/>
      <c r="X22" s="1588"/>
      <c r="Y22" s="1588"/>
      <c r="Z22" s="1588"/>
      <c r="AA22" s="1588"/>
      <c r="AB22" s="1588"/>
      <c r="AC22" s="1588"/>
      <c r="AD22" s="1588"/>
      <c r="AE22" s="1588"/>
      <c r="AF22" s="1589"/>
    </row>
    <row r="23" spans="2:33" x14ac:dyDescent="0.35">
      <c r="B23" s="864" t="s">
        <v>1805</v>
      </c>
      <c r="C23" s="865"/>
      <c r="D23" s="862">
        <f t="shared" ref="D23:AF23" si="10">(D12+1)^0.25-1</f>
        <v>3.7677794973836054E-3</v>
      </c>
      <c r="E23" s="862">
        <f t="shared" si="10"/>
        <v>2.0833142133425131E-3</v>
      </c>
      <c r="F23" s="862">
        <f t="shared" si="10"/>
        <v>6.127046928233737E-3</v>
      </c>
      <c r="G23" s="862">
        <f t="shared" si="10"/>
        <v>2.6124871423760521E-3</v>
      </c>
      <c r="H23" s="862">
        <f t="shared" si="10"/>
        <v>3.6225305055199719E-3</v>
      </c>
      <c r="I23" s="862">
        <f t="shared" si="10"/>
        <v>3.6456401581284048E-3</v>
      </c>
      <c r="J23" s="862">
        <f t="shared" si="10"/>
        <v>-4.5157103455735204E-3</v>
      </c>
      <c r="K23" s="862">
        <f t="shared" si="10"/>
        <v>8.3389922585903609E-3</v>
      </c>
      <c r="L23" s="862">
        <f t="shared" si="10"/>
        <v>4.0856275703535783E-3</v>
      </c>
      <c r="M23" s="862">
        <f t="shared" si="10"/>
        <v>1.1071265683547882E-2</v>
      </c>
      <c r="N23" s="862">
        <f t="shared" si="10"/>
        <v>1.5735147135566452E-2</v>
      </c>
      <c r="O23" s="862">
        <f t="shared" si="10"/>
        <v>1.3714972395896918E-2</v>
      </c>
      <c r="P23" s="862">
        <f t="shared" si="10"/>
        <v>1.5118586412170565E-2</v>
      </c>
      <c r="Q23" s="862">
        <f t="shared" si="10"/>
        <v>1.8193665219635502E-2</v>
      </c>
      <c r="R23" s="862">
        <f t="shared" si="10"/>
        <v>1.7752216949378008E-2</v>
      </c>
      <c r="S23" s="863">
        <f t="shared" si="10"/>
        <v>1.0623963938950931E-2</v>
      </c>
      <c r="T23" s="862">
        <f t="shared" si="10"/>
        <v>7.7973497091143873E-3</v>
      </c>
      <c r="U23" s="862">
        <f t="shared" si="10"/>
        <v>8.8139015717265679E-3</v>
      </c>
      <c r="V23" s="862">
        <f t="shared" si="10"/>
        <v>8.3188189000429347E-3</v>
      </c>
      <c r="W23" s="862">
        <f t="shared" si="10"/>
        <v>8.1907640097225176E-3</v>
      </c>
      <c r="X23" s="862">
        <f t="shared" si="10"/>
        <v>7.3454744803962413E-3</v>
      </c>
      <c r="Y23" s="862">
        <f t="shared" si="10"/>
        <v>6.5490951570947864E-3</v>
      </c>
      <c r="Z23" s="862">
        <f t="shared" si="10"/>
        <v>5.9906111616996327E-3</v>
      </c>
      <c r="AA23" s="862">
        <f t="shared" si="10"/>
        <v>5.71393990210467E-3</v>
      </c>
      <c r="AB23" s="862">
        <f t="shared" si="10"/>
        <v>5.5553568504056461E-3</v>
      </c>
      <c r="AC23" s="862">
        <f t="shared" si="10"/>
        <v>5.5715712180339771E-3</v>
      </c>
      <c r="AD23" s="862">
        <f t="shared" si="10"/>
        <v>5.4727745674469919E-3</v>
      </c>
      <c r="AE23" s="862">
        <f t="shared" si="10"/>
        <v>5.39423977829534E-3</v>
      </c>
      <c r="AF23" s="863">
        <f t="shared" si="10"/>
        <v>5.354680872593276E-3</v>
      </c>
    </row>
    <row r="24" spans="2:33" x14ac:dyDescent="0.35">
      <c r="B24" s="866" t="s">
        <v>1806</v>
      </c>
      <c r="C24" s="865"/>
      <c r="D24" s="862">
        <f t="shared" ref="D24:AF24" si="11">(D14+1)^0.25-1</f>
        <v>7.3320914354932931E-3</v>
      </c>
      <c r="E24" s="862">
        <f t="shared" si="11"/>
        <v>1.0667565499398624E-2</v>
      </c>
      <c r="F24" s="862">
        <f t="shared" si="11"/>
        <v>-6.652064573700045E-3</v>
      </c>
      <c r="G24" s="862">
        <f t="shared" si="11"/>
        <v>2.495349575790673E-3</v>
      </c>
      <c r="H24" s="862">
        <f t="shared" si="11"/>
        <v>4.0369297610427513E-3</v>
      </c>
      <c r="I24" s="862">
        <f t="shared" si="11"/>
        <v>3.3806321331337763E-3</v>
      </c>
      <c r="J24" s="862">
        <f t="shared" si="11"/>
        <v>8.2658736219798357E-4</v>
      </c>
      <c r="K24" s="862">
        <f t="shared" si="11"/>
        <v>6.4276929430036045E-3</v>
      </c>
      <c r="L24" s="862">
        <f t="shared" si="11"/>
        <v>6.0566056248829714E-3</v>
      </c>
      <c r="M24" s="862">
        <f t="shared" si="11"/>
        <v>1.0054261091605454E-2</v>
      </c>
      <c r="N24" s="862">
        <f t="shared" si="11"/>
        <v>1.0156071698179447E-2</v>
      </c>
      <c r="O24" s="862">
        <f t="shared" si="11"/>
        <v>1.0827344693645324E-2</v>
      </c>
      <c r="P24" s="862">
        <f t="shared" si="11"/>
        <v>1.0685579196217487E-2</v>
      </c>
      <c r="Q24" s="862">
        <f t="shared" si="11"/>
        <v>1.3906845400109002E-2</v>
      </c>
      <c r="R24" s="862">
        <f t="shared" si="11"/>
        <v>1.4664060468276618E-2</v>
      </c>
      <c r="S24" s="863">
        <f t="shared" si="11"/>
        <v>1.1839505254193972E-2</v>
      </c>
      <c r="T24" s="862">
        <f t="shared" si="11"/>
        <v>7.059804057753194E-3</v>
      </c>
      <c r="U24" s="862">
        <f t="shared" si="11"/>
        <v>6.420346547156619E-3</v>
      </c>
      <c r="V24" s="862">
        <f t="shared" si="11"/>
        <v>5.8253876907148339E-3</v>
      </c>
      <c r="W24" s="862">
        <f t="shared" si="11"/>
        <v>6.2764579641267915E-3</v>
      </c>
      <c r="X24" s="862">
        <f t="shared" si="11"/>
        <v>6.3178989208103609E-3</v>
      </c>
      <c r="Y24" s="862">
        <f t="shared" si="11"/>
        <v>7.2725232743062751E-3</v>
      </c>
      <c r="Z24" s="862">
        <f t="shared" si="11"/>
        <v>6.9843961411393263E-3</v>
      </c>
      <c r="AA24" s="862">
        <f t="shared" si="11"/>
        <v>6.8014963862881306E-3</v>
      </c>
      <c r="AB24" s="862">
        <f t="shared" si="11"/>
        <v>6.6185723821980957E-3</v>
      </c>
      <c r="AC24" s="862">
        <f t="shared" si="11"/>
        <v>5.9560502446180941E-3</v>
      </c>
      <c r="AD24" s="862">
        <f t="shared" si="11"/>
        <v>6.067611283465224E-3</v>
      </c>
      <c r="AE24" s="862">
        <f t="shared" si="11"/>
        <v>6.0497061196782553E-3</v>
      </c>
      <c r="AF24" s="863">
        <f t="shared" si="11"/>
        <v>5.9764663763033354E-3</v>
      </c>
    </row>
    <row r="25" spans="2:33" x14ac:dyDescent="0.35">
      <c r="B25" s="866" t="s">
        <v>1807</v>
      </c>
      <c r="C25" s="865"/>
      <c r="D25" s="862">
        <f t="shared" ref="D25:AF25" si="12">(D16+1)^0.25-1</f>
        <v>5.1450282316933826E-3</v>
      </c>
      <c r="E25" s="862">
        <f t="shared" si="12"/>
        <v>-2.7387191894091556E-3</v>
      </c>
      <c r="F25" s="862">
        <f t="shared" si="12"/>
        <v>7.3964237457664339E-3</v>
      </c>
      <c r="G25" s="862">
        <f t="shared" si="12"/>
        <v>2.6215630089621023E-3</v>
      </c>
      <c r="H25" s="862">
        <f t="shared" si="12"/>
        <v>3.7092374780660631E-3</v>
      </c>
      <c r="I25" s="862">
        <f t="shared" si="12"/>
        <v>1.0619239257432245E-2</v>
      </c>
      <c r="J25" s="862">
        <f t="shared" si="12"/>
        <v>-5.737676840339434E-4</v>
      </c>
      <c r="K25" s="862">
        <f t="shared" si="12"/>
        <v>8.8513774045670957E-3</v>
      </c>
      <c r="L25" s="862">
        <f t="shared" si="12"/>
        <v>1.1194346769946906E-2</v>
      </c>
      <c r="M25" s="862">
        <f t="shared" si="12"/>
        <v>2.1242104555839303E-2</v>
      </c>
      <c r="N25" s="862">
        <f t="shared" si="12"/>
        <v>2.0578196323559839E-2</v>
      </c>
      <c r="O25" s="862">
        <f t="shared" si="12"/>
        <v>1.6988080943209027E-2</v>
      </c>
      <c r="P25" s="862">
        <f t="shared" si="12"/>
        <v>2.1886762550021865E-2</v>
      </c>
      <c r="Q25" s="862">
        <f t="shared" si="12"/>
        <v>2.5411571298960212E-2</v>
      </c>
      <c r="R25" s="862">
        <f t="shared" si="12"/>
        <v>3.5512803061239939E-2</v>
      </c>
      <c r="S25" s="863">
        <f t="shared" si="12"/>
        <v>7.1861535090920192E-3</v>
      </c>
      <c r="T25" s="862">
        <f t="shared" si="12"/>
        <v>7.6714474237569164E-3</v>
      </c>
      <c r="U25" s="862">
        <f t="shared" si="12"/>
        <v>8.5814151419392193E-3</v>
      </c>
      <c r="V25" s="862">
        <f t="shared" si="12"/>
        <v>8.0131585685250251E-3</v>
      </c>
      <c r="W25" s="862">
        <f t="shared" si="12"/>
        <v>8.630577055315225E-3</v>
      </c>
      <c r="X25" s="862">
        <f t="shared" si="12"/>
        <v>8.4934420030498003E-3</v>
      </c>
      <c r="Y25" s="862">
        <f t="shared" si="12"/>
        <v>7.7301491027170766E-3</v>
      </c>
      <c r="Z25" s="862">
        <f t="shared" si="12"/>
        <v>6.9446663109324902E-3</v>
      </c>
      <c r="AA25" s="862">
        <f t="shared" si="12"/>
        <v>6.7023012839417806E-3</v>
      </c>
      <c r="AB25" s="862">
        <f t="shared" si="12"/>
        <v>6.5949786314196679E-3</v>
      </c>
      <c r="AC25" s="862">
        <f t="shared" si="12"/>
        <v>6.8419370723198369E-3</v>
      </c>
      <c r="AD25" s="862">
        <f t="shared" si="12"/>
        <v>6.764302704038716E-3</v>
      </c>
      <c r="AE25" s="862">
        <f t="shared" si="12"/>
        <v>6.7975249786220715E-3</v>
      </c>
      <c r="AF25" s="863">
        <f t="shared" si="12"/>
        <v>6.7159232896483179E-3</v>
      </c>
    </row>
    <row r="26" spans="2:33" x14ac:dyDescent="0.35">
      <c r="B26" s="866" t="s">
        <v>1808</v>
      </c>
      <c r="C26" s="865"/>
      <c r="D26" s="862">
        <f t="shared" ref="D26:AF26" si="13">(D18+1)^0.25-1</f>
        <v>3.9851828444024129E-3</v>
      </c>
      <c r="E26" s="862">
        <f t="shared" si="13"/>
        <v>-4.2141708050640325E-3</v>
      </c>
      <c r="F26" s="862">
        <f t="shared" si="13"/>
        <v>6.3919082655803372E-3</v>
      </c>
      <c r="G26" s="862">
        <f t="shared" si="13"/>
        <v>2.1461848510757608E-3</v>
      </c>
      <c r="H26" s="862">
        <f t="shared" si="13"/>
        <v>4.2222376989240473E-3</v>
      </c>
      <c r="I26" s="862">
        <f t="shared" si="13"/>
        <v>1.2431406205300366E-2</v>
      </c>
      <c r="J26" s="862">
        <f t="shared" si="13"/>
        <v>-2.6544050279575515E-4</v>
      </c>
      <c r="K26" s="862">
        <f t="shared" si="13"/>
        <v>8.5391757168795657E-3</v>
      </c>
      <c r="L26" s="862">
        <f t="shared" si="13"/>
        <v>1.2645113075675285E-2</v>
      </c>
      <c r="M26" s="862">
        <f t="shared" si="13"/>
        <v>2.2441757099008752E-2</v>
      </c>
      <c r="N26" s="862">
        <f t="shared" si="13"/>
        <v>1.9562328778359062E-2</v>
      </c>
      <c r="O26" s="862">
        <f t="shared" si="13"/>
        <v>1.5792056507083485E-2</v>
      </c>
      <c r="P26" s="862">
        <f t="shared" si="13"/>
        <v>2.0401374875263389E-2</v>
      </c>
      <c r="Q26" s="862">
        <f t="shared" si="13"/>
        <v>2.4394219276322904E-2</v>
      </c>
      <c r="R26" s="862">
        <f t="shared" si="13"/>
        <v>3.6057127703905678E-2</v>
      </c>
      <c r="S26" s="863">
        <f t="shared" si="13"/>
        <v>4.0806177967589452E-3</v>
      </c>
      <c r="T26" s="862">
        <f t="shared" si="13"/>
        <v>6.5767432375349877E-3</v>
      </c>
      <c r="U26" s="862">
        <f t="shared" si="13"/>
        <v>8.5814151419392193E-3</v>
      </c>
      <c r="V26" s="862">
        <f t="shared" si="13"/>
        <v>8.0131585685250251E-3</v>
      </c>
      <c r="W26" s="862">
        <f t="shared" si="13"/>
        <v>8.630577055315225E-3</v>
      </c>
      <c r="X26" s="862">
        <f t="shared" si="13"/>
        <v>8.4934420030498003E-3</v>
      </c>
      <c r="Y26" s="862">
        <f t="shared" si="13"/>
        <v>7.7301491027170766E-3</v>
      </c>
      <c r="Z26" s="862">
        <f t="shared" si="13"/>
        <v>6.9446663109324902E-3</v>
      </c>
      <c r="AA26" s="862">
        <f t="shared" si="13"/>
        <v>6.7023012839417806E-3</v>
      </c>
      <c r="AB26" s="862">
        <f t="shared" si="13"/>
        <v>6.5949786314196679E-3</v>
      </c>
      <c r="AC26" s="862">
        <f t="shared" si="13"/>
        <v>6.8419370723198369E-3</v>
      </c>
      <c r="AD26" s="862">
        <f t="shared" si="13"/>
        <v>6.764302704038716E-3</v>
      </c>
      <c r="AE26" s="862">
        <f t="shared" si="13"/>
        <v>6.7975249786220715E-3</v>
      </c>
      <c r="AF26" s="863">
        <f t="shared" si="13"/>
        <v>6.7159232896483179E-3</v>
      </c>
    </row>
    <row r="27" spans="2:33" x14ac:dyDescent="0.35">
      <c r="B27" s="867" t="s">
        <v>1809</v>
      </c>
      <c r="C27" s="868"/>
      <c r="D27" s="869">
        <f t="shared" ref="D27:AF27" si="14">(D20+1)^0.25-1</f>
        <v>1.0317235016500392E-2</v>
      </c>
      <c r="E27" s="869">
        <f t="shared" si="14"/>
        <v>3.9073818785286818E-3</v>
      </c>
      <c r="F27" s="869">
        <f t="shared" si="14"/>
        <v>1.1798971416576265E-2</v>
      </c>
      <c r="G27" s="869">
        <f t="shared" si="14"/>
        <v>4.7371651351562072E-3</v>
      </c>
      <c r="H27" s="869">
        <f t="shared" si="14"/>
        <v>1.4712335131508159E-3</v>
      </c>
      <c r="I27" s="869">
        <f t="shared" si="14"/>
        <v>2.5945017182129604E-3</v>
      </c>
      <c r="J27" s="869">
        <f t="shared" si="14"/>
        <v>-1.9194186903395138E-3</v>
      </c>
      <c r="K27" s="869">
        <f t="shared" si="14"/>
        <v>1.0182180325898571E-2</v>
      </c>
      <c r="L27" s="869">
        <f t="shared" si="14"/>
        <v>4.5723415828120562E-3</v>
      </c>
      <c r="M27" s="869">
        <f t="shared" si="14"/>
        <v>1.5668093602477118E-2</v>
      </c>
      <c r="N27" s="869">
        <f t="shared" si="14"/>
        <v>2.5180335515684549E-2</v>
      </c>
      <c r="O27" s="869">
        <f t="shared" si="14"/>
        <v>2.2628110857430661E-2</v>
      </c>
      <c r="P27" s="869">
        <f t="shared" si="14"/>
        <v>2.9023851519918598E-2</v>
      </c>
      <c r="Q27" s="869">
        <f t="shared" si="14"/>
        <v>3.0313091147743609E-2</v>
      </c>
      <c r="R27" s="869">
        <f t="shared" si="14"/>
        <v>3.2838482925038104E-2</v>
      </c>
      <c r="S27" s="870">
        <f t="shared" si="14"/>
        <v>2.2543407123629677E-2</v>
      </c>
      <c r="T27" s="869">
        <f t="shared" si="14"/>
        <v>1.2914212729723928E-2</v>
      </c>
      <c r="U27" s="869">
        <f t="shared" si="14"/>
        <v>8.5814151419392193E-3</v>
      </c>
      <c r="V27" s="869">
        <f t="shared" si="14"/>
        <v>8.0131585685250251E-3</v>
      </c>
      <c r="W27" s="869">
        <f t="shared" si="14"/>
        <v>8.630577055315225E-3</v>
      </c>
      <c r="X27" s="869">
        <f t="shared" si="14"/>
        <v>8.4934420030498003E-3</v>
      </c>
      <c r="Y27" s="869">
        <f t="shared" si="14"/>
        <v>7.7301491027170766E-3</v>
      </c>
      <c r="Z27" s="869">
        <f t="shared" si="14"/>
        <v>6.9446663109324902E-3</v>
      </c>
      <c r="AA27" s="869">
        <f t="shared" si="14"/>
        <v>6.7023012839417806E-3</v>
      </c>
      <c r="AB27" s="869">
        <f t="shared" si="14"/>
        <v>6.5949786314196679E-3</v>
      </c>
      <c r="AC27" s="869">
        <f t="shared" si="14"/>
        <v>6.8419370723198369E-3</v>
      </c>
      <c r="AD27" s="869">
        <f t="shared" si="14"/>
        <v>6.764302704038716E-3</v>
      </c>
      <c r="AE27" s="869">
        <f t="shared" si="14"/>
        <v>6.7975249786220715E-3</v>
      </c>
      <c r="AF27" s="870">
        <f t="shared" si="14"/>
        <v>6.7159232896483179E-3</v>
      </c>
    </row>
    <row r="28" spans="2:33" x14ac:dyDescent="0.35">
      <c r="B28" s="74"/>
      <c r="C28" s="829"/>
      <c r="D28" s="810"/>
      <c r="E28" s="810"/>
      <c r="F28" s="810"/>
      <c r="G28" s="810"/>
      <c r="H28" s="810"/>
      <c r="I28" s="810"/>
      <c r="J28" s="810"/>
      <c r="K28" s="810"/>
      <c r="L28" s="810"/>
      <c r="M28" s="810"/>
      <c r="N28" s="810"/>
      <c r="O28" s="810"/>
      <c r="P28" s="810"/>
      <c r="Q28" s="810"/>
      <c r="R28" s="810"/>
      <c r="S28" s="810"/>
      <c r="T28" s="810"/>
      <c r="U28" s="810"/>
      <c r="V28" s="810"/>
      <c r="W28" s="810"/>
      <c r="X28" s="810"/>
      <c r="Y28" s="810"/>
      <c r="Z28" s="810"/>
      <c r="AA28" s="810"/>
      <c r="AB28" s="810"/>
      <c r="AC28" s="810"/>
      <c r="AD28" s="810"/>
      <c r="AE28" s="810"/>
      <c r="AF28" s="810"/>
    </row>
    <row r="29" spans="2:33" x14ac:dyDescent="0.35">
      <c r="B29" s="74"/>
      <c r="C29" s="829"/>
      <c r="D29" s="810"/>
      <c r="E29" s="810"/>
      <c r="F29" s="810"/>
      <c r="G29" s="810"/>
      <c r="H29" s="810"/>
      <c r="I29" s="810"/>
      <c r="J29" s="810"/>
      <c r="K29" s="810"/>
      <c r="L29" s="810"/>
      <c r="M29" s="810"/>
      <c r="N29" s="810"/>
      <c r="O29" s="810"/>
      <c r="P29" s="810"/>
      <c r="Q29" s="810"/>
      <c r="R29" s="810"/>
      <c r="S29" s="810"/>
      <c r="T29" s="810"/>
      <c r="U29" s="810"/>
      <c r="V29" s="810"/>
      <c r="W29" s="810"/>
      <c r="X29" s="810"/>
      <c r="Y29" s="810"/>
      <c r="Z29" s="810"/>
      <c r="AA29" s="810"/>
      <c r="AB29" s="810"/>
      <c r="AC29" s="810"/>
      <c r="AD29" s="810"/>
      <c r="AE29" s="810"/>
      <c r="AF29" s="810"/>
    </row>
    <row r="30" spans="2:33" x14ac:dyDescent="0.35">
      <c r="B30" s="74"/>
      <c r="C30" s="829"/>
      <c r="D30" s="810"/>
      <c r="E30" s="810"/>
      <c r="F30" s="810"/>
      <c r="G30" s="810"/>
      <c r="H30" s="810"/>
      <c r="I30" s="810"/>
      <c r="J30" s="810"/>
      <c r="K30" s="810"/>
      <c r="L30" s="810"/>
      <c r="M30" s="810"/>
      <c r="N30" s="810"/>
      <c r="O30" s="810"/>
      <c r="P30" s="810"/>
      <c r="Q30" s="810"/>
      <c r="R30" s="810"/>
      <c r="S30" s="810"/>
      <c r="T30" s="810"/>
      <c r="U30" s="810"/>
      <c r="V30" s="810"/>
      <c r="W30" s="810"/>
      <c r="X30" s="810"/>
      <c r="Y30" s="810"/>
      <c r="Z30" s="810"/>
      <c r="AA30" s="810"/>
      <c r="AB30" s="810"/>
      <c r="AC30" s="810"/>
      <c r="AD30" s="810"/>
      <c r="AE30" s="810"/>
      <c r="AF30" s="810"/>
    </row>
    <row r="31" spans="2:33" x14ac:dyDescent="0.35">
      <c r="B31" s="74"/>
      <c r="C31" s="829"/>
      <c r="D31" s="810"/>
      <c r="E31" s="810"/>
      <c r="F31" s="810"/>
      <c r="G31" s="810"/>
      <c r="H31" s="810"/>
      <c r="I31" s="810"/>
      <c r="J31" s="810"/>
      <c r="K31" s="810"/>
      <c r="L31" s="810"/>
      <c r="M31" s="810"/>
      <c r="N31" s="810"/>
      <c r="O31" s="810"/>
      <c r="P31" s="810"/>
      <c r="Q31" s="810"/>
      <c r="R31" s="810"/>
      <c r="S31" s="810"/>
      <c r="T31" s="810"/>
      <c r="U31" s="810"/>
      <c r="V31" s="810"/>
      <c r="W31" s="810"/>
      <c r="X31" s="810"/>
      <c r="Y31" s="810"/>
      <c r="Z31" s="810"/>
      <c r="AA31" s="810"/>
      <c r="AB31" s="810"/>
      <c r="AC31" s="810"/>
      <c r="AD31" s="810"/>
      <c r="AE31" s="810"/>
      <c r="AF31" s="810"/>
    </row>
    <row r="32" spans="2:33" x14ac:dyDescent="0.35">
      <c r="B32" s="74"/>
      <c r="C32" s="829"/>
      <c r="D32" s="810"/>
      <c r="E32" s="810"/>
      <c r="F32" s="810"/>
      <c r="G32" s="810"/>
      <c r="H32" s="810"/>
      <c r="I32" s="810"/>
      <c r="J32" s="810"/>
      <c r="K32" s="810"/>
      <c r="L32" s="810"/>
      <c r="M32" s="810"/>
      <c r="N32" s="810"/>
      <c r="O32" s="810"/>
      <c r="P32" s="810"/>
      <c r="Q32" s="810"/>
      <c r="R32" s="810"/>
      <c r="S32" s="810"/>
      <c r="T32" s="810"/>
      <c r="U32" s="810"/>
      <c r="V32" s="810"/>
      <c r="W32" s="810"/>
      <c r="X32" s="810"/>
      <c r="Y32" s="810"/>
      <c r="Z32" s="810"/>
      <c r="AA32" s="810"/>
      <c r="AB32" s="810"/>
      <c r="AC32" s="810"/>
      <c r="AD32" s="810"/>
      <c r="AE32" s="810"/>
      <c r="AF32" s="810"/>
    </row>
    <row r="33" spans="2:41" x14ac:dyDescent="0.35">
      <c r="B33" s="74"/>
      <c r="C33" s="829"/>
      <c r="D33" s="810"/>
      <c r="E33" s="810"/>
      <c r="F33" s="810"/>
      <c r="G33" s="810"/>
      <c r="H33" s="810"/>
      <c r="I33" s="810"/>
      <c r="J33" s="810"/>
      <c r="K33" s="810"/>
      <c r="L33" s="810"/>
      <c r="M33" s="810"/>
      <c r="N33" s="810"/>
      <c r="O33" s="810"/>
      <c r="P33" s="810"/>
      <c r="Q33" s="810"/>
      <c r="R33" s="810"/>
      <c r="S33" s="810"/>
      <c r="T33" s="810"/>
      <c r="U33" s="810"/>
      <c r="V33" s="810"/>
      <c r="W33" s="810"/>
      <c r="X33" s="810"/>
      <c r="Y33" s="810"/>
      <c r="Z33" s="810"/>
      <c r="AA33" s="810"/>
      <c r="AB33" s="810"/>
      <c r="AC33" s="810"/>
      <c r="AD33" s="810"/>
      <c r="AE33" s="810"/>
      <c r="AF33" s="810"/>
    </row>
    <row r="34" spans="2:41" x14ac:dyDescent="0.35">
      <c r="B34" s="1583" t="s">
        <v>1832</v>
      </c>
      <c r="C34" s="1583"/>
      <c r="D34" s="808"/>
      <c r="E34" s="808"/>
      <c r="F34" s="808"/>
      <c r="G34" s="808"/>
      <c r="H34" s="808"/>
      <c r="I34" s="808"/>
      <c r="J34" s="808"/>
      <c r="K34" s="808"/>
      <c r="L34" s="808"/>
      <c r="M34" s="808"/>
      <c r="N34" s="808"/>
      <c r="O34" s="808"/>
      <c r="P34" s="808"/>
      <c r="Q34" s="808"/>
      <c r="R34" s="808"/>
      <c r="S34" s="808"/>
      <c r="T34" s="808"/>
      <c r="U34" s="808"/>
      <c r="V34" s="808"/>
      <c r="W34" s="808"/>
      <c r="X34" s="808"/>
      <c r="Y34" s="808"/>
      <c r="Z34" s="808"/>
      <c r="AA34" s="808"/>
      <c r="AB34" s="808"/>
      <c r="AC34" s="808"/>
    </row>
    <row r="35" spans="2:41" x14ac:dyDescent="0.35">
      <c r="B35" s="1596" t="s">
        <v>1804</v>
      </c>
      <c r="C35" s="1438"/>
      <c r="D35" s="1599" t="s">
        <v>1833</v>
      </c>
      <c r="E35" s="1600"/>
      <c r="F35" s="1600"/>
      <c r="G35" s="1600"/>
      <c r="H35" s="1600"/>
      <c r="I35" s="1600"/>
      <c r="J35" s="1600"/>
      <c r="K35" s="1600"/>
      <c r="L35" s="1600"/>
      <c r="M35" s="1600"/>
      <c r="N35" s="1600"/>
      <c r="O35" s="1600"/>
      <c r="P35" s="1600"/>
      <c r="Q35" s="1601"/>
      <c r="R35" s="1601"/>
      <c r="S35" s="1601"/>
      <c r="T35" s="1601"/>
      <c r="U35" s="1451" t="s">
        <v>1885</v>
      </c>
      <c r="V35" s="1451"/>
      <c r="W35" s="1451"/>
      <c r="X35" s="1451"/>
      <c r="Y35" s="1451"/>
      <c r="Z35" s="1451"/>
      <c r="AA35" s="1451"/>
      <c r="AB35" s="1451"/>
      <c r="AC35" s="1451"/>
      <c r="AD35" s="1451"/>
      <c r="AE35" s="1451"/>
      <c r="AF35" s="1452"/>
    </row>
    <row r="36" spans="2:41" x14ac:dyDescent="0.35">
      <c r="B36" s="1439"/>
      <c r="C36" s="1440"/>
      <c r="D36" s="137">
        <v>2018</v>
      </c>
      <c r="E36" s="1465">
        <v>2019</v>
      </c>
      <c r="F36" s="1466"/>
      <c r="G36" s="1466"/>
      <c r="H36" s="1473"/>
      <c r="I36" s="1465">
        <v>2020</v>
      </c>
      <c r="J36" s="1466"/>
      <c r="K36" s="1466"/>
      <c r="L36" s="1466"/>
      <c r="M36" s="1465">
        <v>2021</v>
      </c>
      <c r="N36" s="1466"/>
      <c r="O36" s="1466"/>
      <c r="P36" s="1466"/>
      <c r="Q36" s="1418">
        <v>2022</v>
      </c>
      <c r="R36" s="1419"/>
      <c r="S36" s="1419"/>
      <c r="T36" s="1436"/>
      <c r="U36" s="1441">
        <v>2023</v>
      </c>
      <c r="V36" s="1442"/>
      <c r="W36" s="1442"/>
      <c r="X36" s="1442"/>
      <c r="Y36" s="1444">
        <v>2024</v>
      </c>
      <c r="Z36" s="1442"/>
      <c r="AA36" s="1442"/>
      <c r="AB36" s="1443"/>
      <c r="AC36" s="1444">
        <v>2025</v>
      </c>
      <c r="AD36" s="1442"/>
      <c r="AE36" s="1442"/>
      <c r="AF36" s="1443"/>
    </row>
    <row r="37" spans="2:41" x14ac:dyDescent="0.35">
      <c r="B37" s="1454"/>
      <c r="C37" s="1455"/>
      <c r="D37" s="137" t="s">
        <v>327</v>
      </c>
      <c r="E37" s="137" t="s">
        <v>328</v>
      </c>
      <c r="F37" s="150" t="s">
        <v>329</v>
      </c>
      <c r="G37" s="150" t="s">
        <v>238</v>
      </c>
      <c r="H37" s="226" t="s">
        <v>327</v>
      </c>
      <c r="I37" s="150" t="s">
        <v>328</v>
      </c>
      <c r="J37" s="150" t="s">
        <v>329</v>
      </c>
      <c r="K37" s="150" t="s">
        <v>238</v>
      </c>
      <c r="L37" s="150" t="s">
        <v>327</v>
      </c>
      <c r="M37" s="137" t="s">
        <v>328</v>
      </c>
      <c r="N37" s="150" t="s">
        <v>329</v>
      </c>
      <c r="O37" s="150" t="s">
        <v>238</v>
      </c>
      <c r="P37" s="150" t="s">
        <v>327</v>
      </c>
      <c r="Q37" s="137" t="s">
        <v>328</v>
      </c>
      <c r="R37" s="150" t="s">
        <v>329</v>
      </c>
      <c r="S37" s="150" t="s">
        <v>238</v>
      </c>
      <c r="T37" s="226" t="s">
        <v>327</v>
      </c>
      <c r="U37" s="310" t="s">
        <v>328</v>
      </c>
      <c r="V37" s="310" t="s">
        <v>329</v>
      </c>
      <c r="W37" s="310" t="s">
        <v>238</v>
      </c>
      <c r="X37" s="310" t="s">
        <v>327</v>
      </c>
      <c r="Y37" s="379" t="s">
        <v>328</v>
      </c>
      <c r="Z37" s="267" t="s">
        <v>329</v>
      </c>
      <c r="AA37" s="310" t="s">
        <v>238</v>
      </c>
      <c r="AB37" s="155" t="s">
        <v>327</v>
      </c>
      <c r="AC37" s="404" t="s">
        <v>328</v>
      </c>
      <c r="AD37" s="310" t="s">
        <v>329</v>
      </c>
      <c r="AE37" s="310" t="s">
        <v>238</v>
      </c>
      <c r="AF37" s="155" t="s">
        <v>327</v>
      </c>
    </row>
    <row r="38" spans="2:41" x14ac:dyDescent="0.35">
      <c r="B38" s="827" t="s">
        <v>1805</v>
      </c>
      <c r="C38" s="828" t="s">
        <v>1793</v>
      </c>
      <c r="D38" s="812">
        <f>('Haver Pivoted'!GO76+1)^4-1</f>
        <v>1.5156509117148609E-2</v>
      </c>
      <c r="E38" s="813">
        <f>('Haver Pivoted'!GP76+1)^4-1</f>
        <v>8.3593342288621475E-3</v>
      </c>
      <c r="F38" s="813">
        <f>('Haver Pivoted'!GQ76+1)^4-1</f>
        <v>2.4734353401225873E-2</v>
      </c>
      <c r="G38" s="813">
        <f>('Haver Pivoted'!GR76+1)^4-1</f>
        <v>1.0490970472330163E-2</v>
      </c>
      <c r="H38" s="813">
        <f>('Haver Pivoted'!GS76+1)^4-1</f>
        <v>1.4569048707785859E-2</v>
      </c>
      <c r="I38" s="813">
        <f>('Haver Pivoted'!GT76+1)^4-1</f>
        <v>1.4662498774455912E-2</v>
      </c>
      <c r="J38" s="813">
        <f>('Haver Pivoted'!GU76+1)^4-1</f>
        <v>-1.794085945788193E-2</v>
      </c>
      <c r="K38" s="813">
        <f>('Haver Pivoted'!GV76+1)^4-1</f>
        <v>3.3775526155126689E-2</v>
      </c>
      <c r="L38" s="813">
        <f>('Haver Pivoted'!GW76+1)^4-1</f>
        <v>1.6442937470855457E-2</v>
      </c>
      <c r="M38" s="813">
        <f>('Haver Pivoted'!GX76+1)^4-1</f>
        <v>4.5025943450949013E-2</v>
      </c>
      <c r="N38" s="813">
        <f>('Haver Pivoted'!GY76+1)^4-1</f>
        <v>6.444180274366329E-2</v>
      </c>
      <c r="O38" s="813">
        <f>('Haver Pivoted'!GZ76+1)^4-1</f>
        <v>5.5998846943190017E-2</v>
      </c>
      <c r="P38" s="813">
        <f>('Haver Pivoted'!HA76+1)^4-1</f>
        <v>6.1859650545573519E-2</v>
      </c>
      <c r="Q38" s="813">
        <f>('Haver Pivoted'!HB76+1)^4-1</f>
        <v>7.4784916271317448E-2</v>
      </c>
      <c r="R38" s="813">
        <f>('Haver Pivoted'!HC76+1)^4-1</f>
        <v>7.2922192171477107E-2</v>
      </c>
      <c r="S38" s="814">
        <f>('Haver Pivoted'!HD76+1)^4-1</f>
        <v>4.3177876601944165E-2</v>
      </c>
      <c r="T38" s="815">
        <f>('Haver Pivoted'!HE76+1)^4-1</f>
        <v>3.15560907815855E-2</v>
      </c>
      <c r="U38" s="832">
        <f t="shared" ref="U38:AF38" si="15">(U61/T61)^4-1</f>
        <v>3.5724460314211282E-2</v>
      </c>
      <c r="V38" s="832">
        <f t="shared" si="15"/>
        <v>3.3692799617050628E-2</v>
      </c>
      <c r="W38" s="832">
        <f t="shared" si="15"/>
        <v>3.3167790258204821E-2</v>
      </c>
      <c r="X38" s="832">
        <f t="shared" si="15"/>
        <v>2.9707222134434552E-2</v>
      </c>
      <c r="Y38" s="832">
        <f t="shared" si="15"/>
        <v>2.6454849931970781E-2</v>
      </c>
      <c r="Z38" s="832">
        <f t="shared" si="15"/>
        <v>2.4178630417615032E-2</v>
      </c>
      <c r="AA38" s="832">
        <f t="shared" si="15"/>
        <v>2.3052401549803703E-2</v>
      </c>
      <c r="AB38" s="832">
        <f t="shared" si="15"/>
        <v>2.2407286089961342E-2</v>
      </c>
      <c r="AC38" s="832">
        <f t="shared" si="15"/>
        <v>2.2473232090692186E-2</v>
      </c>
      <c r="AD38" s="832">
        <f t="shared" si="15"/>
        <v>2.2071462401670683E-2</v>
      </c>
      <c r="AE38" s="832">
        <f t="shared" si="15"/>
        <v>2.1752174739111618E-2</v>
      </c>
      <c r="AF38" s="833">
        <f t="shared" si="15"/>
        <v>2.1591374086621817E-2</v>
      </c>
    </row>
    <row r="39" spans="2:41" x14ac:dyDescent="0.35">
      <c r="B39" s="73" t="s">
        <v>1806</v>
      </c>
      <c r="C39" s="829" t="s">
        <v>1794</v>
      </c>
      <c r="D39" s="834">
        <f>('Haver Pivoted'!GO77+1)^4-1</f>
        <v>2.9652502701153827E-2</v>
      </c>
      <c r="E39" s="810">
        <f>('Haver Pivoted'!GP77+1)^4-1</f>
        <v>4.3357912415273203E-2</v>
      </c>
      <c r="F39" s="810">
        <f>('Haver Pivoted'!GQ77+1)^4-1</f>
        <v>-2.634393397263235E-2</v>
      </c>
      <c r="G39" s="810">
        <f>('Haver Pivoted'!GR77+1)^4-1</f>
        <v>1.0018821110834297E-2</v>
      </c>
      <c r="H39" s="810">
        <f>('Haver Pivoted'!GS77+1)^4-1</f>
        <v>1.6245763277308534E-2</v>
      </c>
      <c r="I39" s="810">
        <f>('Haver Pivoted'!GT77+1)^4-1</f>
        <v>1.3591255249431944E-2</v>
      </c>
      <c r="J39" s="810">
        <f>('Haver Pivoted'!GU77+1)^4-1</f>
        <v>3.3104511883148557E-3</v>
      </c>
      <c r="K39" s="810">
        <f>('Haver Pivoted'!GV77+1)^4-1</f>
        <v>2.5959727144998501E-2</v>
      </c>
      <c r="L39" s="810">
        <f>('Haver Pivoted'!GW77+1)^4-1</f>
        <v>2.4447407360365325E-2</v>
      </c>
      <c r="M39" s="810">
        <f>('Haver Pivoted'!GX77+1)^4-1</f>
        <v>4.0827649049088865E-2</v>
      </c>
      <c r="N39" s="810">
        <f>('Haver Pivoted'!GY77+1)^4-1</f>
        <v>4.1247362410053112E-2</v>
      </c>
      <c r="O39" s="810">
        <f>('Haver Pivoted'!GZ77+1)^4-1</f>
        <v>4.4017858095279694E-2</v>
      </c>
      <c r="P39" s="810">
        <f>('Haver Pivoted'!HA77+1)^4-1</f>
        <v>4.3432299825096221E-2</v>
      </c>
      <c r="Q39" s="810">
        <f>('Haver Pivoted'!HB77+1)^4-1</f>
        <v>5.6798579453040565E-2</v>
      </c>
      <c r="R39" s="810">
        <f>('Haver Pivoted'!HC77+1)^4-1</f>
        <v>5.9959109255099508E-2</v>
      </c>
      <c r="S39" s="811">
        <f>('Haver Pivoted'!HD77+1)^4-1</f>
        <v>4.8205722331254197E-2</v>
      </c>
      <c r="T39" s="816">
        <f>('Haver Pivoted'!HE77+1)^4-1</f>
        <v>2.853967118119427E-2</v>
      </c>
      <c r="U39" s="810">
        <f t="shared" ref="U39:AF39" si="16">(U62/T62)^4-1</f>
        <v>2.5929771595060602E-2</v>
      </c>
      <c r="V39" s="810">
        <f t="shared" si="16"/>
        <v>2.3505953506363975E-2</v>
      </c>
      <c r="W39" s="810">
        <f t="shared" si="16"/>
        <v>2.5343185973087934E-2</v>
      </c>
      <c r="X39" s="810">
        <f t="shared" si="16"/>
        <v>2.5512101094298911E-2</v>
      </c>
      <c r="Y39" s="810">
        <f t="shared" si="16"/>
        <v>2.940897202642212E-2</v>
      </c>
      <c r="Z39" s="810">
        <f t="shared" si="16"/>
        <v>2.823164052632654E-2</v>
      </c>
      <c r="AA39" s="810">
        <f t="shared" si="16"/>
        <v>2.7484808362226332E-2</v>
      </c>
      <c r="AB39" s="810">
        <f t="shared" si="16"/>
        <v>2.6738284169484539E-2</v>
      </c>
      <c r="AC39" s="810">
        <f t="shared" si="16"/>
        <v>2.4037894596453224E-2</v>
      </c>
      <c r="AD39" s="810">
        <f t="shared" si="16"/>
        <v>2.4492235467838519E-2</v>
      </c>
      <c r="AE39" s="810">
        <f t="shared" si="16"/>
        <v>2.4419305134427693E-2</v>
      </c>
      <c r="AF39" s="835">
        <f t="shared" si="16"/>
        <v>2.4121029556380291E-2</v>
      </c>
    </row>
    <row r="40" spans="2:41" x14ac:dyDescent="0.35">
      <c r="B40" s="73" t="s">
        <v>1807</v>
      </c>
      <c r="C40" s="829" t="s">
        <v>1795</v>
      </c>
      <c r="D40" s="834">
        <f>('Haver Pivoted'!GO78+1)^4-1</f>
        <v>2.0739486303195998E-2</v>
      </c>
      <c r="E40" s="810">
        <f>('Haver Pivoted'!GP78+1)^4-1</f>
        <v>-1.0909955372547464E-2</v>
      </c>
      <c r="F40" s="810">
        <f>('Haver Pivoted'!GQ78+1)^4-1</f>
        <v>2.9915559028399707E-2</v>
      </c>
      <c r="G40" s="810">
        <f>('Haver Pivoted'!GR78+1)^4-1</f>
        <v>1.0527559706478895E-2</v>
      </c>
      <c r="H40" s="810">
        <f>('Haver Pivoted'!GS78+1)^4-1</f>
        <v>1.4919704890896002E-2</v>
      </c>
      <c r="I40" s="810">
        <f>('Haver Pivoted'!GT78+1)^4-1</f>
        <v>4.3158369252632278E-2</v>
      </c>
      <c r="J40" s="810">
        <f>('Haver Pivoted'!GU78+1)^4-1</f>
        <v>-2.2930962354547058E-3</v>
      </c>
      <c r="K40" s="810">
        <f>('Haver Pivoted'!GV78+1)^4-1</f>
        <v>3.587837095953339E-2</v>
      </c>
      <c r="L40" s="810">
        <f>('Haver Pivoted'!GW78+1)^4-1</f>
        <v>4.5534894387470937E-2</v>
      </c>
      <c r="M40" s="810">
        <f>('Haver Pivoted'!GX78+1)^4-1</f>
        <v>8.7714323909891423E-2</v>
      </c>
      <c r="N40" s="810">
        <f>('Haver Pivoted'!GY78+1)^4-1</f>
        <v>8.4888593948209357E-2</v>
      </c>
      <c r="O40" s="810">
        <f>('Haver Pivoted'!GZ78+1)^4-1</f>
        <v>6.9703587118332688E-2</v>
      </c>
      <c r="P40" s="810">
        <f>('Haver Pivoted'!HA78+1)^4-1</f>
        <v>9.0463399615994478E-2</v>
      </c>
      <c r="Q40" s="810">
        <f>('Haver Pivoted'!HB78+1)^4-1</f>
        <v>0.10558682780244433</v>
      </c>
      <c r="R40" s="810">
        <f>('Haver Pivoted'!HC78+1)^4-1</f>
        <v>0.14979890704557142</v>
      </c>
      <c r="S40" s="811">
        <f>('Haver Pivoted'!HD78+1)^4-1</f>
        <v>2.9055945911607095E-2</v>
      </c>
      <c r="T40" s="816">
        <f>('Haver Pivoted'!HE78+1)^4-1</f>
        <v>3.1040705684582059E-2</v>
      </c>
      <c r="U40" s="810">
        <f t="shared" ref="U40:AF40" si="17">(U63/T63)^4-1</f>
        <v>3.4770037870923476E-2</v>
      </c>
      <c r="V40" s="810">
        <f t="shared" si="17"/>
        <v>3.2439960780993538E-2</v>
      </c>
      <c r="W40" s="810">
        <f t="shared" si="17"/>
        <v>3.4971806389749727E-2</v>
      </c>
      <c r="X40" s="810">
        <f t="shared" si="17"/>
        <v>3.4409055377128128E-2</v>
      </c>
      <c r="Y40" s="810">
        <f t="shared" si="17"/>
        <v>3.1280978879036248E-2</v>
      </c>
      <c r="Z40" s="810">
        <f t="shared" si="17"/>
        <v>2.8069377631034564E-2</v>
      </c>
      <c r="AA40" s="810">
        <f t="shared" si="17"/>
        <v>2.7079936500734814E-2</v>
      </c>
      <c r="AB40" s="810">
        <f t="shared" si="17"/>
        <v>2.6642026237504224E-2</v>
      </c>
      <c r="AC40" s="810">
        <f t="shared" si="17"/>
        <v>2.7649904239910983E-2</v>
      </c>
      <c r="AD40" s="810">
        <f t="shared" si="17"/>
        <v>2.7332985680263322E-2</v>
      </c>
      <c r="AE40" s="810">
        <f t="shared" si="17"/>
        <v>2.7468596479684804E-2</v>
      </c>
      <c r="AF40" s="835">
        <f t="shared" si="17"/>
        <v>2.7135528596684111E-2</v>
      </c>
    </row>
    <row r="41" spans="2:41" x14ac:dyDescent="0.35">
      <c r="B41" s="73" t="s">
        <v>1808</v>
      </c>
      <c r="C41" s="829" t="s">
        <v>1796</v>
      </c>
      <c r="D41" s="834">
        <f>('Haver Pivoted'!GO79+1)^4-1</f>
        <v>1.6036274889288604E-2</v>
      </c>
      <c r="E41" s="810">
        <f>('Haver Pivoted'!GP79+1)^4-1</f>
        <v>-1.6750426853228473E-2</v>
      </c>
      <c r="F41" s="810">
        <f>('Haver Pivoted'!GQ79+1)^4-1</f>
        <v>2.5813818283004775E-2</v>
      </c>
      <c r="G41" s="810">
        <f>('Haver Pivoted'!GR79+1)^4-1</f>
        <v>8.6124156242581851E-3</v>
      </c>
      <c r="H41" s="810">
        <f>('Haver Pivoted'!GS79+1)^4-1</f>
        <v>1.6996215944869331E-2</v>
      </c>
      <c r="I41" s="810">
        <f>('Haver Pivoted'!GT79+1)^4-1</f>
        <v>5.0660572456327158E-2</v>
      </c>
      <c r="J41" s="810">
        <f>('Haver Pivoted'!GU79+1)^4-1</f>
        <v>-1.0613393340251909E-3</v>
      </c>
      <c r="K41" s="810">
        <f>('Haver Pivoted'!GV79+1)^4-1</f>
        <v>3.4596703938156059E-2</v>
      </c>
      <c r="L41" s="810">
        <f>('Haver Pivoted'!GW79+1)^4-1</f>
        <v>5.1547958936444926E-2</v>
      </c>
      <c r="M41" s="810">
        <f>('Haver Pivoted'!GX79+1)^4-1</f>
        <v>9.2834286401326738E-2</v>
      </c>
      <c r="N41" s="810">
        <f>('Haver Pivoted'!GY79+1)^4-1</f>
        <v>8.057551462066237E-2</v>
      </c>
      <c r="O41" s="810">
        <f>('Haver Pivoted'!GZ79+1)^4-1</f>
        <v>6.4680375979367932E-2</v>
      </c>
      <c r="P41" s="810">
        <f>('Haver Pivoted'!HA79+1)^4-1</f>
        <v>8.4136934840179034E-2</v>
      </c>
      <c r="Q41" s="810">
        <f>('Haver Pivoted'!HB79+1)^4-1</f>
        <v>0.10120576467409093</v>
      </c>
      <c r="R41" s="810">
        <f>('Haver Pivoted'!HC79+1)^4-1</f>
        <v>0.15221841372862355</v>
      </c>
      <c r="S41" s="811">
        <f>('Haver Pivoted'!HD79+1)^4-1</f>
        <v>1.6422651906601304E-2</v>
      </c>
      <c r="T41" s="816">
        <f>('Haver Pivoted'!HE79+1)^4-1</f>
        <v>2.6567634000696616E-2</v>
      </c>
      <c r="U41" s="810">
        <f t="shared" ref="U41:AF42" si="18">U40</f>
        <v>3.4770037870923476E-2</v>
      </c>
      <c r="V41" s="810">
        <f t="shared" si="18"/>
        <v>3.2439960780993538E-2</v>
      </c>
      <c r="W41" s="810">
        <f t="shared" si="18"/>
        <v>3.4971806389749727E-2</v>
      </c>
      <c r="X41" s="810">
        <f t="shared" si="18"/>
        <v>3.4409055377128128E-2</v>
      </c>
      <c r="Y41" s="810">
        <f t="shared" si="18"/>
        <v>3.1280978879036248E-2</v>
      </c>
      <c r="Z41" s="810">
        <f t="shared" si="18"/>
        <v>2.8069377631034564E-2</v>
      </c>
      <c r="AA41" s="810">
        <f t="shared" si="18"/>
        <v>2.7079936500734814E-2</v>
      </c>
      <c r="AB41" s="810">
        <f t="shared" si="18"/>
        <v>2.6642026237504224E-2</v>
      </c>
      <c r="AC41" s="810">
        <f t="shared" si="18"/>
        <v>2.7649904239910983E-2</v>
      </c>
      <c r="AD41" s="810">
        <f t="shared" si="18"/>
        <v>2.7332985680263322E-2</v>
      </c>
      <c r="AE41" s="810">
        <f t="shared" si="18"/>
        <v>2.7468596479684804E-2</v>
      </c>
      <c r="AF41" s="835">
        <f t="shared" si="18"/>
        <v>2.7135528596684111E-2</v>
      </c>
    </row>
    <row r="42" spans="2:41" x14ac:dyDescent="0.35">
      <c r="B42" s="826" t="s">
        <v>1809</v>
      </c>
      <c r="C42" s="830" t="s">
        <v>1797</v>
      </c>
      <c r="D42" s="836">
        <f>('Haver Pivoted'!GO80+1)^4-1</f>
        <v>4.1912016313215839E-2</v>
      </c>
      <c r="E42" s="837">
        <f>('Haver Pivoted'!GP80+1)^4-1</f>
        <v>1.5721372171975556E-2</v>
      </c>
      <c r="F42" s="837">
        <f>('Haver Pivoted'!GQ80+1)^4-1</f>
        <v>4.8037769815769016E-2</v>
      </c>
      <c r="G42" s="837">
        <f>('Haver Pivoted'!GR80+1)^4-1</f>
        <v>1.9083730667159404E-2</v>
      </c>
      <c r="H42" s="837">
        <f>('Haver Pivoted'!GS80+1)^4-1</f>
        <v>5.8979339636944239E-3</v>
      </c>
      <c r="I42" s="837">
        <f>('Haver Pivoted'!GT80+1)^4-1</f>
        <v>1.0418465412080913E-2</v>
      </c>
      <c r="J42" s="837">
        <f>('Haver Pivoted'!GU80+1)^4-1</f>
        <v>-7.6555980249765065E-3</v>
      </c>
      <c r="K42" s="837">
        <f>('Haver Pivoted'!GV80+1)^4-1</f>
        <v>4.135501545294451E-2</v>
      </c>
      <c r="L42" s="837">
        <f>('Haver Pivoted'!GW80+1)^4-1</f>
        <v>1.8415186976738607E-2</v>
      </c>
      <c r="M42" s="837">
        <f>('Haver Pivoted'!GX80+1)^4-1</f>
        <v>6.4160755006020143E-2</v>
      </c>
      <c r="N42" s="837">
        <f>('Haver Pivoted'!GY80+1)^4-1</f>
        <v>0.10458990215743946</v>
      </c>
      <c r="O42" s="837">
        <f>('Haver Pivoted'!GZ80+1)^4-1</f>
        <v>9.3631239224950313E-2</v>
      </c>
      <c r="P42" s="837">
        <f>('Haver Pivoted'!HA80+1)^4-1</f>
        <v>0.12124821634027616</v>
      </c>
      <c r="Q42" s="837">
        <f>('Haver Pivoted'!HB80+1)^4-1</f>
        <v>0.12687792670398412</v>
      </c>
      <c r="R42" s="837">
        <f>('Haver Pivoted'!HC80+1)^4-1</f>
        <v>0.13796693794697101</v>
      </c>
      <c r="S42" s="809">
        <f>('Haver Pivoted'!HD80+1)^4-1</f>
        <v>9.3268944702830758E-2</v>
      </c>
      <c r="T42" s="817">
        <f>('Haver Pivoted'!HE80+1)^4-1</f>
        <v>5.2666155244963875E-2</v>
      </c>
      <c r="U42" s="837">
        <f t="shared" si="18"/>
        <v>3.4770037870923476E-2</v>
      </c>
      <c r="V42" s="837">
        <f t="shared" si="18"/>
        <v>3.2439960780993538E-2</v>
      </c>
      <c r="W42" s="837">
        <f t="shared" si="18"/>
        <v>3.4971806389749727E-2</v>
      </c>
      <c r="X42" s="837">
        <f t="shared" si="18"/>
        <v>3.4409055377128128E-2</v>
      </c>
      <c r="Y42" s="837">
        <f t="shared" si="18"/>
        <v>3.1280978879036248E-2</v>
      </c>
      <c r="Z42" s="837">
        <f t="shared" si="18"/>
        <v>2.8069377631034564E-2</v>
      </c>
      <c r="AA42" s="837">
        <f t="shared" si="18"/>
        <v>2.7079936500734814E-2</v>
      </c>
      <c r="AB42" s="837">
        <f t="shared" si="18"/>
        <v>2.6642026237504224E-2</v>
      </c>
      <c r="AC42" s="837">
        <f t="shared" si="18"/>
        <v>2.7649904239910983E-2</v>
      </c>
      <c r="AD42" s="837">
        <f t="shared" si="18"/>
        <v>2.7332985680263322E-2</v>
      </c>
      <c r="AE42" s="837">
        <f t="shared" si="18"/>
        <v>2.7468596479684804E-2</v>
      </c>
      <c r="AF42" s="838">
        <f t="shared" si="18"/>
        <v>2.7135528596684111E-2</v>
      </c>
    </row>
    <row r="43" spans="2:41" x14ac:dyDescent="0.35">
      <c r="B43" s="74"/>
      <c r="C43" s="829"/>
      <c r="D43" s="810"/>
      <c r="E43" s="810"/>
      <c r="F43" s="810"/>
      <c r="G43" s="810"/>
      <c r="H43" s="810"/>
      <c r="I43" s="810"/>
      <c r="J43" s="810"/>
      <c r="K43" s="810"/>
      <c r="L43" s="810"/>
      <c r="M43" s="810"/>
      <c r="N43" s="810"/>
      <c r="O43" s="810"/>
      <c r="P43" s="810"/>
      <c r="Q43" s="810"/>
      <c r="R43" s="810"/>
      <c r="S43" s="810"/>
      <c r="T43" s="810"/>
      <c r="U43" s="810"/>
      <c r="V43" s="810"/>
      <c r="W43" s="810"/>
      <c r="X43" s="810"/>
      <c r="Y43" s="810"/>
      <c r="Z43" s="810"/>
      <c r="AA43" s="810"/>
      <c r="AB43" s="810"/>
      <c r="AC43" s="810"/>
      <c r="AD43" s="810"/>
      <c r="AE43" s="810"/>
      <c r="AF43" s="810"/>
    </row>
    <row r="44" spans="2:41" ht="14.5" customHeight="1" x14ac:dyDescent="0.35">
      <c r="B44" s="1577" t="s">
        <v>1834</v>
      </c>
      <c r="C44" s="1577"/>
      <c r="D44" s="1577"/>
      <c r="E44" s="1577"/>
      <c r="F44" s="808"/>
      <c r="G44" s="808"/>
      <c r="H44" s="808"/>
      <c r="I44" s="808"/>
      <c r="J44" s="808"/>
      <c r="K44" s="808"/>
      <c r="L44" s="808"/>
      <c r="M44" s="808"/>
      <c r="N44" s="808"/>
      <c r="O44" s="808"/>
      <c r="P44" s="808"/>
      <c r="Q44" s="808"/>
      <c r="R44" s="808"/>
      <c r="S44" s="808"/>
      <c r="T44" s="808"/>
      <c r="U44" s="808"/>
      <c r="V44" s="808"/>
      <c r="W44" s="808"/>
      <c r="X44" s="808"/>
      <c r="Y44" s="808"/>
      <c r="Z44" s="808"/>
      <c r="AA44" s="808"/>
      <c r="AB44" s="808"/>
      <c r="AC44" s="808"/>
    </row>
    <row r="45" spans="2:41" ht="30" customHeight="1" x14ac:dyDescent="0.35">
      <c r="B45" s="856" t="s">
        <v>1810</v>
      </c>
      <c r="C45" s="1157"/>
      <c r="D45" s="1167">
        <v>2018</v>
      </c>
      <c r="E45" s="1584">
        <v>2019</v>
      </c>
      <c r="F45" s="1585"/>
      <c r="G45" s="1585"/>
      <c r="H45" s="1586"/>
      <c r="I45" s="1584">
        <v>2020</v>
      </c>
      <c r="J45" s="1585"/>
      <c r="K45" s="1585"/>
      <c r="L45" s="1585"/>
      <c r="M45" s="1584">
        <v>2021</v>
      </c>
      <c r="N45" s="1585"/>
      <c r="O45" s="1585"/>
      <c r="P45" s="1585"/>
      <c r="Q45" s="1578">
        <v>2022</v>
      </c>
      <c r="R45" s="1579"/>
      <c r="S45" s="1162"/>
      <c r="T45" s="1165"/>
      <c r="U45" s="1441">
        <v>2023</v>
      </c>
      <c r="V45" s="1442"/>
      <c r="W45" s="1442"/>
      <c r="X45" s="1442"/>
      <c r="Y45" s="1444">
        <v>2024</v>
      </c>
      <c r="Z45" s="1442"/>
      <c r="AA45" s="1442"/>
      <c r="AB45" s="1443"/>
      <c r="AC45" s="1444">
        <v>2025</v>
      </c>
      <c r="AD45" s="1442"/>
      <c r="AE45" s="1442"/>
      <c r="AF45" s="1443"/>
    </row>
    <row r="46" spans="2:41" x14ac:dyDescent="0.35">
      <c r="B46" s="839"/>
      <c r="C46" s="1155"/>
      <c r="D46" s="1143" t="s">
        <v>327</v>
      </c>
      <c r="E46" s="1143" t="s">
        <v>328</v>
      </c>
      <c r="F46" s="1146" t="s">
        <v>329</v>
      </c>
      <c r="G46" s="1146" t="s">
        <v>238</v>
      </c>
      <c r="H46" s="1144" t="s">
        <v>327</v>
      </c>
      <c r="I46" s="1146" t="s">
        <v>328</v>
      </c>
      <c r="J46" s="1146" t="s">
        <v>329</v>
      </c>
      <c r="K46" s="1146" t="s">
        <v>238</v>
      </c>
      <c r="L46" s="1146" t="s">
        <v>327</v>
      </c>
      <c r="M46" s="1143" t="s">
        <v>328</v>
      </c>
      <c r="N46" s="1146" t="s">
        <v>329</v>
      </c>
      <c r="O46" s="1146" t="s">
        <v>238</v>
      </c>
      <c r="P46" s="1146" t="s">
        <v>327</v>
      </c>
      <c r="Q46" s="1143" t="s">
        <v>328</v>
      </c>
      <c r="R46" s="1146" t="s">
        <v>329</v>
      </c>
      <c r="S46" s="1146" t="s">
        <v>238</v>
      </c>
      <c r="T46" s="1144" t="s">
        <v>327</v>
      </c>
      <c r="U46" s="290" t="s">
        <v>328</v>
      </c>
      <c r="V46" s="290" t="s">
        <v>329</v>
      </c>
      <c r="W46" s="290" t="s">
        <v>238</v>
      </c>
      <c r="X46" s="290" t="s">
        <v>327</v>
      </c>
      <c r="Y46" s="289" t="s">
        <v>328</v>
      </c>
      <c r="Z46" s="285" t="s">
        <v>329</v>
      </c>
      <c r="AA46" s="290" t="s">
        <v>238</v>
      </c>
      <c r="AB46" s="291" t="s">
        <v>327</v>
      </c>
      <c r="AC46" s="293" t="s">
        <v>328</v>
      </c>
      <c r="AD46" s="290" t="s">
        <v>329</v>
      </c>
      <c r="AE46" s="290" t="s">
        <v>238</v>
      </c>
      <c r="AF46" s="291" t="s">
        <v>327</v>
      </c>
    </row>
    <row r="47" spans="2:41" s="1066" customFormat="1" x14ac:dyDescent="0.35">
      <c r="B47" s="839"/>
      <c r="C47" s="1155"/>
      <c r="D47" s="190"/>
      <c r="E47" s="192"/>
      <c r="F47" s="192"/>
      <c r="G47" s="192"/>
      <c r="H47" s="192"/>
      <c r="I47" s="192"/>
      <c r="J47" s="192"/>
      <c r="K47" s="192"/>
      <c r="L47" s="192"/>
      <c r="M47" s="192"/>
      <c r="N47" s="192"/>
      <c r="O47" s="192"/>
      <c r="P47" s="192"/>
      <c r="Q47" s="192"/>
      <c r="R47" s="192"/>
      <c r="S47" s="192"/>
      <c r="T47" s="172"/>
      <c r="U47" s="1117"/>
      <c r="V47" s="1117"/>
      <c r="W47" s="1117"/>
      <c r="X47" s="1117"/>
      <c r="Y47" s="1117"/>
      <c r="Z47" s="1057"/>
      <c r="AA47" s="1117"/>
      <c r="AB47" s="1117"/>
      <c r="AC47" s="1117"/>
      <c r="AD47" s="1117"/>
      <c r="AE47" s="1117"/>
      <c r="AF47" s="155"/>
    </row>
    <row r="48" spans="2:41" s="1066" customFormat="1" ht="26.25" customHeight="1" x14ac:dyDescent="0.35">
      <c r="B48" s="840" t="s">
        <v>1811</v>
      </c>
      <c r="C48" s="1141" t="s">
        <v>1814</v>
      </c>
      <c r="D48" s="668"/>
      <c r="E48" s="820"/>
      <c r="F48" s="820"/>
      <c r="G48" s="820"/>
      <c r="H48" s="820"/>
      <c r="I48" s="820"/>
      <c r="J48" s="820"/>
      <c r="K48" s="820"/>
      <c r="L48" s="820"/>
      <c r="M48" s="820"/>
      <c r="N48" s="820"/>
      <c r="O48" s="820"/>
      <c r="P48" s="820"/>
      <c r="Q48" s="820"/>
      <c r="R48" s="820"/>
      <c r="S48" s="821">
        <v>17251.3</v>
      </c>
      <c r="T48" s="822">
        <v>17488.099999999999</v>
      </c>
      <c r="U48" s="843">
        <v>17692.3</v>
      </c>
      <c r="V48" s="843">
        <v>17892.599999999999</v>
      </c>
      <c r="W48" s="843">
        <v>18086.3</v>
      </c>
      <c r="X48" s="843">
        <v>18268.2</v>
      </c>
      <c r="Y48" s="843">
        <v>18446.3</v>
      </c>
      <c r="Z48" s="844">
        <v>18612.400000000001</v>
      </c>
      <c r="AA48" s="844">
        <v>18774.5</v>
      </c>
      <c r="AB48" s="844">
        <v>18946.900000000001</v>
      </c>
      <c r="AC48" s="844">
        <v>19117.900000000001</v>
      </c>
      <c r="AD48" s="844">
        <v>19292.7</v>
      </c>
      <c r="AE48" s="844">
        <v>19460.400000000001</v>
      </c>
      <c r="AF48" s="845">
        <v>19646.400000000001</v>
      </c>
      <c r="AG48" s="844"/>
      <c r="AH48" s="844"/>
      <c r="AI48" s="844"/>
      <c r="AJ48" s="844"/>
      <c r="AK48" s="844"/>
      <c r="AL48" s="844"/>
      <c r="AM48" s="844"/>
      <c r="AN48" s="844"/>
      <c r="AO48" s="844"/>
    </row>
    <row r="49" spans="2:48" s="1066" customFormat="1" ht="28.5" x14ac:dyDescent="0.35">
      <c r="B49" s="1158" t="s">
        <v>2221</v>
      </c>
      <c r="C49" s="1155"/>
      <c r="D49" s="1168"/>
      <c r="E49" s="1153"/>
      <c r="F49" s="1168"/>
      <c r="G49" s="1168"/>
      <c r="H49" s="1153"/>
      <c r="I49" s="1168"/>
      <c r="J49" s="1168"/>
      <c r="K49" s="1168"/>
      <c r="L49" s="1168"/>
      <c r="M49" s="1153"/>
      <c r="N49" s="1168"/>
      <c r="O49" s="1168"/>
      <c r="P49" s="1168"/>
      <c r="Q49" s="1153"/>
      <c r="R49" s="1168"/>
      <c r="S49" s="1166">
        <v>17517.099999999999</v>
      </c>
      <c r="T49" s="1166">
        <v>17851.099999999999</v>
      </c>
      <c r="U49" s="1166">
        <v>18063.900000000001</v>
      </c>
      <c r="V49" s="1166">
        <v>18252.3</v>
      </c>
      <c r="W49" s="1166">
        <v>18452.8</v>
      </c>
      <c r="X49" s="1166">
        <v>18649.400000000001</v>
      </c>
      <c r="Y49" s="1166">
        <v>18836.5</v>
      </c>
      <c r="Z49" s="1166">
        <v>19019.400000000001</v>
      </c>
      <c r="AA49" s="1166">
        <v>19200.900000000001</v>
      </c>
      <c r="AB49" s="1166">
        <v>19391.900000000001</v>
      </c>
      <c r="AC49" s="1166">
        <v>19588.599999999999</v>
      </c>
      <c r="AD49" s="1166">
        <v>19779.599999999999</v>
      </c>
      <c r="AE49" s="1166">
        <v>19973.5</v>
      </c>
      <c r="AF49" s="1166">
        <v>20163.8</v>
      </c>
    </row>
    <row r="50" spans="2:48" s="1066" customFormat="1" ht="26.25" customHeight="1" x14ac:dyDescent="0.35">
      <c r="B50" s="840" t="s">
        <v>1812</v>
      </c>
      <c r="C50" s="1141" t="s">
        <v>1815</v>
      </c>
      <c r="D50" s="47"/>
      <c r="E50" s="1141"/>
      <c r="F50" s="1141"/>
      <c r="G50" s="1141"/>
      <c r="H50" s="1141"/>
      <c r="I50" s="1141"/>
      <c r="J50" s="1141"/>
      <c r="K50" s="1141"/>
      <c r="L50" s="1141"/>
      <c r="M50" s="1141"/>
      <c r="N50" s="1141"/>
      <c r="O50" s="1141"/>
      <c r="P50" s="1141"/>
      <c r="Q50" s="1141"/>
      <c r="R50" s="1141"/>
      <c r="S50" s="156">
        <v>1607.9</v>
      </c>
      <c r="T50" s="823">
        <v>1622.9</v>
      </c>
      <c r="U50" s="846">
        <v>1639</v>
      </c>
      <c r="V50" s="846">
        <v>1653.9</v>
      </c>
      <c r="W50" s="846">
        <v>1667.4</v>
      </c>
      <c r="X50" s="846">
        <v>1679.6</v>
      </c>
      <c r="Y50" s="846">
        <v>1693.3</v>
      </c>
      <c r="Z50" s="847">
        <v>1706.4</v>
      </c>
      <c r="AA50" s="847">
        <v>1719.6</v>
      </c>
      <c r="AB50" s="847">
        <v>1732.8</v>
      </c>
      <c r="AC50" s="847">
        <v>1743.7</v>
      </c>
      <c r="AD50" s="847">
        <v>1755</v>
      </c>
      <c r="AE50" s="847">
        <v>1766.6</v>
      </c>
      <c r="AF50" s="848">
        <v>1778.5</v>
      </c>
      <c r="AG50" s="847"/>
      <c r="AH50" s="847"/>
      <c r="AI50" s="847"/>
      <c r="AJ50" s="847"/>
      <c r="AK50" s="847"/>
      <c r="AL50" s="847"/>
      <c r="AM50" s="847"/>
      <c r="AN50" s="847"/>
      <c r="AO50" s="847"/>
    </row>
    <row r="51" spans="2:48" s="1066" customFormat="1" ht="26.25" customHeight="1" x14ac:dyDescent="0.35">
      <c r="B51" s="840" t="s">
        <v>2222</v>
      </c>
      <c r="C51" s="1141"/>
      <c r="D51" s="47"/>
      <c r="E51" s="1160"/>
      <c r="F51" s="1160"/>
      <c r="G51" s="1160"/>
      <c r="H51" s="1160"/>
      <c r="I51" s="1160"/>
      <c r="J51" s="1160"/>
      <c r="K51" s="1160"/>
      <c r="L51" s="1160"/>
      <c r="M51" s="1160"/>
      <c r="N51" s="1160"/>
      <c r="O51" s="1160"/>
      <c r="P51" s="1160"/>
      <c r="Q51" s="1160"/>
      <c r="R51" s="1160"/>
      <c r="S51" s="1166">
        <v>1656.9</v>
      </c>
      <c r="T51" s="1166">
        <v>1665.8</v>
      </c>
      <c r="U51" s="1166">
        <v>1683.2</v>
      </c>
      <c r="V51" s="1166">
        <v>1699</v>
      </c>
      <c r="W51" s="1166">
        <v>1721.1</v>
      </c>
      <c r="X51" s="1166">
        <v>1740.7</v>
      </c>
      <c r="Y51" s="1166">
        <v>1758.2</v>
      </c>
      <c r="Z51" s="1166">
        <v>1774.2</v>
      </c>
      <c r="AA51" s="1166">
        <v>1790.4</v>
      </c>
      <c r="AB51" s="1166">
        <v>1805.5</v>
      </c>
      <c r="AC51" s="1166">
        <v>1819</v>
      </c>
      <c r="AD51" s="1166">
        <v>1832.8</v>
      </c>
      <c r="AE51" s="1166">
        <v>1846.8</v>
      </c>
      <c r="AF51" s="1166">
        <v>1860.9</v>
      </c>
      <c r="AG51" s="844"/>
      <c r="AH51" s="844"/>
      <c r="AI51" s="844"/>
      <c r="AJ51" s="844"/>
      <c r="AK51" s="844"/>
      <c r="AL51" s="844"/>
      <c r="AM51" s="844"/>
      <c r="AN51" s="844"/>
      <c r="AO51" s="844"/>
    </row>
    <row r="52" spans="2:48" s="1066" customFormat="1" ht="26.25" customHeight="1" x14ac:dyDescent="0.35">
      <c r="B52" s="840" t="s">
        <v>1813</v>
      </c>
      <c r="C52" s="1141" t="s">
        <v>1816</v>
      </c>
      <c r="D52" s="47"/>
      <c r="E52" s="1141"/>
      <c r="F52" s="1141"/>
      <c r="G52" s="1141"/>
      <c r="H52" s="1141"/>
      <c r="I52" s="1141"/>
      <c r="J52" s="1141"/>
      <c r="K52" s="1141"/>
      <c r="L52" s="1141"/>
      <c r="M52" s="1141"/>
      <c r="N52" s="1141"/>
      <c r="O52" s="1141"/>
      <c r="P52" s="1141"/>
      <c r="Q52" s="1141"/>
      <c r="R52" s="1141"/>
      <c r="S52" s="156">
        <v>2737.7</v>
      </c>
      <c r="T52" s="823">
        <v>2776</v>
      </c>
      <c r="U52" s="846">
        <v>2809.9</v>
      </c>
      <c r="V52" s="846">
        <v>2839.2</v>
      </c>
      <c r="W52" s="846">
        <v>2865.7</v>
      </c>
      <c r="X52" s="846">
        <v>2891.3</v>
      </c>
      <c r="Y52" s="846">
        <v>2916.4</v>
      </c>
      <c r="Z52" s="847">
        <v>2941.4</v>
      </c>
      <c r="AA52" s="847">
        <v>2967.1</v>
      </c>
      <c r="AB52" s="847">
        <v>2993.7</v>
      </c>
      <c r="AC52" s="847">
        <v>3022.3</v>
      </c>
      <c r="AD52" s="847">
        <v>3052</v>
      </c>
      <c r="AE52" s="847">
        <v>3082.6</v>
      </c>
      <c r="AF52" s="848">
        <v>3113.5</v>
      </c>
      <c r="AG52" s="847"/>
      <c r="AH52" s="847"/>
      <c r="AI52" s="847"/>
      <c r="AJ52" s="847"/>
      <c r="AK52" s="847"/>
      <c r="AL52" s="847"/>
      <c r="AM52" s="847"/>
      <c r="AN52" s="847"/>
      <c r="AO52" s="847"/>
    </row>
    <row r="53" spans="2:48" s="1066" customFormat="1" ht="26.25" customHeight="1" x14ac:dyDescent="0.35">
      <c r="B53" s="840" t="s">
        <v>2223</v>
      </c>
      <c r="C53" s="1141"/>
      <c r="D53" s="47"/>
      <c r="E53" s="1141"/>
      <c r="F53" s="1141"/>
      <c r="G53" s="1141"/>
      <c r="H53" s="1141"/>
      <c r="I53" s="1141"/>
      <c r="J53" s="1141"/>
      <c r="K53" s="1141"/>
      <c r="L53" s="1141"/>
      <c r="M53" s="1141"/>
      <c r="N53" s="1141"/>
      <c r="O53" s="1141"/>
      <c r="P53" s="1141"/>
      <c r="Q53" s="1141"/>
      <c r="R53" s="1141"/>
      <c r="S53" s="1166">
        <v>2829.6</v>
      </c>
      <c r="T53" s="1166">
        <v>2871.1</v>
      </c>
      <c r="U53" s="1166">
        <v>2900.1</v>
      </c>
      <c r="V53" s="1166">
        <v>2932.7</v>
      </c>
      <c r="W53" s="1166">
        <v>2970.6</v>
      </c>
      <c r="X53" s="1166">
        <v>3002.9</v>
      </c>
      <c r="Y53" s="1166">
        <v>3034.4</v>
      </c>
      <c r="Z53" s="1166">
        <v>3062.5</v>
      </c>
      <c r="AA53" s="1166">
        <v>3090.1</v>
      </c>
      <c r="AB53" s="1166">
        <v>3117.6</v>
      </c>
      <c r="AC53" s="1166">
        <v>3146.1</v>
      </c>
      <c r="AD53" s="1166">
        <v>3174.9</v>
      </c>
      <c r="AE53" s="1166">
        <v>3203.9</v>
      </c>
      <c r="AF53" s="1166">
        <v>3233.8</v>
      </c>
      <c r="AG53" s="847"/>
      <c r="AH53" s="847"/>
      <c r="AI53" s="847"/>
      <c r="AJ53" s="847"/>
      <c r="AK53" s="847"/>
      <c r="AL53" s="847"/>
      <c r="AM53" s="847"/>
      <c r="AN53" s="847"/>
      <c r="AO53" s="847"/>
    </row>
    <row r="54" spans="2:48" s="1066" customFormat="1" ht="26.25" customHeight="1" x14ac:dyDescent="0.35">
      <c r="B54" s="840" t="s">
        <v>1811</v>
      </c>
      <c r="C54" s="1141" t="s">
        <v>1817</v>
      </c>
      <c r="D54" s="47"/>
      <c r="E54" s="1141"/>
      <c r="F54" s="1141"/>
      <c r="G54" s="1141"/>
      <c r="H54" s="1141"/>
      <c r="I54" s="1141"/>
      <c r="J54" s="1141"/>
      <c r="K54" s="1141"/>
      <c r="L54" s="1141"/>
      <c r="M54" s="1141"/>
      <c r="N54" s="1141"/>
      <c r="O54" s="1141"/>
      <c r="P54" s="1141"/>
      <c r="Q54" s="1141"/>
      <c r="R54" s="1141"/>
      <c r="S54" s="156">
        <v>14141.9</v>
      </c>
      <c r="T54" s="823">
        <v>14239.3</v>
      </c>
      <c r="U54" s="846">
        <v>14317.2</v>
      </c>
      <c r="V54" s="846">
        <v>14396</v>
      </c>
      <c r="W54" s="846">
        <v>14470.5</v>
      </c>
      <c r="X54" s="846">
        <v>14536.1</v>
      </c>
      <c r="Y54" s="846">
        <v>14600.2</v>
      </c>
      <c r="Z54" s="847">
        <v>14655.3</v>
      </c>
      <c r="AA54" s="847">
        <v>14707.8</v>
      </c>
      <c r="AB54" s="847">
        <v>14768.3</v>
      </c>
      <c r="AC54" s="847">
        <v>14826.6</v>
      </c>
      <c r="AD54" s="847">
        <v>14887.5</v>
      </c>
      <c r="AE54" s="847">
        <v>14942.4</v>
      </c>
      <c r="AF54" s="848">
        <v>15010.7</v>
      </c>
      <c r="AG54" s="847"/>
      <c r="AH54" s="847"/>
      <c r="AI54" s="847"/>
      <c r="AJ54" s="847"/>
      <c r="AK54" s="847"/>
      <c r="AL54" s="847"/>
      <c r="AM54" s="847"/>
      <c r="AN54" s="847"/>
      <c r="AO54" s="847"/>
    </row>
    <row r="55" spans="2:48" s="1066" customFormat="1" ht="26.25" customHeight="1" x14ac:dyDescent="0.35">
      <c r="B55" s="840" t="s">
        <v>2224</v>
      </c>
      <c r="C55" s="1141"/>
      <c r="D55" s="47"/>
      <c r="E55" s="1141"/>
      <c r="F55" s="1141"/>
      <c r="G55" s="1141"/>
      <c r="H55" s="1141"/>
      <c r="I55" s="1141"/>
      <c r="J55" s="1141"/>
      <c r="K55" s="1141"/>
      <c r="L55" s="1141"/>
      <c r="M55" s="1141"/>
      <c r="N55" s="1141"/>
      <c r="O55" s="1141"/>
      <c r="P55" s="1141"/>
      <c r="Q55" s="1141"/>
      <c r="R55" s="1141"/>
      <c r="S55" s="1166">
        <v>14159.9</v>
      </c>
      <c r="T55" s="1166">
        <v>14286.7</v>
      </c>
      <c r="U55" s="1166">
        <v>14330.7</v>
      </c>
      <c r="V55" s="1166">
        <v>14360.7</v>
      </c>
      <c r="W55" s="1166">
        <v>14400.5</v>
      </c>
      <c r="X55" s="1166">
        <v>14447.8</v>
      </c>
      <c r="Y55" s="1166">
        <v>14497.8</v>
      </c>
      <c r="Z55" s="1166">
        <v>14551.4</v>
      </c>
      <c r="AA55" s="1166">
        <v>14606.8</v>
      </c>
      <c r="AB55" s="1166">
        <v>14670.6</v>
      </c>
      <c r="AC55" s="1166">
        <v>14737.3</v>
      </c>
      <c r="AD55" s="1166">
        <v>14800</v>
      </c>
      <c r="AE55" s="1166">
        <v>14864.9</v>
      </c>
      <c r="AF55" s="1166">
        <v>14926.6</v>
      </c>
      <c r="AG55" s="847"/>
      <c r="AH55" s="847"/>
      <c r="AI55" s="847"/>
      <c r="AJ55" s="847"/>
      <c r="AK55" s="847"/>
      <c r="AL55" s="847"/>
      <c r="AM55" s="847"/>
      <c r="AN55" s="847"/>
      <c r="AO55" s="847"/>
    </row>
    <row r="56" spans="2:48" s="1066" customFormat="1" ht="26.15" customHeight="1" x14ac:dyDescent="0.35">
      <c r="B56" s="840" t="s">
        <v>1812</v>
      </c>
      <c r="C56" s="1141" t="s">
        <v>1818</v>
      </c>
      <c r="D56" s="47"/>
      <c r="E56" s="1141"/>
      <c r="F56" s="1141"/>
      <c r="G56" s="1141"/>
      <c r="H56" s="1141"/>
      <c r="I56" s="1141"/>
      <c r="J56" s="1141"/>
      <c r="K56" s="1141"/>
      <c r="L56" s="1141"/>
      <c r="M56" s="1141"/>
      <c r="N56" s="1141"/>
      <c r="O56" s="1141"/>
      <c r="P56" s="1141"/>
      <c r="Q56" s="1141"/>
      <c r="R56" s="1141"/>
      <c r="S56" s="156">
        <v>1325.4</v>
      </c>
      <c r="T56" s="823">
        <v>1330.1</v>
      </c>
      <c r="U56" s="846">
        <v>1336.1</v>
      </c>
      <c r="V56" s="846">
        <v>1341.1</v>
      </c>
      <c r="W56" s="846">
        <v>1344.8</v>
      </c>
      <c r="X56" s="846">
        <v>1347.2</v>
      </c>
      <c r="Y56" s="846">
        <v>1350.7</v>
      </c>
      <c r="Z56" s="847">
        <v>1353.6</v>
      </c>
      <c r="AA56" s="847">
        <v>1356.5</v>
      </c>
      <c r="AB56" s="847">
        <v>1359.2</v>
      </c>
      <c r="AC56" s="847">
        <v>1360.1</v>
      </c>
      <c r="AD56" s="847">
        <v>1361.2</v>
      </c>
      <c r="AE56" s="847">
        <v>1362.5</v>
      </c>
      <c r="AF56" s="848">
        <v>1363.9</v>
      </c>
      <c r="AG56" s="847"/>
      <c r="AH56" s="847"/>
      <c r="AI56" s="847"/>
      <c r="AJ56" s="847"/>
      <c r="AK56" s="847"/>
      <c r="AL56" s="847"/>
      <c r="AM56" s="847"/>
      <c r="AN56" s="847"/>
      <c r="AO56" s="847"/>
    </row>
    <row r="57" spans="2:48" s="1066" customFormat="1" ht="26.25" customHeight="1" x14ac:dyDescent="0.35">
      <c r="B57" s="840" t="s">
        <v>2222</v>
      </c>
      <c r="C57" s="1141"/>
      <c r="D57" s="47"/>
      <c r="E57" s="1141"/>
      <c r="F57" s="1141"/>
      <c r="G57" s="1141"/>
      <c r="H57" s="1141"/>
      <c r="I57" s="1141"/>
      <c r="J57" s="1141"/>
      <c r="K57" s="1141"/>
      <c r="L57" s="1141"/>
      <c r="M57" s="1141"/>
      <c r="N57" s="1141"/>
      <c r="O57" s="1141"/>
      <c r="P57" s="1141"/>
      <c r="Q57" s="1141"/>
      <c r="R57" s="1141"/>
      <c r="S57" s="1166">
        <v>1352.6</v>
      </c>
      <c r="T57" s="1166">
        <v>1350.2</v>
      </c>
      <c r="U57" s="1166">
        <v>1355.6</v>
      </c>
      <c r="V57" s="1166">
        <v>1360.4</v>
      </c>
      <c r="W57" s="1166">
        <v>1369.5</v>
      </c>
      <c r="X57" s="1166">
        <v>1376.4</v>
      </c>
      <c r="Y57" s="1166">
        <v>1380.2</v>
      </c>
      <c r="Z57" s="1166">
        <v>1383.1</v>
      </c>
      <c r="AA57" s="1166">
        <v>1386.3</v>
      </c>
      <c r="AB57" s="1166">
        <v>1388.8</v>
      </c>
      <c r="AC57" s="1166">
        <v>1390.9</v>
      </c>
      <c r="AD57" s="1166">
        <v>1393</v>
      </c>
      <c r="AE57" s="1166">
        <v>1395.2</v>
      </c>
      <c r="AF57" s="1166">
        <v>1397.5</v>
      </c>
      <c r="AG57" s="847"/>
      <c r="AH57" s="847"/>
      <c r="AI57" s="847"/>
      <c r="AJ57" s="847"/>
      <c r="AK57" s="847"/>
      <c r="AL57" s="847"/>
      <c r="AM57" s="847"/>
      <c r="AN57" s="847"/>
      <c r="AO57" s="847"/>
    </row>
    <row r="58" spans="2:48" s="1066" customFormat="1" ht="26.25" customHeight="1" x14ac:dyDescent="0.35">
      <c r="B58" s="841" t="s">
        <v>1813</v>
      </c>
      <c r="C58" s="36" t="s">
        <v>1819</v>
      </c>
      <c r="D58" s="143"/>
      <c r="E58" s="36"/>
      <c r="F58" s="36"/>
      <c r="G58" s="36"/>
      <c r="H58" s="36"/>
      <c r="I58" s="36"/>
      <c r="J58" s="36"/>
      <c r="K58" s="36"/>
      <c r="L58" s="36"/>
      <c r="M58" s="36"/>
      <c r="N58" s="36"/>
      <c r="O58" s="36"/>
      <c r="P58" s="36"/>
      <c r="Q58" s="36"/>
      <c r="R58" s="36"/>
      <c r="S58" s="861">
        <v>2063.4</v>
      </c>
      <c r="T58" s="824">
        <v>2072.6999999999998</v>
      </c>
      <c r="U58" s="850">
        <v>2079.5</v>
      </c>
      <c r="V58" s="850">
        <v>2084.6999999999998</v>
      </c>
      <c r="W58" s="850">
        <v>2088.9</v>
      </c>
      <c r="X58" s="850">
        <v>2092.8000000000002</v>
      </c>
      <c r="Y58" s="850">
        <v>2096.3000000000002</v>
      </c>
      <c r="Z58" s="851">
        <v>2099.9</v>
      </c>
      <c r="AA58" s="851">
        <v>2103.8000000000002</v>
      </c>
      <c r="AB58" s="851">
        <v>2108</v>
      </c>
      <c r="AC58" s="851">
        <v>2113</v>
      </c>
      <c r="AD58" s="851">
        <v>2118.1999999999998</v>
      </c>
      <c r="AE58" s="851">
        <v>2123.6999999999998</v>
      </c>
      <c r="AF58" s="852">
        <v>2129</v>
      </c>
      <c r="AG58" s="847"/>
      <c r="AH58" s="847"/>
      <c r="AI58" s="847"/>
      <c r="AJ58" s="847"/>
      <c r="AK58" s="847"/>
      <c r="AL58" s="847"/>
      <c r="AM58" s="847"/>
      <c r="AN58" s="847"/>
      <c r="AO58" s="847"/>
    </row>
    <row r="59" spans="2:48" s="1066" customFormat="1" ht="26.15" customHeight="1" x14ac:dyDescent="0.35">
      <c r="B59" s="840" t="s">
        <v>2225</v>
      </c>
      <c r="C59" s="1141"/>
      <c r="D59" s="47"/>
      <c r="E59" s="1141"/>
      <c r="F59" s="1141"/>
      <c r="G59" s="1141"/>
      <c r="H59" s="1141"/>
      <c r="I59" s="1141"/>
      <c r="J59" s="1141"/>
      <c r="K59" s="1141"/>
      <c r="L59" s="1141"/>
      <c r="M59" s="1141"/>
      <c r="N59" s="1141"/>
      <c r="O59" s="1141"/>
      <c r="P59" s="1141"/>
      <c r="Q59" s="1141"/>
      <c r="R59" s="1141"/>
      <c r="S59" s="1166">
        <v>2052.1</v>
      </c>
      <c r="T59" s="1166">
        <v>2058</v>
      </c>
      <c r="U59" s="1166">
        <v>2061.1</v>
      </c>
      <c r="V59" s="1166">
        <v>2067.6999999999998</v>
      </c>
      <c r="W59" s="1166">
        <v>2076.5</v>
      </c>
      <c r="X59" s="1166">
        <v>2081.4</v>
      </c>
      <c r="Y59" s="1166">
        <v>2087.1</v>
      </c>
      <c r="Z59" s="1166">
        <v>2091.9</v>
      </c>
      <c r="AA59" s="1166">
        <v>2096.6999999999998</v>
      </c>
      <c r="AB59" s="1166">
        <v>2101.5</v>
      </c>
      <c r="AC59" s="1166">
        <v>2106.3000000000002</v>
      </c>
      <c r="AD59" s="1166">
        <v>2111.3000000000002</v>
      </c>
      <c r="AE59" s="1166">
        <v>2116.1999999999998</v>
      </c>
      <c r="AF59" s="1166">
        <v>2121.6999999999998</v>
      </c>
      <c r="AG59" s="847"/>
      <c r="AH59" s="847"/>
      <c r="AI59" s="847"/>
      <c r="AJ59" s="847"/>
      <c r="AK59" s="847"/>
      <c r="AL59" s="847"/>
      <c r="AM59" s="847"/>
      <c r="AN59" s="847"/>
      <c r="AO59" s="847"/>
    </row>
    <row r="60" spans="2:48" x14ac:dyDescent="0.35">
      <c r="B60" s="857"/>
      <c r="C60" s="858"/>
      <c r="D60" s="818"/>
      <c r="E60" s="818"/>
      <c r="F60" s="818"/>
      <c r="G60" s="818"/>
      <c r="H60" s="818"/>
      <c r="I60" s="818"/>
      <c r="J60" s="818"/>
      <c r="K60" s="818"/>
      <c r="L60" s="818"/>
      <c r="M60" s="818"/>
      <c r="N60" s="818"/>
      <c r="O60" s="818"/>
      <c r="P60" s="818"/>
      <c r="Q60" s="818"/>
      <c r="R60" s="818"/>
      <c r="S60" s="818"/>
      <c r="T60" s="819" t="s">
        <v>1801</v>
      </c>
      <c r="U60" s="859"/>
      <c r="V60" s="859"/>
      <c r="W60" s="859"/>
      <c r="X60" s="859"/>
      <c r="Y60" s="859"/>
      <c r="Z60" s="859"/>
      <c r="AA60" s="859"/>
      <c r="AB60" s="859"/>
      <c r="AC60" s="859"/>
      <c r="AD60" s="859"/>
      <c r="AE60" s="859"/>
      <c r="AF60" s="860"/>
      <c r="AG60" s="171"/>
      <c r="AH60" s="171"/>
      <c r="AI60" s="171"/>
      <c r="AJ60" s="171"/>
      <c r="AK60" s="171"/>
      <c r="AL60" s="171"/>
      <c r="AM60" s="171"/>
      <c r="AN60" s="171"/>
      <c r="AO60" s="171"/>
      <c r="AP60" s="35"/>
      <c r="AQ60" s="35"/>
      <c r="AR60" s="35"/>
      <c r="AS60" s="35"/>
      <c r="AT60" s="35"/>
      <c r="AU60" s="35"/>
      <c r="AV60" s="35"/>
    </row>
    <row r="61" spans="2:48" x14ac:dyDescent="0.35">
      <c r="B61" s="827" t="s">
        <v>1805</v>
      </c>
      <c r="C61" s="100"/>
      <c r="D61" s="669"/>
      <c r="E61" s="669"/>
      <c r="F61" s="669"/>
      <c r="G61" s="669"/>
      <c r="H61" s="669"/>
      <c r="I61" s="669"/>
      <c r="J61" s="669"/>
      <c r="K61" s="669"/>
      <c r="L61" s="669"/>
      <c r="M61" s="669"/>
      <c r="N61" s="669"/>
      <c r="O61" s="669"/>
      <c r="P61" s="669"/>
      <c r="Q61" s="669"/>
      <c r="R61" s="669"/>
      <c r="S61" s="853">
        <f t="shared" ref="S61:AF61" si="19">S49/S55</f>
        <v>1.2370920698592502</v>
      </c>
      <c r="T61" s="853">
        <f t="shared" si="19"/>
        <v>1.2494907851358255</v>
      </c>
      <c r="U61" s="853">
        <f t="shared" si="19"/>
        <v>1.260503673930792</v>
      </c>
      <c r="V61" s="853">
        <f t="shared" si="19"/>
        <v>1.2709895757170611</v>
      </c>
      <c r="W61" s="853">
        <f t="shared" si="19"/>
        <v>1.2813999513905767</v>
      </c>
      <c r="X61" s="853">
        <f t="shared" si="19"/>
        <v>1.2908124420326972</v>
      </c>
      <c r="Y61" s="853">
        <f t="shared" si="19"/>
        <v>1.2992660955455311</v>
      </c>
      <c r="Z61" s="853">
        <f t="shared" si="19"/>
        <v>1.307049493519524</v>
      </c>
      <c r="AA61" s="853">
        <f t="shared" si="19"/>
        <v>1.3145178957745709</v>
      </c>
      <c r="AB61" s="853">
        <f t="shared" si="19"/>
        <v>1.3218205117718431</v>
      </c>
      <c r="AC61" s="853">
        <f t="shared" si="19"/>
        <v>1.329185128890638</v>
      </c>
      <c r="AD61" s="853">
        <f t="shared" si="19"/>
        <v>1.3364594594594594</v>
      </c>
      <c r="AE61" s="853">
        <f t="shared" si="19"/>
        <v>1.3436686422377548</v>
      </c>
      <c r="AF61" s="822">
        <f t="shared" si="19"/>
        <v>1.3508635590154487</v>
      </c>
      <c r="AG61" s="844"/>
      <c r="AH61" s="844"/>
      <c r="AI61" s="844"/>
      <c r="AJ61" s="844"/>
      <c r="AK61" s="844"/>
      <c r="AL61" s="844"/>
      <c r="AM61" s="844"/>
      <c r="AN61" s="844"/>
      <c r="AO61" s="844"/>
    </row>
    <row r="62" spans="2:48" x14ac:dyDescent="0.35">
      <c r="B62" s="73" t="s">
        <v>1806</v>
      </c>
      <c r="C62" s="142"/>
      <c r="D62" s="35"/>
      <c r="E62" s="35"/>
      <c r="F62" s="35"/>
      <c r="G62" s="35"/>
      <c r="H62" s="35"/>
      <c r="I62" s="35"/>
      <c r="J62" s="35"/>
      <c r="K62" s="35"/>
      <c r="L62" s="35"/>
      <c r="M62" s="35"/>
      <c r="N62" s="35"/>
      <c r="O62" s="35"/>
      <c r="P62" s="35"/>
      <c r="Q62" s="35"/>
      <c r="R62" s="35"/>
      <c r="S62" s="843">
        <f t="shared" ref="S62" si="20">S51/S57</f>
        <v>1.2249741239095078</v>
      </c>
      <c r="T62" s="843">
        <f t="shared" ref="T62:AF62" si="21">T51/T57</f>
        <v>1.2337431491630868</v>
      </c>
      <c r="U62" s="843">
        <f t="shared" si="21"/>
        <v>1.2416642077308941</v>
      </c>
      <c r="V62" s="843">
        <f t="shared" si="21"/>
        <v>1.2488973831226109</v>
      </c>
      <c r="W62" s="843">
        <f t="shared" si="21"/>
        <v>1.256736035049288</v>
      </c>
      <c r="X62" s="843">
        <f t="shared" si="21"/>
        <v>1.2646759662888694</v>
      </c>
      <c r="Y62" s="843">
        <f t="shared" si="21"/>
        <v>1.2738733516881611</v>
      </c>
      <c r="Z62" s="843">
        <f t="shared" si="21"/>
        <v>1.2827705878099922</v>
      </c>
      <c r="AA62" s="843">
        <f t="shared" si="21"/>
        <v>1.2914953473274184</v>
      </c>
      <c r="AB62" s="843">
        <f t="shared" si="21"/>
        <v>1.3000432027649771</v>
      </c>
      <c r="AC62" s="843">
        <f t="shared" si="21"/>
        <v>1.3077863254008195</v>
      </c>
      <c r="AD62" s="843">
        <f t="shared" si="21"/>
        <v>1.3157214644651831</v>
      </c>
      <c r="AE62" s="843">
        <f t="shared" si="21"/>
        <v>1.3236811926605503</v>
      </c>
      <c r="AF62" s="854">
        <f t="shared" si="21"/>
        <v>1.3315921288014312</v>
      </c>
      <c r="AG62" s="847"/>
      <c r="AH62" s="847"/>
      <c r="AI62" s="847"/>
      <c r="AJ62" s="847"/>
      <c r="AK62" s="847"/>
      <c r="AL62" s="847"/>
      <c r="AM62" s="847"/>
      <c r="AN62" s="847"/>
      <c r="AO62" s="847"/>
    </row>
    <row r="63" spans="2:48" x14ac:dyDescent="0.35">
      <c r="B63" s="826" t="s">
        <v>1807</v>
      </c>
      <c r="C63" s="144"/>
      <c r="D63" s="36"/>
      <c r="E63" s="36"/>
      <c r="F63" s="36"/>
      <c r="G63" s="36"/>
      <c r="H63" s="36"/>
      <c r="I63" s="36"/>
      <c r="J63" s="36"/>
      <c r="K63" s="36"/>
      <c r="L63" s="36"/>
      <c r="M63" s="36"/>
      <c r="N63" s="36"/>
      <c r="O63" s="36"/>
      <c r="P63" s="36"/>
      <c r="Q63" s="36"/>
      <c r="R63" s="36"/>
      <c r="S63" s="849">
        <f t="shared" ref="S63" si="22">S53/S59</f>
        <v>1.3788801715316017</v>
      </c>
      <c r="T63" s="849">
        <f t="shared" ref="T63:AF63" si="23">T53/T59</f>
        <v>1.3950923226433429</v>
      </c>
      <c r="U63" s="849">
        <f t="shared" si="23"/>
        <v>1.4070641890252777</v>
      </c>
      <c r="V63" s="849">
        <f t="shared" si="23"/>
        <v>1.4183392174880303</v>
      </c>
      <c r="W63" s="849">
        <f t="shared" si="23"/>
        <v>1.4305803033951361</v>
      </c>
      <c r="X63" s="849">
        <f t="shared" si="23"/>
        <v>1.442730854232728</v>
      </c>
      <c r="Y63" s="849">
        <f t="shared" si="23"/>
        <v>1.4538833788510375</v>
      </c>
      <c r="Z63" s="849">
        <f t="shared" si="23"/>
        <v>1.4639801137721689</v>
      </c>
      <c r="AA63" s="849">
        <f t="shared" si="23"/>
        <v>1.4737921495683695</v>
      </c>
      <c r="AB63" s="849">
        <f t="shared" si="23"/>
        <v>1.4835117773019271</v>
      </c>
      <c r="AC63" s="849">
        <f t="shared" si="23"/>
        <v>1.4936618715282721</v>
      </c>
      <c r="AD63" s="849">
        <f t="shared" si="23"/>
        <v>1.5037654525647703</v>
      </c>
      <c r="AE63" s="849">
        <f t="shared" si="23"/>
        <v>1.5139873357905682</v>
      </c>
      <c r="AF63" s="855">
        <f t="shared" si="23"/>
        <v>1.5241551585992368</v>
      </c>
      <c r="AG63" s="847"/>
      <c r="AH63" s="847"/>
      <c r="AI63" s="847"/>
      <c r="AJ63" s="847"/>
      <c r="AK63" s="847"/>
      <c r="AL63" s="847"/>
      <c r="AM63" s="847"/>
      <c r="AN63" s="847"/>
      <c r="AO63" s="847"/>
    </row>
    <row r="64" spans="2:48" x14ac:dyDescent="0.35">
      <c r="B64" s="842"/>
      <c r="C64" s="842"/>
      <c r="D64" s="171"/>
      <c r="E64" s="171"/>
      <c r="F64" s="171"/>
      <c r="G64" s="171"/>
      <c r="H64" s="171"/>
      <c r="I64" s="171"/>
      <c r="J64" s="171"/>
      <c r="K64" s="171"/>
      <c r="L64" s="171"/>
      <c r="M64" s="171"/>
      <c r="N64" s="171"/>
      <c r="O64" s="171"/>
      <c r="P64" s="171"/>
      <c r="Q64" s="171"/>
      <c r="R64" s="171"/>
      <c r="S64" s="171"/>
      <c r="T64" s="171"/>
      <c r="U64" s="171"/>
      <c r="V64" s="171"/>
      <c r="W64" s="171"/>
      <c r="X64" s="171"/>
      <c r="Y64" s="171"/>
      <c r="Z64" s="35"/>
      <c r="AA64" s="35"/>
      <c r="AB64" s="35"/>
      <c r="AC64" s="35"/>
      <c r="AD64" s="35"/>
      <c r="AE64" s="35"/>
      <c r="AF64" s="35"/>
    </row>
    <row r="65" spans="2:41" x14ac:dyDescent="0.35">
      <c r="B65" s="842"/>
      <c r="C65" s="842"/>
      <c r="D65" s="171"/>
      <c r="E65" s="171"/>
      <c r="F65" s="171"/>
      <c r="G65" s="171"/>
      <c r="H65" s="171"/>
      <c r="I65" s="171"/>
      <c r="J65" s="171"/>
      <c r="K65" s="171"/>
      <c r="L65" s="171"/>
      <c r="M65" s="171"/>
      <c r="N65" s="171"/>
      <c r="O65" s="171"/>
      <c r="P65" s="171"/>
      <c r="Q65" s="171"/>
      <c r="R65" s="171"/>
      <c r="S65" s="171"/>
      <c r="T65" s="737"/>
      <c r="U65" s="737"/>
      <c r="V65" s="737"/>
      <c r="W65" s="737"/>
      <c r="X65" s="737"/>
      <c r="Y65" s="737"/>
      <c r="Z65" s="737"/>
      <c r="AA65" s="737"/>
      <c r="AB65" s="737"/>
      <c r="AC65" s="737"/>
      <c r="AD65" s="737"/>
      <c r="AE65" s="737"/>
      <c r="AF65" s="737"/>
    </row>
    <row r="66" spans="2:41" s="1066" customFormat="1" ht="26.25" customHeight="1" x14ac:dyDescent="0.35">
      <c r="B66" s="841" t="s">
        <v>1813</v>
      </c>
      <c r="C66" s="36" t="s">
        <v>1819</v>
      </c>
      <c r="D66" s="143"/>
      <c r="E66" s="36"/>
      <c r="F66" s="36"/>
      <c r="G66" s="36"/>
      <c r="H66" s="36"/>
      <c r="I66" s="36"/>
      <c r="J66" s="36"/>
      <c r="K66" s="36"/>
      <c r="L66" s="36"/>
      <c r="M66" s="36"/>
      <c r="N66" s="36"/>
      <c r="O66" s="36"/>
      <c r="P66" s="36"/>
      <c r="Q66" s="36"/>
      <c r="R66" s="36"/>
      <c r="S66" s="861">
        <v>2063.4</v>
      </c>
      <c r="T66" s="824">
        <v>2072.6999999999998</v>
      </c>
      <c r="U66" s="850">
        <v>2079.5</v>
      </c>
      <c r="V66" s="850">
        <v>2084.6999999999998</v>
      </c>
      <c r="W66" s="850">
        <v>2088.9</v>
      </c>
      <c r="X66" s="850">
        <v>2092.8000000000002</v>
      </c>
      <c r="Y66" s="850">
        <v>2096.3000000000002</v>
      </c>
      <c r="Z66" s="851">
        <v>2099.9</v>
      </c>
      <c r="AA66" s="851">
        <v>2103.8000000000002</v>
      </c>
      <c r="AB66" s="851">
        <v>2108</v>
      </c>
      <c r="AC66" s="851">
        <v>2113</v>
      </c>
      <c r="AD66" s="851">
        <v>2118.1999999999998</v>
      </c>
      <c r="AE66" s="851">
        <v>2123.6999999999998</v>
      </c>
      <c r="AF66" s="852">
        <v>2129</v>
      </c>
      <c r="AG66" s="847"/>
      <c r="AH66" s="847"/>
      <c r="AI66" s="847"/>
      <c r="AJ66" s="847"/>
      <c r="AK66" s="847"/>
      <c r="AL66" s="847"/>
      <c r="AM66" s="847"/>
      <c r="AN66" s="847"/>
      <c r="AO66" s="847"/>
    </row>
    <row r="68" spans="2:41" x14ac:dyDescent="0.35">
      <c r="C68" s="30"/>
      <c r="D68" s="825"/>
      <c r="E68" s="825"/>
      <c r="F68" s="825"/>
      <c r="G68" s="825"/>
    </row>
    <row r="72" spans="2:41" x14ac:dyDescent="0.35">
      <c r="C72" s="14"/>
      <c r="D72" s="71"/>
      <c r="E72" s="71"/>
      <c r="F72" s="71"/>
      <c r="G72" s="71"/>
      <c r="H72" s="71"/>
      <c r="I72" s="71"/>
      <c r="J72" s="71"/>
      <c r="K72" s="71"/>
      <c r="L72" s="71"/>
      <c r="M72" s="71"/>
    </row>
    <row r="73" spans="2:41" x14ac:dyDescent="0.35">
      <c r="C73" s="30"/>
      <c r="D73" s="831"/>
      <c r="E73" s="831"/>
      <c r="F73" s="831"/>
      <c r="G73" s="831"/>
      <c r="H73" s="831"/>
      <c r="I73" s="831"/>
      <c r="J73" s="831"/>
      <c r="K73" s="831"/>
      <c r="L73" s="831"/>
      <c r="M73" s="831"/>
    </row>
    <row r="74" spans="2:41" x14ac:dyDescent="0.35">
      <c r="C74" s="825"/>
      <c r="D74" s="831"/>
      <c r="E74" s="831"/>
      <c r="F74" s="831"/>
      <c r="G74" s="831"/>
      <c r="H74" s="831"/>
      <c r="I74" s="831"/>
      <c r="J74" s="831"/>
      <c r="K74" s="831"/>
      <c r="L74" s="831"/>
      <c r="M74" s="831"/>
    </row>
    <row r="75" spans="2:41" x14ac:dyDescent="0.35">
      <c r="C75" s="825"/>
      <c r="D75" s="831"/>
      <c r="E75" s="831"/>
      <c r="F75" s="831"/>
      <c r="G75" s="831"/>
      <c r="H75" s="831"/>
      <c r="I75" s="831"/>
      <c r="J75" s="831"/>
      <c r="K75" s="831"/>
      <c r="L75" s="831"/>
      <c r="M75" s="831"/>
    </row>
    <row r="76" spans="2:41" x14ac:dyDescent="0.35">
      <c r="C76" s="825"/>
      <c r="D76" s="831"/>
      <c r="E76" s="831"/>
      <c r="F76" s="831"/>
      <c r="G76" s="831"/>
      <c r="H76" s="831"/>
      <c r="I76" s="831"/>
      <c r="J76" s="831"/>
      <c r="K76" s="831"/>
      <c r="L76" s="831"/>
      <c r="M76" s="831"/>
    </row>
    <row r="77" spans="2:41" x14ac:dyDescent="0.35">
      <c r="C77" s="825"/>
      <c r="D77" s="831"/>
      <c r="E77" s="831"/>
      <c r="F77" s="831"/>
      <c r="G77" s="831"/>
      <c r="H77" s="831"/>
      <c r="I77" s="831"/>
      <c r="J77" s="831"/>
      <c r="K77" s="831"/>
      <c r="L77" s="831"/>
      <c r="M77" s="831"/>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740" t="s">
        <v>576</v>
      </c>
      <c r="B3" s="171"/>
    </row>
    <row r="4" spans="1:17" x14ac:dyDescent="0.35">
      <c r="A4" s="877" t="s">
        <v>577</v>
      </c>
      <c r="B4" s="878"/>
      <c r="C4" s="878"/>
    </row>
    <row r="7" spans="1:17" x14ac:dyDescent="0.35">
      <c r="A7" s="1609" t="s">
        <v>578</v>
      </c>
      <c r="B7" s="1610"/>
      <c r="C7" s="1610"/>
      <c r="D7" s="1610"/>
      <c r="E7" s="1610"/>
      <c r="F7" s="1610"/>
      <c r="G7" s="1610"/>
      <c r="H7" s="1610"/>
      <c r="I7" s="1610"/>
      <c r="J7" s="1610"/>
      <c r="K7" s="1610"/>
      <c r="L7" s="1610"/>
      <c r="M7" s="1610"/>
      <c r="N7" s="1610"/>
      <c r="O7" s="1610"/>
      <c r="P7" s="1610"/>
    </row>
    <row r="8" spans="1:17" x14ac:dyDescent="0.35">
      <c r="A8" s="280" t="s">
        <v>579</v>
      </c>
      <c r="B8" s="280"/>
      <c r="C8" s="280"/>
      <c r="D8" s="872"/>
      <c r="E8" s="280"/>
      <c r="F8" s="280"/>
      <c r="G8" s="280"/>
      <c r="H8" s="280"/>
      <c r="I8" s="280"/>
      <c r="J8" s="280"/>
      <c r="K8" s="280"/>
      <c r="L8" s="280"/>
      <c r="M8" s="280"/>
      <c r="N8" s="280"/>
      <c r="O8" s="280"/>
      <c r="P8" s="280"/>
    </row>
    <row r="9" spans="1:17" x14ac:dyDescent="0.35">
      <c r="A9" s="171"/>
      <c r="B9" s="171"/>
      <c r="C9" s="171"/>
      <c r="D9" s="873"/>
      <c r="E9" s="171"/>
      <c r="F9" s="171"/>
      <c r="G9" s="171"/>
      <c r="H9" s="171"/>
      <c r="I9" s="171"/>
      <c r="J9" s="171"/>
      <c r="K9" s="171"/>
      <c r="L9" s="171"/>
      <c r="M9" s="171"/>
      <c r="N9" s="171"/>
      <c r="O9" s="171"/>
      <c r="P9" s="171"/>
    </row>
    <row r="10" spans="1:17" x14ac:dyDescent="0.35">
      <c r="A10" s="171"/>
      <c r="B10" s="171"/>
      <c r="C10" s="171"/>
      <c r="D10" s="873"/>
      <c r="E10" s="171"/>
      <c r="F10" s="171"/>
      <c r="G10" s="171"/>
      <c r="H10" s="171"/>
      <c r="I10" s="171"/>
      <c r="J10" s="171"/>
      <c r="K10" s="171"/>
      <c r="L10" s="171"/>
      <c r="M10" s="171"/>
      <c r="N10" s="171"/>
      <c r="O10" s="1611" t="s">
        <v>359</v>
      </c>
      <c r="P10" s="1611"/>
    </row>
    <row r="11" spans="1:17" x14ac:dyDescent="0.35">
      <c r="A11" s="171"/>
      <c r="B11" s="171"/>
      <c r="C11" s="212"/>
      <c r="D11" s="284"/>
      <c r="E11" s="212"/>
      <c r="F11" s="212"/>
      <c r="G11" s="212"/>
      <c r="H11" s="212"/>
      <c r="I11" s="212"/>
      <c r="J11" s="212"/>
      <c r="K11" s="212"/>
      <c r="L11" s="212"/>
      <c r="M11" s="212"/>
      <c r="N11" s="212"/>
      <c r="O11" s="538" t="s">
        <v>580</v>
      </c>
      <c r="P11" s="538" t="s">
        <v>580</v>
      </c>
    </row>
    <row r="12" spans="1:17" x14ac:dyDescent="0.35">
      <c r="A12" s="280"/>
      <c r="B12" s="280"/>
      <c r="C12" s="280"/>
      <c r="D12" s="872">
        <v>2020</v>
      </c>
      <c r="E12" s="872">
        <v>2021</v>
      </c>
      <c r="F12" s="872">
        <v>2022</v>
      </c>
      <c r="G12" s="872">
        <v>2023</v>
      </c>
      <c r="H12" s="872">
        <v>2024</v>
      </c>
      <c r="I12" s="872">
        <v>2025</v>
      </c>
      <c r="J12" s="872">
        <v>2026</v>
      </c>
      <c r="K12" s="872">
        <v>2027</v>
      </c>
      <c r="L12" s="872">
        <v>2028</v>
      </c>
      <c r="M12" s="872">
        <v>2029</v>
      </c>
      <c r="N12" s="872">
        <v>2030</v>
      </c>
      <c r="O12" s="881">
        <v>2025</v>
      </c>
      <c r="P12" s="881">
        <v>2030</v>
      </c>
    </row>
    <row r="13" spans="1:17" x14ac:dyDescent="0.35">
      <c r="A13" s="212" t="s">
        <v>581</v>
      </c>
      <c r="B13" s="212"/>
      <c r="C13" s="212"/>
      <c r="D13" s="880">
        <v>540.56299999999999</v>
      </c>
      <c r="E13" s="880">
        <v>0</v>
      </c>
      <c r="F13" s="880">
        <v>0</v>
      </c>
      <c r="G13" s="880">
        <v>0</v>
      </c>
      <c r="H13" s="880">
        <v>0</v>
      </c>
      <c r="I13" s="880">
        <v>0</v>
      </c>
      <c r="J13" s="880">
        <v>0</v>
      </c>
      <c r="K13" s="880">
        <v>0</v>
      </c>
      <c r="L13" s="880">
        <v>0</v>
      </c>
      <c r="M13" s="880">
        <v>0</v>
      </c>
      <c r="N13" s="880">
        <v>0</v>
      </c>
      <c r="O13" s="880">
        <v>0</v>
      </c>
      <c r="P13" s="880">
        <v>0</v>
      </c>
      <c r="Q13" t="s">
        <v>50</v>
      </c>
    </row>
    <row r="14" spans="1:17" x14ac:dyDescent="0.35">
      <c r="A14" s="171" t="s">
        <v>582</v>
      </c>
      <c r="B14" s="171"/>
      <c r="C14" s="171"/>
      <c r="D14" s="284"/>
      <c r="E14" s="212"/>
      <c r="F14" s="212"/>
      <c r="G14" s="212"/>
      <c r="H14" s="212"/>
      <c r="I14" s="212"/>
      <c r="J14" s="212"/>
      <c r="K14" s="212"/>
      <c r="L14" s="212"/>
      <c r="M14" s="212"/>
      <c r="N14" s="212"/>
      <c r="O14" s="212"/>
      <c r="P14" s="212"/>
      <c r="Q14" t="s">
        <v>583</v>
      </c>
    </row>
    <row r="15" spans="1:17" x14ac:dyDescent="0.35">
      <c r="A15" s="171"/>
      <c r="B15" s="171" t="s">
        <v>584</v>
      </c>
      <c r="C15" s="171"/>
      <c r="D15" s="284">
        <v>285.56</v>
      </c>
      <c r="E15" s="284">
        <v>5</v>
      </c>
      <c r="F15" s="284">
        <v>0</v>
      </c>
      <c r="G15" s="284">
        <v>0</v>
      </c>
      <c r="H15" s="284">
        <v>0</v>
      </c>
      <c r="I15" s="284">
        <v>0</v>
      </c>
      <c r="J15" s="284">
        <v>0</v>
      </c>
      <c r="K15" s="284">
        <v>0</v>
      </c>
      <c r="L15" s="284">
        <v>0</v>
      </c>
      <c r="M15" s="284">
        <v>0</v>
      </c>
      <c r="N15" s="284">
        <v>0</v>
      </c>
      <c r="O15" s="284">
        <v>5</v>
      </c>
      <c r="P15" s="284">
        <v>5</v>
      </c>
    </row>
    <row r="16" spans="1:17" x14ac:dyDescent="0.35">
      <c r="A16" s="212"/>
      <c r="B16" s="171" t="s">
        <v>585</v>
      </c>
      <c r="C16" s="212"/>
      <c r="D16" s="284">
        <v>67.209999999999994</v>
      </c>
      <c r="E16" s="284">
        <v>13.68</v>
      </c>
      <c r="F16" s="284">
        <v>0</v>
      </c>
      <c r="G16" s="284">
        <v>0</v>
      </c>
      <c r="H16" s="284">
        <v>0</v>
      </c>
      <c r="I16" s="284">
        <v>0</v>
      </c>
      <c r="J16" s="284">
        <v>0</v>
      </c>
      <c r="K16" s="284">
        <v>0</v>
      </c>
      <c r="L16" s="284">
        <v>0</v>
      </c>
      <c r="M16" s="284">
        <v>0</v>
      </c>
      <c r="N16" s="284">
        <v>0</v>
      </c>
      <c r="O16" s="284">
        <v>13.68</v>
      </c>
      <c r="P16" s="284">
        <v>13.68</v>
      </c>
    </row>
    <row r="17" spans="1:17" x14ac:dyDescent="0.35">
      <c r="A17" s="212"/>
      <c r="B17" s="171" t="s">
        <v>586</v>
      </c>
      <c r="C17" s="212"/>
      <c r="D17" s="284">
        <v>11.12</v>
      </c>
      <c r="E17" s="284">
        <v>47.8</v>
      </c>
      <c r="F17" s="284">
        <v>0</v>
      </c>
      <c r="G17" s="284">
        <v>0</v>
      </c>
      <c r="H17" s="284">
        <v>0</v>
      </c>
      <c r="I17" s="284">
        <v>0</v>
      </c>
      <c r="J17" s="284">
        <v>0</v>
      </c>
      <c r="K17" s="284">
        <v>0</v>
      </c>
      <c r="L17" s="284">
        <v>0</v>
      </c>
      <c r="M17" s="284">
        <v>0</v>
      </c>
      <c r="N17" s="284">
        <v>0</v>
      </c>
      <c r="O17" s="284">
        <v>47.8</v>
      </c>
      <c r="P17" s="284">
        <v>47.8</v>
      </c>
    </row>
    <row r="18" spans="1:17" x14ac:dyDescent="0.35">
      <c r="A18" s="212"/>
      <c r="B18" s="171" t="s">
        <v>587</v>
      </c>
      <c r="C18" s="212"/>
      <c r="D18" s="284">
        <v>6.2149999999999999</v>
      </c>
      <c r="E18" s="284">
        <v>5.0049999999999999</v>
      </c>
      <c r="F18" s="284">
        <v>0</v>
      </c>
      <c r="G18" s="284">
        <v>0</v>
      </c>
      <c r="H18" s="284">
        <v>0</v>
      </c>
      <c r="I18" s="284">
        <v>0</v>
      </c>
      <c r="J18" s="284">
        <v>0</v>
      </c>
      <c r="K18" s="284">
        <v>0</v>
      </c>
      <c r="L18" s="284">
        <v>0</v>
      </c>
      <c r="M18" s="284">
        <v>0</v>
      </c>
      <c r="N18" s="284">
        <v>0</v>
      </c>
      <c r="O18" s="284">
        <v>5.0049999999999999</v>
      </c>
      <c r="P18" s="284">
        <v>5.0049999999999999</v>
      </c>
    </row>
    <row r="19" spans="1:17" x14ac:dyDescent="0.35">
      <c r="A19" s="212"/>
      <c r="B19" s="171"/>
      <c r="C19" s="212"/>
      <c r="D19" s="284" t="s">
        <v>588</v>
      </c>
      <c r="E19" s="284" t="s">
        <v>588</v>
      </c>
      <c r="F19" s="284" t="s">
        <v>588</v>
      </c>
      <c r="G19" s="284" t="s">
        <v>588</v>
      </c>
      <c r="H19" s="284" t="s">
        <v>588</v>
      </c>
      <c r="I19" s="284" t="s">
        <v>588</v>
      </c>
      <c r="J19" s="284" t="s">
        <v>588</v>
      </c>
      <c r="K19" s="284" t="s">
        <v>588</v>
      </c>
      <c r="L19" s="284" t="s">
        <v>588</v>
      </c>
      <c r="M19" s="284" t="s">
        <v>588</v>
      </c>
      <c r="N19" s="284" t="s">
        <v>588</v>
      </c>
      <c r="O19" s="284" t="s">
        <v>588</v>
      </c>
      <c r="P19" s="284" t="s">
        <v>588</v>
      </c>
    </row>
    <row r="20" spans="1:17" x14ac:dyDescent="0.35">
      <c r="A20" s="212"/>
      <c r="B20" s="171"/>
      <c r="C20" s="212" t="s">
        <v>589</v>
      </c>
      <c r="D20" s="284">
        <v>370.10500000000002</v>
      </c>
      <c r="E20" s="284">
        <v>71.484999999999999</v>
      </c>
      <c r="F20" s="284">
        <v>0</v>
      </c>
      <c r="G20" s="284">
        <v>0</v>
      </c>
      <c r="H20" s="284">
        <v>0</v>
      </c>
      <c r="I20" s="284">
        <v>0</v>
      </c>
      <c r="J20" s="284">
        <v>0</v>
      </c>
      <c r="K20" s="284">
        <v>0</v>
      </c>
      <c r="L20" s="284">
        <v>0</v>
      </c>
      <c r="M20" s="284">
        <v>0</v>
      </c>
      <c r="N20" s="284">
        <v>0</v>
      </c>
      <c r="O20" s="284">
        <v>71.484999999999999</v>
      </c>
      <c r="P20" s="284">
        <v>71.484999999999999</v>
      </c>
    </row>
    <row r="21" spans="1:17" x14ac:dyDescent="0.35">
      <c r="A21" s="212"/>
      <c r="B21" s="171"/>
      <c r="C21" s="212"/>
      <c r="D21" s="284"/>
      <c r="E21" s="284"/>
      <c r="F21" s="284"/>
      <c r="G21" s="284"/>
      <c r="H21" s="284"/>
      <c r="I21" s="284"/>
      <c r="J21" s="284"/>
      <c r="K21" s="284"/>
      <c r="L21" s="284"/>
      <c r="M21" s="284"/>
      <c r="N21" s="284"/>
      <c r="O21" s="284"/>
      <c r="P21" s="284"/>
    </row>
    <row r="22" spans="1:17" ht="17.149999999999999" customHeight="1" x14ac:dyDescent="0.35">
      <c r="A22" s="212" t="s">
        <v>590</v>
      </c>
      <c r="B22" s="171"/>
      <c r="C22" s="212"/>
      <c r="D22" s="284">
        <v>271.98399999999998</v>
      </c>
      <c r="E22" s="284">
        <v>9.327</v>
      </c>
      <c r="F22" s="284">
        <v>0</v>
      </c>
      <c r="G22" s="284">
        <v>0</v>
      </c>
      <c r="H22" s="284">
        <v>0</v>
      </c>
      <c r="I22" s="284">
        <v>0</v>
      </c>
      <c r="J22" s="284">
        <v>0</v>
      </c>
      <c r="K22" s="284">
        <v>0</v>
      </c>
      <c r="L22" s="284">
        <v>0</v>
      </c>
      <c r="M22" s="284">
        <v>0</v>
      </c>
      <c r="N22" s="284">
        <v>0</v>
      </c>
      <c r="O22" s="284">
        <v>9.327</v>
      </c>
      <c r="P22" s="284">
        <v>9.327</v>
      </c>
      <c r="Q22" t="s">
        <v>591</v>
      </c>
    </row>
    <row r="23" spans="1:17" x14ac:dyDescent="0.35">
      <c r="A23" s="212" t="s">
        <v>149</v>
      </c>
      <c r="B23" s="171"/>
      <c r="C23" s="171"/>
      <c r="D23" s="284">
        <v>149.97300000000001</v>
      </c>
      <c r="E23" s="284">
        <v>2.5999999999999999E-2</v>
      </c>
      <c r="F23" s="284">
        <v>0</v>
      </c>
      <c r="G23" s="284">
        <v>0</v>
      </c>
      <c r="H23" s="284">
        <v>0</v>
      </c>
      <c r="I23" s="284">
        <v>0</v>
      </c>
      <c r="J23" s="284">
        <v>0</v>
      </c>
      <c r="K23" s="284">
        <v>0</v>
      </c>
      <c r="L23" s="284">
        <v>0</v>
      </c>
      <c r="M23" s="284">
        <v>0</v>
      </c>
      <c r="N23" s="284">
        <v>0</v>
      </c>
      <c r="O23" s="284">
        <v>2.5999999999999999E-2</v>
      </c>
      <c r="P23" s="284">
        <v>2.5999999999999999E-2</v>
      </c>
      <c r="Q23" t="s">
        <v>51</v>
      </c>
    </row>
    <row r="24" spans="1:17" x14ac:dyDescent="0.35">
      <c r="A24" s="212" t="s">
        <v>592</v>
      </c>
      <c r="B24" s="171"/>
      <c r="C24" s="171"/>
      <c r="D24" s="284">
        <v>135.41999999999999</v>
      </c>
      <c r="E24" s="284">
        <v>72.537999999999997</v>
      </c>
      <c r="F24" s="284">
        <v>10.331</v>
      </c>
      <c r="G24" s="284">
        <v>4.2670000000000003</v>
      </c>
      <c r="H24" s="284">
        <v>1.347</v>
      </c>
      <c r="I24" s="284">
        <v>0.67400000000000004</v>
      </c>
      <c r="J24" s="284">
        <v>0</v>
      </c>
      <c r="K24" s="284">
        <v>0</v>
      </c>
      <c r="L24" s="284">
        <v>0</v>
      </c>
      <c r="M24" s="284">
        <v>0</v>
      </c>
      <c r="N24" s="284">
        <v>0</v>
      </c>
      <c r="O24" s="284">
        <v>89.156999999999996</v>
      </c>
      <c r="P24" s="284">
        <v>89.156999999999996</v>
      </c>
      <c r="Q24" t="s">
        <v>593</v>
      </c>
    </row>
    <row r="25" spans="1:17" x14ac:dyDescent="0.35">
      <c r="A25" s="212" t="s">
        <v>594</v>
      </c>
      <c r="B25" s="171"/>
      <c r="C25" s="171"/>
      <c r="D25" s="284"/>
      <c r="E25" s="284"/>
      <c r="F25" s="284"/>
      <c r="G25" s="284"/>
      <c r="H25" s="284"/>
      <c r="I25" s="284"/>
      <c r="J25" s="284"/>
      <c r="K25" s="284"/>
      <c r="L25" s="284"/>
      <c r="M25" s="284"/>
      <c r="N25" s="284"/>
      <c r="O25" s="284"/>
      <c r="P25" s="284"/>
    </row>
    <row r="26" spans="1:17" x14ac:dyDescent="0.35">
      <c r="A26" s="212" t="s">
        <v>595</v>
      </c>
      <c r="B26" s="171"/>
      <c r="C26" s="171"/>
      <c r="D26" s="284">
        <v>40.831000000000003</v>
      </c>
      <c r="E26" s="284">
        <v>79.391999999999996</v>
      </c>
      <c r="F26" s="284">
        <v>47.442999999999998</v>
      </c>
      <c r="G26" s="284">
        <v>4.7220000000000004</v>
      </c>
      <c r="H26" s="284">
        <v>0</v>
      </c>
      <c r="I26" s="284">
        <v>0</v>
      </c>
      <c r="J26" s="284">
        <v>0</v>
      </c>
      <c r="K26" s="284">
        <v>0</v>
      </c>
      <c r="L26" s="284">
        <v>0</v>
      </c>
      <c r="M26" s="284">
        <v>0</v>
      </c>
      <c r="N26" s="284">
        <v>0</v>
      </c>
      <c r="O26" s="284">
        <v>131.55699999999999</v>
      </c>
      <c r="P26" s="284">
        <v>131.55699999999999</v>
      </c>
      <c r="Q26" t="s">
        <v>133</v>
      </c>
    </row>
    <row r="27" spans="1:17" x14ac:dyDescent="0.35">
      <c r="A27" s="212" t="s">
        <v>596</v>
      </c>
      <c r="B27" s="171"/>
      <c r="C27" s="171"/>
      <c r="D27" s="284">
        <v>58.054000000000002</v>
      </c>
      <c r="E27" s="284">
        <v>14.755000000000001</v>
      </c>
      <c r="F27" s="284">
        <v>3.4750000000000001</v>
      </c>
      <c r="G27" s="284">
        <v>3.9249999999999998</v>
      </c>
      <c r="H27" s="284">
        <v>4.375</v>
      </c>
      <c r="I27" s="284">
        <v>4.375</v>
      </c>
      <c r="J27" s="284">
        <v>4.5</v>
      </c>
      <c r="K27" s="284">
        <v>4.5</v>
      </c>
      <c r="L27" s="284">
        <v>4.5</v>
      </c>
      <c r="M27" s="284">
        <v>4.5</v>
      </c>
      <c r="N27" s="284">
        <v>4.5</v>
      </c>
      <c r="O27" s="284">
        <v>30.905000000000001</v>
      </c>
      <c r="P27" s="284">
        <v>53.405000000000001</v>
      </c>
    </row>
    <row r="28" spans="1:17" x14ac:dyDescent="0.35">
      <c r="A28" s="212" t="s">
        <v>597</v>
      </c>
      <c r="B28" s="171"/>
      <c r="C28" s="171"/>
      <c r="D28" s="284">
        <v>47.372999999999998</v>
      </c>
      <c r="E28" s="284">
        <v>-46.081000000000003</v>
      </c>
      <c r="F28" s="284">
        <v>0</v>
      </c>
      <c r="G28" s="284">
        <v>0</v>
      </c>
      <c r="H28" s="284">
        <v>0</v>
      </c>
      <c r="I28" s="284">
        <v>0</v>
      </c>
      <c r="J28" s="284">
        <v>0</v>
      </c>
      <c r="K28" s="284">
        <v>0</v>
      </c>
      <c r="L28" s="284">
        <v>0</v>
      </c>
      <c r="M28" s="284">
        <v>0</v>
      </c>
      <c r="N28" s="284">
        <v>0</v>
      </c>
      <c r="O28" s="284">
        <v>-46.081000000000003</v>
      </c>
      <c r="P28" s="284">
        <v>-46.081000000000003</v>
      </c>
      <c r="Q28" t="s">
        <v>55</v>
      </c>
    </row>
    <row r="29" spans="1:17" x14ac:dyDescent="0.35">
      <c r="A29" s="212" t="s">
        <v>598</v>
      </c>
      <c r="B29" s="171"/>
      <c r="C29" s="171"/>
      <c r="D29" s="284">
        <v>24.475000000000001</v>
      </c>
      <c r="E29" s="284">
        <v>32.784999999999997</v>
      </c>
      <c r="F29" s="284">
        <v>8.4600000000000009</v>
      </c>
      <c r="G29" s="284">
        <v>0</v>
      </c>
      <c r="H29" s="284">
        <v>0</v>
      </c>
      <c r="I29" s="284">
        <v>0</v>
      </c>
      <c r="J29" s="284">
        <v>0</v>
      </c>
      <c r="K29" s="284">
        <v>0</v>
      </c>
      <c r="L29" s="284">
        <v>0</v>
      </c>
      <c r="M29" s="284">
        <v>0</v>
      </c>
      <c r="N29" s="284">
        <v>0</v>
      </c>
      <c r="O29" s="284">
        <v>41.244999999999997</v>
      </c>
      <c r="P29" s="284">
        <v>41.244999999999997</v>
      </c>
      <c r="Q29" t="s">
        <v>599</v>
      </c>
    </row>
    <row r="30" spans="1:17" x14ac:dyDescent="0.35">
      <c r="A30" s="212" t="s">
        <v>600</v>
      </c>
      <c r="B30" s="171"/>
      <c r="C30" s="171"/>
      <c r="D30" s="284">
        <v>27.5</v>
      </c>
      <c r="E30" s="284">
        <v>0.86</v>
      </c>
      <c r="F30" s="284">
        <v>-0.22</v>
      </c>
      <c r="G30" s="284">
        <v>-0.49</v>
      </c>
      <c r="H30" s="284">
        <v>-0.56000000000000005</v>
      </c>
      <c r="I30" s="284">
        <v>-0.98</v>
      </c>
      <c r="J30" s="284">
        <v>-0.76</v>
      </c>
      <c r="K30" s="284">
        <v>-0.74</v>
      </c>
      <c r="L30" s="284">
        <v>-0.72</v>
      </c>
      <c r="M30" s="284">
        <v>-0.7</v>
      </c>
      <c r="N30" s="284">
        <v>-0.69</v>
      </c>
      <c r="O30" s="284">
        <v>-1.39</v>
      </c>
      <c r="P30" s="284">
        <v>-5</v>
      </c>
      <c r="Q30" t="s">
        <v>52</v>
      </c>
    </row>
    <row r="31" spans="1:17" x14ac:dyDescent="0.35">
      <c r="A31" s="212" t="s">
        <v>150</v>
      </c>
      <c r="B31" s="171"/>
      <c r="C31" s="171"/>
      <c r="D31" s="284">
        <v>11.407999999999999</v>
      </c>
      <c r="E31" s="284">
        <v>10.763</v>
      </c>
      <c r="F31" s="284">
        <v>5.7809999999999997</v>
      </c>
      <c r="G31" s="284">
        <v>0.92300000000000004</v>
      </c>
      <c r="H31" s="284">
        <v>0.52300000000000002</v>
      </c>
      <c r="I31" s="284">
        <v>0.43099999999999999</v>
      </c>
      <c r="J31" s="284">
        <v>0.246</v>
      </c>
      <c r="K31" s="284">
        <v>0</v>
      </c>
      <c r="L31" s="284">
        <v>0</v>
      </c>
      <c r="M31" s="284">
        <v>0</v>
      </c>
      <c r="N31" s="284">
        <v>0</v>
      </c>
      <c r="O31" s="284">
        <v>18.420999999999999</v>
      </c>
      <c r="P31" s="284">
        <v>18.667000000000002</v>
      </c>
      <c r="Q31" t="s">
        <v>601</v>
      </c>
    </row>
    <row r="32" spans="1:17" x14ac:dyDescent="0.35">
      <c r="A32" s="212" t="s">
        <v>602</v>
      </c>
      <c r="B32" s="171"/>
      <c r="C32" s="171"/>
      <c r="D32" s="284">
        <v>99.444000000000003</v>
      </c>
      <c r="E32" s="284">
        <v>61.634</v>
      </c>
      <c r="F32" s="284">
        <v>23.815000000000001</v>
      </c>
      <c r="G32" s="284">
        <v>7.35</v>
      </c>
      <c r="H32" s="284">
        <v>4.4029999999999996</v>
      </c>
      <c r="I32" s="284">
        <v>1.663</v>
      </c>
      <c r="J32" s="284">
        <v>0.74399999999999999</v>
      </c>
      <c r="K32" s="284">
        <v>0.65500000000000003</v>
      </c>
      <c r="L32" s="284">
        <v>0.68799999999999994</v>
      </c>
      <c r="M32" s="284">
        <v>10.603</v>
      </c>
      <c r="N32" s="284">
        <v>-35.328000000000003</v>
      </c>
      <c r="O32" s="284">
        <v>98.864999999999995</v>
      </c>
      <c r="P32" s="284">
        <v>76.227000000000004</v>
      </c>
      <c r="Q32" t="s">
        <v>603</v>
      </c>
    </row>
    <row r="33" spans="1:16" x14ac:dyDescent="0.35">
      <c r="A33" s="212"/>
      <c r="B33" s="171"/>
      <c r="C33" s="171"/>
      <c r="D33" s="284"/>
      <c r="E33" s="284"/>
      <c r="F33" s="284"/>
      <c r="G33" s="284"/>
      <c r="H33" s="284"/>
      <c r="I33" s="284"/>
      <c r="J33" s="284"/>
      <c r="K33" s="284"/>
      <c r="L33" s="284"/>
      <c r="M33" s="284"/>
      <c r="N33" s="284"/>
      <c r="O33" s="284"/>
      <c r="P33" s="284"/>
    </row>
    <row r="34" spans="1:16" x14ac:dyDescent="0.35">
      <c r="A34" s="882"/>
      <c r="B34" s="882"/>
      <c r="C34" s="882" t="s">
        <v>359</v>
      </c>
      <c r="D34" s="883">
        <v>1777.13</v>
      </c>
      <c r="E34" s="883">
        <v>307.48399999999998</v>
      </c>
      <c r="F34" s="883">
        <v>99.084999999999994</v>
      </c>
      <c r="G34" s="883">
        <v>20.696999999999999</v>
      </c>
      <c r="H34" s="883">
        <v>10.087999999999999</v>
      </c>
      <c r="I34" s="883">
        <v>6.1630000000000003</v>
      </c>
      <c r="J34" s="883">
        <v>4.7300000000000004</v>
      </c>
      <c r="K34" s="883">
        <v>4.415</v>
      </c>
      <c r="L34" s="883">
        <v>4.468</v>
      </c>
      <c r="M34" s="883">
        <v>14.403</v>
      </c>
      <c r="N34" s="883">
        <v>-31.518000000000001</v>
      </c>
      <c r="O34" s="883">
        <v>443.517</v>
      </c>
      <c r="P34" s="883">
        <v>440.01499999999999</v>
      </c>
    </row>
    <row r="35" spans="1:16" x14ac:dyDescent="0.35">
      <c r="A35" s="171"/>
      <c r="B35" s="171"/>
      <c r="C35" s="171"/>
      <c r="D35" s="879"/>
      <c r="E35" s="464"/>
      <c r="F35" s="212"/>
      <c r="G35" s="212"/>
      <c r="H35" s="212"/>
      <c r="I35" s="212"/>
      <c r="J35" s="212"/>
      <c r="K35" s="212"/>
      <c r="L35" s="212"/>
      <c r="M35" s="212"/>
      <c r="N35" s="212"/>
      <c r="O35" s="212"/>
      <c r="P35" s="212"/>
    </row>
    <row r="36" spans="1:16" x14ac:dyDescent="0.35">
      <c r="A36" s="871" t="s">
        <v>604</v>
      </c>
      <c r="B36" s="871"/>
      <c r="C36" s="871"/>
      <c r="D36" s="874"/>
      <c r="E36" s="871"/>
      <c r="F36" s="871"/>
      <c r="G36" s="871"/>
      <c r="H36" s="871"/>
      <c r="I36" s="871"/>
      <c r="J36" s="871"/>
      <c r="K36" s="871"/>
      <c r="L36" s="871"/>
      <c r="M36" s="871"/>
      <c r="N36" s="871"/>
      <c r="O36" s="871"/>
      <c r="P36" s="871"/>
    </row>
    <row r="37" spans="1:16" x14ac:dyDescent="0.35">
      <c r="A37" s="871"/>
      <c r="B37" s="871"/>
      <c r="C37" s="871"/>
      <c r="D37" s="874"/>
      <c r="E37" s="871"/>
      <c r="F37" s="871"/>
      <c r="G37" s="871"/>
      <c r="H37" s="871"/>
      <c r="I37" s="871"/>
      <c r="J37" s="871"/>
      <c r="K37" s="871"/>
      <c r="L37" s="871"/>
      <c r="M37" s="871"/>
      <c r="N37" s="871"/>
      <c r="O37" s="871"/>
      <c r="P37" s="871"/>
    </row>
    <row r="38" spans="1:16" x14ac:dyDescent="0.35">
      <c r="A38" s="1614" t="s">
        <v>605</v>
      </c>
      <c r="B38" s="1614"/>
      <c r="C38" s="1614"/>
      <c r="D38" s="1614"/>
      <c r="E38" s="1614"/>
      <c r="F38" s="1614"/>
      <c r="G38" s="1614"/>
      <c r="H38" s="1614"/>
      <c r="I38" s="1614"/>
      <c r="J38" s="1614"/>
      <c r="K38" s="1614"/>
      <c r="L38" s="1614"/>
      <c r="M38" s="1614"/>
      <c r="N38" s="1614"/>
      <c r="O38" s="1614"/>
      <c r="P38" s="1614"/>
    </row>
    <row r="39" spans="1:16" x14ac:dyDescent="0.35">
      <c r="A39" s="1614"/>
      <c r="B39" s="1614"/>
      <c r="C39" s="1614"/>
      <c r="D39" s="1614"/>
      <c r="E39" s="1614"/>
      <c r="F39" s="1614"/>
      <c r="G39" s="1614"/>
      <c r="H39" s="1614"/>
      <c r="I39" s="1614"/>
      <c r="J39" s="1614"/>
      <c r="K39" s="1614"/>
      <c r="L39" s="1614"/>
      <c r="M39" s="1614"/>
      <c r="N39" s="1614"/>
      <c r="O39" s="1614"/>
      <c r="P39" s="1614"/>
    </row>
    <row r="40" spans="1:16" x14ac:dyDescent="0.35">
      <c r="A40" s="1614"/>
      <c r="B40" s="1614"/>
      <c r="C40" s="1614"/>
      <c r="D40" s="1614"/>
      <c r="E40" s="1614"/>
      <c r="F40" s="1614"/>
      <c r="G40" s="1614"/>
      <c r="H40" s="1614"/>
      <c r="I40" s="1614"/>
      <c r="J40" s="1614"/>
      <c r="K40" s="1614"/>
      <c r="L40" s="1614"/>
      <c r="M40" s="1614"/>
      <c r="N40" s="1614"/>
      <c r="O40" s="1614"/>
      <c r="P40" s="1614"/>
    </row>
    <row r="41" spans="1:16" x14ac:dyDescent="0.35">
      <c r="A41" s="1614"/>
      <c r="B41" s="1614"/>
      <c r="C41" s="1614"/>
      <c r="D41" s="1614"/>
      <c r="E41" s="1614"/>
      <c r="F41" s="1614"/>
      <c r="G41" s="1614"/>
      <c r="H41" s="1614"/>
      <c r="I41" s="1614"/>
      <c r="J41" s="1614"/>
      <c r="K41" s="1614"/>
      <c r="L41" s="1614"/>
      <c r="M41" s="1614"/>
      <c r="N41" s="1614"/>
      <c r="O41" s="1614"/>
      <c r="P41" s="1614"/>
    </row>
    <row r="42" spans="1:16" x14ac:dyDescent="0.35">
      <c r="A42" s="1614"/>
      <c r="B42" s="1614"/>
      <c r="C42" s="1614"/>
      <c r="D42" s="1614"/>
      <c r="E42" s="1614"/>
      <c r="F42" s="1614"/>
      <c r="G42" s="1614"/>
      <c r="H42" s="1614"/>
      <c r="I42" s="1614"/>
      <c r="J42" s="1614"/>
      <c r="K42" s="1614"/>
      <c r="L42" s="1614"/>
      <c r="M42" s="1614"/>
      <c r="N42" s="1614"/>
      <c r="O42" s="1614"/>
      <c r="P42" s="1614"/>
    </row>
    <row r="43" spans="1:16" x14ac:dyDescent="0.35">
      <c r="A43" s="160"/>
      <c r="B43" s="160"/>
      <c r="C43" s="160"/>
      <c r="D43" s="160"/>
      <c r="E43" s="160"/>
      <c r="F43" s="160"/>
      <c r="G43" s="160"/>
      <c r="H43" s="160"/>
      <c r="I43" s="160"/>
      <c r="J43" s="160"/>
      <c r="K43" s="160"/>
      <c r="L43" s="160"/>
      <c r="M43" s="160"/>
      <c r="N43" s="160"/>
      <c r="O43" s="160"/>
      <c r="P43" s="160"/>
    </row>
    <row r="44" spans="1:16" x14ac:dyDescent="0.35">
      <c r="A44" s="1458" t="s">
        <v>606</v>
      </c>
      <c r="B44" s="1458"/>
      <c r="C44" s="1458"/>
      <c r="D44" s="1458"/>
      <c r="E44" s="1458"/>
      <c r="F44" s="1458"/>
      <c r="G44" s="1458"/>
      <c r="H44" s="1458"/>
      <c r="I44" s="1458"/>
      <c r="J44" s="1458"/>
      <c r="K44" s="1458"/>
      <c r="L44" s="1458"/>
      <c r="M44" s="1458"/>
      <c r="N44" s="1458"/>
      <c r="O44" s="1458"/>
      <c r="P44" s="1458"/>
    </row>
    <row r="45" spans="1:16" x14ac:dyDescent="0.35">
      <c r="A45" s="1458"/>
      <c r="B45" s="1458"/>
      <c r="C45" s="1458"/>
      <c r="D45" s="1458"/>
      <c r="E45" s="1458"/>
      <c r="F45" s="1458"/>
      <c r="G45" s="1458"/>
      <c r="H45" s="1458"/>
      <c r="I45" s="1458"/>
      <c r="J45" s="1458"/>
      <c r="K45" s="1458"/>
      <c r="L45" s="1458"/>
      <c r="M45" s="1458"/>
      <c r="N45" s="1458"/>
      <c r="O45" s="1458"/>
      <c r="P45" s="1458"/>
    </row>
    <row r="46" spans="1:16" x14ac:dyDescent="0.35">
      <c r="A46" s="1458"/>
      <c r="B46" s="1458"/>
      <c r="C46" s="1458"/>
      <c r="D46" s="1458"/>
      <c r="E46" s="1458"/>
      <c r="F46" s="1458"/>
      <c r="G46" s="1458"/>
      <c r="H46" s="1458"/>
      <c r="I46" s="1458"/>
      <c r="J46" s="1458"/>
      <c r="K46" s="1458"/>
      <c r="L46" s="1458"/>
      <c r="M46" s="1458"/>
      <c r="N46" s="1458"/>
      <c r="O46" s="1458"/>
      <c r="P46" s="1458"/>
    </row>
    <row r="47" spans="1:16" x14ac:dyDescent="0.35">
      <c r="A47" s="871"/>
      <c r="B47" s="871"/>
      <c r="C47" s="871"/>
      <c r="D47" s="874"/>
      <c r="E47" s="871"/>
      <c r="F47" s="871"/>
      <c r="G47" s="871"/>
      <c r="H47" s="871"/>
      <c r="I47" s="871"/>
      <c r="J47" s="871"/>
      <c r="K47" s="871"/>
      <c r="L47" s="871"/>
      <c r="M47" s="871"/>
      <c r="N47" s="871"/>
      <c r="O47" s="871"/>
      <c r="P47" s="871"/>
    </row>
    <row r="48" spans="1:16" x14ac:dyDescent="0.35">
      <c r="A48" s="1612" t="s">
        <v>607</v>
      </c>
      <c r="B48" s="1613"/>
      <c r="C48" s="1613"/>
      <c r="D48" s="1613"/>
      <c r="E48" s="1613"/>
      <c r="F48" s="1613"/>
      <c r="G48" s="1613"/>
      <c r="H48" s="1613"/>
      <c r="I48" s="1613"/>
      <c r="J48" s="1613"/>
      <c r="K48" s="1613"/>
      <c r="L48" s="1613"/>
      <c r="M48" s="1613"/>
      <c r="N48" s="1613"/>
      <c r="O48" s="1613"/>
      <c r="P48" s="1613"/>
    </row>
    <row r="49" spans="1:16" x14ac:dyDescent="0.35">
      <c r="A49" s="1613"/>
      <c r="B49" s="1613"/>
      <c r="C49" s="1613"/>
      <c r="D49" s="1613"/>
      <c r="E49" s="1613"/>
      <c r="F49" s="1613"/>
      <c r="G49" s="1613"/>
      <c r="H49" s="1613"/>
      <c r="I49" s="1613"/>
      <c r="J49" s="1613"/>
      <c r="K49" s="1613"/>
      <c r="L49" s="1613"/>
      <c r="M49" s="1613"/>
      <c r="N49" s="1613"/>
      <c r="O49" s="1613"/>
      <c r="P49" s="1613"/>
    </row>
    <row r="50" spans="1:16" x14ac:dyDescent="0.35">
      <c r="A50" s="871"/>
      <c r="B50" s="871"/>
      <c r="C50" s="871"/>
      <c r="D50" s="874"/>
      <c r="E50" s="871"/>
      <c r="F50" s="871"/>
      <c r="G50" s="871"/>
      <c r="H50" s="871"/>
      <c r="I50" s="871"/>
      <c r="J50" s="871"/>
      <c r="K50" s="871"/>
      <c r="L50" s="871"/>
      <c r="M50" s="871"/>
      <c r="N50" s="871"/>
      <c r="O50" s="871"/>
      <c r="P50" s="871"/>
    </row>
    <row r="51" spans="1:16" x14ac:dyDescent="0.35">
      <c r="A51" s="1608" t="s">
        <v>608</v>
      </c>
      <c r="B51" s="1608"/>
      <c r="C51" s="1608"/>
      <c r="D51" s="1608"/>
      <c r="E51" s="1608"/>
      <c r="F51" s="1608"/>
      <c r="G51" s="1608"/>
      <c r="H51" s="1608"/>
      <c r="I51" s="1608"/>
      <c r="J51" s="1608"/>
      <c r="K51" s="1608"/>
      <c r="L51" s="1608"/>
      <c r="M51" s="1608"/>
      <c r="N51" s="1608"/>
      <c r="O51" s="1608"/>
      <c r="P51" s="1608"/>
    </row>
    <row r="52" spans="1:16" x14ac:dyDescent="0.35">
      <c r="A52" s="1608"/>
      <c r="B52" s="1608"/>
      <c r="C52" s="1608"/>
      <c r="D52" s="1608"/>
      <c r="E52" s="1608"/>
      <c r="F52" s="1608"/>
      <c r="G52" s="1608"/>
      <c r="H52" s="1608"/>
      <c r="I52" s="1608"/>
      <c r="J52" s="1608"/>
      <c r="K52" s="1608"/>
      <c r="L52" s="1608"/>
      <c r="M52" s="1608"/>
      <c r="N52" s="1608"/>
      <c r="O52" s="1608"/>
      <c r="P52" s="1608"/>
    </row>
    <row r="53" spans="1:16" x14ac:dyDescent="0.35">
      <c r="A53" s="1608"/>
      <c r="B53" s="1608"/>
      <c r="C53" s="1608"/>
      <c r="D53" s="1608"/>
      <c r="E53" s="1608"/>
      <c r="F53" s="1608"/>
      <c r="G53" s="1608"/>
      <c r="H53" s="1608"/>
      <c r="I53" s="1608"/>
      <c r="J53" s="1608"/>
      <c r="K53" s="1608"/>
      <c r="L53" s="1608"/>
      <c r="M53" s="1608"/>
      <c r="N53" s="1608"/>
      <c r="O53" s="1608"/>
      <c r="P53" s="1608"/>
    </row>
    <row r="54" spans="1:16" x14ac:dyDescent="0.35">
      <c r="A54" s="875"/>
      <c r="B54" s="875"/>
      <c r="C54" s="875"/>
      <c r="D54" s="876"/>
      <c r="E54" s="875"/>
      <c r="F54" s="875"/>
      <c r="G54" s="875"/>
      <c r="H54" s="875"/>
      <c r="I54" s="875"/>
      <c r="J54" s="875"/>
      <c r="K54" s="875"/>
      <c r="L54" s="875"/>
      <c r="M54" s="875"/>
      <c r="N54" s="875"/>
      <c r="O54" s="875"/>
      <c r="P54" s="875"/>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24" t="s">
        <v>1475</v>
      </c>
      <c r="D1" s="890">
        <v>2022</v>
      </c>
      <c r="E1" s="890">
        <v>2023</v>
      </c>
      <c r="F1" s="890">
        <v>2024</v>
      </c>
      <c r="G1" s="890">
        <v>2025</v>
      </c>
      <c r="H1" s="890">
        <v>2026</v>
      </c>
      <c r="I1" s="890">
        <v>2027</v>
      </c>
      <c r="J1" s="890">
        <v>2028</v>
      </c>
      <c r="K1" s="890">
        <v>2029</v>
      </c>
      <c r="L1" s="890">
        <v>2030</v>
      </c>
      <c r="M1" s="891">
        <v>2031</v>
      </c>
      <c r="N1" s="892" t="s">
        <v>1272</v>
      </c>
      <c r="O1" s="892" t="s">
        <v>1273</v>
      </c>
    </row>
    <row r="2" spans="1:15" x14ac:dyDescent="0.35">
      <c r="C2" s="1615" t="s">
        <v>1476</v>
      </c>
      <c r="D2" s="1615"/>
      <c r="E2" s="1615"/>
      <c r="F2" s="1615"/>
      <c r="G2" s="1615"/>
      <c r="H2" s="1615"/>
      <c r="I2" s="1615"/>
      <c r="J2" s="1615"/>
      <c r="K2" s="1615"/>
      <c r="L2" s="1615"/>
      <c r="M2" s="1615"/>
      <c r="N2" s="1615"/>
      <c r="O2" s="1615"/>
    </row>
    <row r="3" spans="1:15" x14ac:dyDescent="0.35">
      <c r="A3" s="35" t="s">
        <v>1281</v>
      </c>
      <c r="B3" s="35">
        <v>13601</v>
      </c>
      <c r="C3" s="35" t="s">
        <v>1477</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1294</v>
      </c>
      <c r="B4" s="35">
        <v>10301</v>
      </c>
      <c r="C4" s="35" t="s">
        <v>1477</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1296</v>
      </c>
      <c r="B5" s="35">
        <v>13802</v>
      </c>
      <c r="C5" s="35" t="s">
        <v>1477</v>
      </c>
      <c r="D5" s="35">
        <v>0</v>
      </c>
      <c r="E5" s="35">
        <v>55</v>
      </c>
      <c r="F5" s="35">
        <v>55</v>
      </c>
      <c r="G5" s="35">
        <v>55</v>
      </c>
      <c r="H5" s="35">
        <v>55</v>
      </c>
      <c r="I5" s="35">
        <v>55</v>
      </c>
      <c r="J5" s="35">
        <v>55</v>
      </c>
      <c r="K5" s="35">
        <v>55</v>
      </c>
      <c r="L5" s="35">
        <v>55</v>
      </c>
      <c r="M5" s="35">
        <v>55</v>
      </c>
      <c r="N5" s="35">
        <v>220</v>
      </c>
      <c r="O5" s="35">
        <v>495</v>
      </c>
    </row>
    <row r="6" spans="1:15" x14ac:dyDescent="0.35">
      <c r="A6" s="35" t="s">
        <v>1298</v>
      </c>
      <c r="B6" s="35">
        <v>22005</v>
      </c>
      <c r="C6" s="35" t="s">
        <v>1477</v>
      </c>
      <c r="D6" s="35">
        <v>0</v>
      </c>
      <c r="E6" s="35">
        <v>19</v>
      </c>
      <c r="F6" s="35">
        <v>26</v>
      </c>
      <c r="G6" s="35">
        <v>27</v>
      </c>
      <c r="H6" s="35">
        <v>17</v>
      </c>
      <c r="I6" s="35">
        <v>7</v>
      </c>
      <c r="J6" s="35">
        <v>3</v>
      </c>
      <c r="K6" s="35">
        <v>1</v>
      </c>
      <c r="L6" s="35">
        <v>0</v>
      </c>
      <c r="M6" s="35">
        <v>0</v>
      </c>
      <c r="N6" s="35">
        <v>89</v>
      </c>
      <c r="O6" s="35">
        <v>100</v>
      </c>
    </row>
    <row r="7" spans="1:15" x14ac:dyDescent="0.35">
      <c r="A7" s="35" t="s">
        <v>1284</v>
      </c>
      <c r="B7" s="35">
        <v>23001</v>
      </c>
      <c r="C7" s="35" t="s">
        <v>1477</v>
      </c>
      <c r="D7" s="35">
        <v>0</v>
      </c>
      <c r="E7" s="35">
        <v>35</v>
      </c>
      <c r="F7" s="35">
        <v>125</v>
      </c>
      <c r="G7" s="35">
        <v>170</v>
      </c>
      <c r="H7" s="35">
        <v>375</v>
      </c>
      <c r="I7" s="35">
        <v>470</v>
      </c>
      <c r="J7" s="35">
        <v>415</v>
      </c>
      <c r="K7" s="35">
        <v>280</v>
      </c>
      <c r="L7" s="35">
        <v>217</v>
      </c>
      <c r="M7" s="35">
        <v>58</v>
      </c>
      <c r="N7" s="35">
        <v>705</v>
      </c>
      <c r="O7" s="35">
        <v>2145</v>
      </c>
    </row>
    <row r="8" spans="1:15" x14ac:dyDescent="0.35">
      <c r="A8" s="35" t="s">
        <v>1300</v>
      </c>
      <c r="B8" s="35">
        <v>23005</v>
      </c>
      <c r="C8" s="35" t="s">
        <v>1477</v>
      </c>
      <c r="D8" s="35">
        <v>0</v>
      </c>
      <c r="E8" s="35">
        <v>15</v>
      </c>
      <c r="F8" s="35">
        <v>15</v>
      </c>
      <c r="G8" s="35">
        <v>15</v>
      </c>
      <c r="H8" s="35">
        <v>10</v>
      </c>
      <c r="I8" s="35">
        <v>10</v>
      </c>
      <c r="J8" s="35">
        <v>10</v>
      </c>
      <c r="K8" s="35">
        <v>10</v>
      </c>
      <c r="L8" s="35">
        <v>10</v>
      </c>
      <c r="M8" s="35">
        <v>5</v>
      </c>
      <c r="N8" s="35">
        <v>55</v>
      </c>
      <c r="O8" s="35">
        <v>100</v>
      </c>
    </row>
    <row r="9" spans="1:15" x14ac:dyDescent="0.35">
      <c r="A9" s="35" t="s">
        <v>1353</v>
      </c>
      <c r="B9" s="35">
        <v>23003</v>
      </c>
      <c r="C9" s="35" t="s">
        <v>1340</v>
      </c>
      <c r="D9" s="35">
        <v>0</v>
      </c>
      <c r="E9" s="35">
        <v>65</v>
      </c>
      <c r="F9" s="35">
        <v>150</v>
      </c>
      <c r="G9" s="35">
        <v>290</v>
      </c>
      <c r="H9" s="35">
        <v>290</v>
      </c>
      <c r="I9" s="35">
        <v>290</v>
      </c>
      <c r="J9" s="35">
        <v>285</v>
      </c>
      <c r="K9" s="35">
        <v>250</v>
      </c>
      <c r="L9" s="35">
        <v>220</v>
      </c>
      <c r="M9" s="35">
        <v>160</v>
      </c>
      <c r="N9" s="35">
        <v>795</v>
      </c>
      <c r="O9" s="35">
        <v>2000</v>
      </c>
    </row>
    <row r="10" spans="1:15" x14ac:dyDescent="0.35">
      <c r="A10" s="35" t="s">
        <v>1381</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1383</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1385</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1381</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1388</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1478</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1390</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1392</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1394</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1406</v>
      </c>
      <c r="B26" s="35">
        <v>12001</v>
      </c>
      <c r="C26" s="35" t="s">
        <v>1479</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1408</v>
      </c>
      <c r="B27" s="35">
        <v>22003</v>
      </c>
      <c r="C27" s="35" t="s">
        <v>1479</v>
      </c>
      <c r="D27" s="35">
        <v>0</v>
      </c>
      <c r="E27" s="35">
        <v>24</v>
      </c>
      <c r="F27" s="35">
        <v>65</v>
      </c>
      <c r="G27" s="35">
        <v>112</v>
      </c>
      <c r="H27" s="35">
        <v>130</v>
      </c>
      <c r="I27" s="35">
        <v>98</v>
      </c>
      <c r="J27" s="35">
        <v>56</v>
      </c>
      <c r="K27" s="35">
        <v>15</v>
      </c>
      <c r="L27" s="35">
        <v>0</v>
      </c>
      <c r="M27" s="35">
        <v>0</v>
      </c>
      <c r="N27" s="35">
        <v>331</v>
      </c>
      <c r="O27" s="35">
        <v>500</v>
      </c>
    </row>
    <row r="28" spans="1:15" x14ac:dyDescent="0.35">
      <c r="A28" s="35" t="s">
        <v>1410</v>
      </c>
      <c r="B28" s="35">
        <v>22004</v>
      </c>
      <c r="C28" s="35" t="s">
        <v>1479</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1480</v>
      </c>
      <c r="B29" s="35">
        <v>22007</v>
      </c>
      <c r="C29" s="35" t="s">
        <v>1479</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1412</v>
      </c>
      <c r="B30" s="35">
        <v>23002</v>
      </c>
      <c r="C30" s="35" t="s">
        <v>1479</v>
      </c>
      <c r="D30" s="35">
        <v>0</v>
      </c>
      <c r="E30" s="35">
        <v>30</v>
      </c>
      <c r="F30" s="35">
        <v>90</v>
      </c>
      <c r="G30" s="35">
        <v>90</v>
      </c>
      <c r="H30" s="35">
        <v>85</v>
      </c>
      <c r="I30" s="35">
        <v>70</v>
      </c>
      <c r="J30" s="35">
        <v>65</v>
      </c>
      <c r="K30" s="35">
        <v>65</v>
      </c>
      <c r="L30" s="35">
        <v>35</v>
      </c>
      <c r="M30" s="35">
        <v>15</v>
      </c>
      <c r="N30" s="35">
        <v>295</v>
      </c>
      <c r="O30" s="35">
        <v>545</v>
      </c>
    </row>
    <row r="31" spans="1:15" x14ac:dyDescent="0.35">
      <c r="A31" s="35" t="s">
        <v>1403</v>
      </c>
      <c r="B31" s="35">
        <v>30002</v>
      </c>
      <c r="C31" s="35" t="s">
        <v>1479</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1481</v>
      </c>
      <c r="B32" s="35">
        <v>13104</v>
      </c>
      <c r="C32" s="35" t="s">
        <v>1482</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1483</v>
      </c>
      <c r="B33" s="35">
        <v>13105</v>
      </c>
      <c r="C33" s="35" t="s">
        <v>1482</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1440</v>
      </c>
      <c r="B34" s="35">
        <v>13204</v>
      </c>
      <c r="C34" s="35" t="s">
        <v>1482</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1484</v>
      </c>
      <c r="B35" s="35">
        <v>13502</v>
      </c>
      <c r="C35" s="35" t="s">
        <v>1482</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1485</v>
      </c>
      <c r="B36" s="35">
        <v>13701</v>
      </c>
      <c r="C36" s="35" t="s">
        <v>1482</v>
      </c>
      <c r="D36" s="35">
        <v>0</v>
      </c>
      <c r="E36" s="35">
        <v>1</v>
      </c>
      <c r="F36" s="35">
        <v>1</v>
      </c>
      <c r="G36" s="35">
        <v>2</v>
      </c>
      <c r="H36" s="35">
        <v>2</v>
      </c>
      <c r="I36" s="35">
        <v>3</v>
      </c>
      <c r="J36" s="35">
        <v>3</v>
      </c>
      <c r="K36" s="35">
        <v>4</v>
      </c>
      <c r="L36" s="35">
        <v>5</v>
      </c>
      <c r="M36" s="35">
        <v>6</v>
      </c>
      <c r="N36" s="35">
        <v>6</v>
      </c>
      <c r="O36" s="35">
        <v>26</v>
      </c>
    </row>
    <row r="37" spans="1:15" x14ac:dyDescent="0.35">
      <c r="A37" s="35" t="s">
        <v>1422</v>
      </c>
      <c r="B37" s="35">
        <v>21001</v>
      </c>
      <c r="C37" s="35" t="s">
        <v>1482</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1482</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1434</v>
      </c>
      <c r="B39" s="35">
        <v>22002</v>
      </c>
      <c r="C39" s="35" t="s">
        <v>1482</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1450</v>
      </c>
      <c r="B40" s="35">
        <v>30001</v>
      </c>
      <c r="C40" s="35" t="s">
        <v>1482</v>
      </c>
      <c r="D40" s="35">
        <v>0</v>
      </c>
      <c r="E40" s="35">
        <v>25</v>
      </c>
      <c r="F40" s="35">
        <v>100</v>
      </c>
      <c r="G40" s="35">
        <v>125</v>
      </c>
      <c r="H40" s="35">
        <v>100</v>
      </c>
      <c r="I40" s="35">
        <v>75</v>
      </c>
      <c r="J40" s="35">
        <v>30</v>
      </c>
      <c r="K40" s="35">
        <v>20</v>
      </c>
      <c r="L40" s="35">
        <v>0</v>
      </c>
      <c r="M40" s="35">
        <v>0</v>
      </c>
      <c r="N40" s="35">
        <v>350</v>
      </c>
      <c r="O40" s="35">
        <v>475</v>
      </c>
    </row>
    <row r="42" spans="1:15" x14ac:dyDescent="0.35">
      <c r="C42" s="1616" t="s">
        <v>1486</v>
      </c>
      <c r="D42" s="1616"/>
      <c r="E42" s="1616"/>
      <c r="F42" s="1616"/>
      <c r="G42" s="1616"/>
      <c r="H42" s="1616"/>
      <c r="I42" s="1616"/>
      <c r="J42" s="1616"/>
      <c r="K42" s="1616"/>
      <c r="L42" s="1616"/>
      <c r="M42" s="1616"/>
      <c r="N42" s="1616"/>
      <c r="O42" s="1616"/>
    </row>
    <row r="43" spans="1:15" x14ac:dyDescent="0.35">
      <c r="A43" s="35" t="s">
        <v>1487</v>
      </c>
      <c r="B43" s="35">
        <v>10101</v>
      </c>
      <c r="C43" s="35" t="s">
        <v>1488</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1489</v>
      </c>
      <c r="B44" s="35" t="s">
        <v>1490</v>
      </c>
      <c r="C44" s="35" t="s">
        <v>1488</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1491</v>
      </c>
      <c r="B45" s="35">
        <v>13101</v>
      </c>
      <c r="C45" s="35" t="s">
        <v>1488</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1492</v>
      </c>
      <c r="B46" s="35">
        <v>13102</v>
      </c>
      <c r="C46" s="35" t="s">
        <v>1488</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1493</v>
      </c>
      <c r="B47" s="35">
        <v>13104</v>
      </c>
      <c r="C47" s="35" t="s">
        <v>1488</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1494</v>
      </c>
      <c r="B48" s="35">
        <v>13105</v>
      </c>
      <c r="C48" s="35" t="s">
        <v>1488</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1495</v>
      </c>
      <c r="B49" s="35">
        <v>13303</v>
      </c>
      <c r="C49" s="35" t="s">
        <v>1488</v>
      </c>
      <c r="D49" s="35">
        <v>0</v>
      </c>
      <c r="E49" s="35">
        <v>-62</v>
      </c>
      <c r="F49" s="35">
        <v>-50</v>
      </c>
      <c r="G49" s="35">
        <v>-46</v>
      </c>
      <c r="H49" s="35">
        <v>-42</v>
      </c>
      <c r="I49" s="35">
        <v>-38</v>
      </c>
      <c r="J49" s="35">
        <v>-35</v>
      </c>
      <c r="K49" s="35">
        <v>-32</v>
      </c>
      <c r="L49" s="35">
        <v>-30</v>
      </c>
      <c r="M49" s="35">
        <v>-28</v>
      </c>
      <c r="N49" s="35">
        <v>-200</v>
      </c>
      <c r="O49" s="35">
        <v>-362</v>
      </c>
    </row>
    <row r="50" spans="1:15" x14ac:dyDescent="0.35">
      <c r="A50" s="35" t="s">
        <v>1496</v>
      </c>
      <c r="B50" s="35" t="s">
        <v>1497</v>
      </c>
      <c r="C50" s="35" t="s">
        <v>1488</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1498</v>
      </c>
      <c r="B51" s="35">
        <v>13601</v>
      </c>
      <c r="C51" s="35" t="s">
        <v>1488</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1499</v>
      </c>
      <c r="B52" s="35" t="s">
        <v>1500</v>
      </c>
      <c r="C52" s="35" t="s">
        <v>1488</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1501</v>
      </c>
      <c r="B53" s="35">
        <v>13901</v>
      </c>
      <c r="C53" s="35" t="s">
        <v>1488</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1502</v>
      </c>
      <c r="B54" s="35">
        <v>13902</v>
      </c>
      <c r="C54" s="35" t="s">
        <v>1488</v>
      </c>
      <c r="D54" s="35">
        <v>0</v>
      </c>
      <c r="E54" s="35">
        <v>-16</v>
      </c>
      <c r="F54" s="35">
        <v>-13</v>
      </c>
      <c r="G54" s="35">
        <v>-15</v>
      </c>
      <c r="H54" s="35">
        <v>-16</v>
      </c>
      <c r="I54" s="35">
        <v>-18</v>
      </c>
      <c r="J54" s="35">
        <v>-21</v>
      </c>
      <c r="K54" s="35">
        <v>-22</v>
      </c>
      <c r="L54" s="35">
        <v>-23</v>
      </c>
      <c r="M54" s="35">
        <v>-24</v>
      </c>
      <c r="N54" s="35">
        <v>-60</v>
      </c>
      <c r="O54" s="35">
        <v>-168</v>
      </c>
    </row>
    <row r="55" spans="1:15" x14ac:dyDescent="0.35">
      <c r="A55" s="35" t="s">
        <v>1503</v>
      </c>
      <c r="B55" s="35" t="s">
        <v>1504</v>
      </c>
      <c r="C55" s="35" t="s">
        <v>1488</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1505</v>
      </c>
      <c r="B56" s="35">
        <v>60113</v>
      </c>
      <c r="C56" s="35" t="s">
        <v>1488</v>
      </c>
      <c r="D56" s="35">
        <v>0</v>
      </c>
      <c r="E56" s="35">
        <v>0</v>
      </c>
      <c r="F56" s="35">
        <v>0</v>
      </c>
      <c r="G56" s="35">
        <v>0</v>
      </c>
      <c r="H56" s="35">
        <v>850</v>
      </c>
      <c r="I56" s="158">
        <v>1350</v>
      </c>
      <c r="J56" s="158">
        <v>1400</v>
      </c>
      <c r="K56" s="158">
        <v>1200</v>
      </c>
      <c r="L56" s="158">
        <v>1050</v>
      </c>
      <c r="M56" s="35">
        <v>500</v>
      </c>
      <c r="N56" s="35">
        <v>850</v>
      </c>
      <c r="O56" s="158">
        <v>6350</v>
      </c>
    </row>
    <row r="57" spans="1:15" x14ac:dyDescent="0.35">
      <c r="A57" s="35" t="s">
        <v>1506</v>
      </c>
      <c r="B57" s="35">
        <v>10201</v>
      </c>
      <c r="C57" s="35" t="s">
        <v>1488</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1513</v>
      </c>
      <c r="B58" s="35">
        <v>13304</v>
      </c>
      <c r="C58" s="35" t="s">
        <v>1518</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1509</v>
      </c>
      <c r="B59" s="35" t="s">
        <v>1510</v>
      </c>
      <c r="C59" s="35" t="s">
        <v>1518</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893" t="s">
        <v>1507</v>
      </c>
      <c r="B60" s="894">
        <v>10301</v>
      </c>
      <c r="C60" s="894" t="s">
        <v>239</v>
      </c>
      <c r="D60" s="894">
        <v>0</v>
      </c>
      <c r="E60" s="895">
        <v>2012</v>
      </c>
      <c r="F60" s="895">
        <v>5106</v>
      </c>
      <c r="G60" s="895">
        <v>11125</v>
      </c>
      <c r="H60" s="895">
        <v>16116</v>
      </c>
      <c r="I60" s="895">
        <v>21716</v>
      </c>
      <c r="J60" s="895">
        <v>26314</v>
      </c>
      <c r="K60" s="895">
        <v>31218</v>
      </c>
      <c r="L60" s="895">
        <v>34877</v>
      </c>
      <c r="M60" s="895">
        <v>31904</v>
      </c>
      <c r="N60" s="895">
        <v>34359</v>
      </c>
      <c r="O60" s="896">
        <v>180388</v>
      </c>
    </row>
    <row r="61" spans="1:15" x14ac:dyDescent="0.35">
      <c r="A61" s="35" t="s">
        <v>1508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1511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1512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1514</v>
      </c>
      <c r="B64" s="35" t="s">
        <v>1515</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897">
        <v>2022</v>
      </c>
      <c r="E67" s="897">
        <v>2023</v>
      </c>
      <c r="F67" s="897">
        <v>2024</v>
      </c>
      <c r="G67" s="897">
        <v>2025</v>
      </c>
      <c r="H67" s="897">
        <v>2026</v>
      </c>
      <c r="I67" s="897">
        <v>2027</v>
      </c>
      <c r="J67" s="897">
        <v>2028</v>
      </c>
      <c r="K67" s="897">
        <v>2029</v>
      </c>
      <c r="L67" s="897">
        <v>2030</v>
      </c>
      <c r="M67" s="898">
        <v>2031</v>
      </c>
      <c r="N67" s="899" t="s">
        <v>1452</v>
      </c>
      <c r="O67" s="900" t="s">
        <v>1453</v>
      </c>
    </row>
    <row r="68" spans="3:15" x14ac:dyDescent="0.35">
      <c r="C68" s="1617" t="s">
        <v>1516</v>
      </c>
      <c r="D68" s="1618"/>
      <c r="E68" s="1618"/>
      <c r="F68" s="1618"/>
      <c r="G68" s="1618"/>
      <c r="H68" s="1618"/>
      <c r="I68" s="1618"/>
      <c r="J68" s="1618"/>
      <c r="K68" s="1618"/>
      <c r="L68" s="1618"/>
      <c r="M68" s="1618"/>
      <c r="N68" s="1618"/>
      <c r="O68" s="1619"/>
    </row>
    <row r="69" spans="3:15" x14ac:dyDescent="0.35">
      <c r="C69" s="47" t="s">
        <v>1477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1340</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2">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2">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2">
        <f t="shared" si="3"/>
        <v>-248219</v>
      </c>
    </row>
    <row r="73" spans="3:15" x14ac:dyDescent="0.35">
      <c r="C73" s="47" t="s">
        <v>1479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2">
        <f t="shared" si="4"/>
        <v>46384</v>
      </c>
    </row>
    <row r="74" spans="3:15" x14ac:dyDescent="0.35">
      <c r="C74" s="47" t="s">
        <v>1482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3">
        <f t="shared" si="5"/>
        <v>16463</v>
      </c>
      <c r="O74" s="144">
        <f t="shared" si="5"/>
        <v>55153</v>
      </c>
    </row>
    <row r="75" spans="3:15" x14ac:dyDescent="0.35">
      <c r="C75" s="1617" t="s">
        <v>1517</v>
      </c>
      <c r="D75" s="1618"/>
      <c r="E75" s="1618"/>
      <c r="F75" s="1618"/>
      <c r="G75" s="1618"/>
      <c r="H75" s="1618"/>
      <c r="I75" s="1618"/>
      <c r="J75" s="1618"/>
      <c r="K75" s="1618"/>
      <c r="L75" s="1618"/>
      <c r="M75" s="1618"/>
      <c r="N75" s="1618"/>
      <c r="O75" s="1619"/>
    </row>
    <row r="76" spans="3:15" x14ac:dyDescent="0.35">
      <c r="C76" s="47" t="s">
        <v>433</v>
      </c>
      <c r="D76" s="35">
        <v>0</v>
      </c>
      <c r="E76" s="35">
        <v>596</v>
      </c>
      <c r="F76" s="35">
        <v>1406</v>
      </c>
      <c r="G76" s="35">
        <v>1885</v>
      </c>
      <c r="H76" s="35">
        <v>2113</v>
      </c>
      <c r="I76" s="35">
        <v>2058</v>
      </c>
      <c r="J76" s="35">
        <v>1745</v>
      </c>
      <c r="K76" s="35">
        <v>1369</v>
      </c>
      <c r="L76" s="35">
        <v>970</v>
      </c>
      <c r="M76" s="35">
        <v>369</v>
      </c>
      <c r="N76" s="668">
        <v>6000</v>
      </c>
      <c r="O76" s="100">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42">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42">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42">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42">
        <v>24916</v>
      </c>
    </row>
    <row r="81" spans="1:16" x14ac:dyDescent="0.35">
      <c r="C81" s="47"/>
      <c r="N81" s="143"/>
      <c r="O81" s="144"/>
    </row>
    <row r="82" spans="1:16" x14ac:dyDescent="0.35">
      <c r="C82" s="1617" t="s">
        <v>1486</v>
      </c>
      <c r="D82" s="1618"/>
      <c r="E82" s="1618"/>
      <c r="F82" s="1618"/>
      <c r="G82" s="1618"/>
      <c r="H82" s="1618"/>
      <c r="I82" s="1618"/>
      <c r="J82" s="1618"/>
      <c r="K82" s="1618"/>
      <c r="L82" s="1618"/>
      <c r="M82" s="1618"/>
      <c r="N82" s="1618"/>
      <c r="O82" s="1619"/>
    </row>
    <row r="83" spans="1:16" x14ac:dyDescent="0.35">
      <c r="C83" s="47" t="s">
        <v>1488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1463</v>
      </c>
    </row>
    <row r="88" spans="1:16" x14ac:dyDescent="0.35">
      <c r="A88" s="917" t="s">
        <v>1270</v>
      </c>
      <c r="B88" s="918" t="s">
        <v>1271</v>
      </c>
      <c r="C88" s="919">
        <v>2022</v>
      </c>
      <c r="D88" s="919">
        <v>2023</v>
      </c>
      <c r="E88" s="919">
        <v>2024</v>
      </c>
      <c r="F88" s="919">
        <v>2025</v>
      </c>
      <c r="G88" s="919">
        <v>2026</v>
      </c>
      <c r="H88" s="919">
        <v>2027</v>
      </c>
      <c r="I88" s="919">
        <v>2028</v>
      </c>
      <c r="J88" s="919">
        <v>2029</v>
      </c>
      <c r="K88" s="919">
        <v>2030</v>
      </c>
      <c r="L88" s="919">
        <v>2031</v>
      </c>
      <c r="M88" s="920" t="s">
        <v>1272</v>
      </c>
      <c r="N88" s="920" t="s">
        <v>1273</v>
      </c>
      <c r="O88" s="921" t="s">
        <v>1274</v>
      </c>
      <c r="P88" s="922" t="s">
        <v>1275</v>
      </c>
    </row>
    <row r="89" spans="1:16" x14ac:dyDescent="0.35">
      <c r="A89" s="923" t="s">
        <v>1276</v>
      </c>
      <c r="B89" s="924" t="s">
        <v>1277</v>
      </c>
      <c r="C89" s="925">
        <v>0</v>
      </c>
      <c r="D89" s="925">
        <v>3</v>
      </c>
      <c r="E89" s="925">
        <v>3</v>
      </c>
      <c r="F89" s="925">
        <v>3</v>
      </c>
      <c r="G89" s="925">
        <v>3</v>
      </c>
      <c r="H89" s="925">
        <v>1</v>
      </c>
      <c r="I89" s="925">
        <v>0</v>
      </c>
      <c r="J89" s="925">
        <v>0</v>
      </c>
      <c r="K89" s="925">
        <v>0</v>
      </c>
      <c r="L89" s="925">
        <v>0</v>
      </c>
      <c r="M89" s="925">
        <v>12</v>
      </c>
      <c r="N89" s="925">
        <v>13</v>
      </c>
      <c r="O89" s="926" t="s">
        <v>1278</v>
      </c>
      <c r="P89" s="927"/>
    </row>
    <row r="90" spans="1:16" ht="24" customHeight="1" x14ac:dyDescent="0.35">
      <c r="A90" s="923" t="s">
        <v>1279</v>
      </c>
      <c r="B90" s="924" t="s">
        <v>1280</v>
      </c>
      <c r="C90" s="925">
        <v>0</v>
      </c>
      <c r="D90" s="925">
        <v>65</v>
      </c>
      <c r="E90" s="925">
        <v>1360</v>
      </c>
      <c r="F90" s="925">
        <v>2430</v>
      </c>
      <c r="G90" s="925">
        <v>2800</v>
      </c>
      <c r="H90" s="925">
        <v>1740</v>
      </c>
      <c r="I90" s="925">
        <v>570</v>
      </c>
      <c r="J90" s="925">
        <v>35</v>
      </c>
      <c r="K90" s="925">
        <v>0</v>
      </c>
      <c r="L90" s="925">
        <v>0</v>
      </c>
      <c r="M90" s="925">
        <v>6655</v>
      </c>
      <c r="N90" s="925">
        <v>9000</v>
      </c>
      <c r="O90" s="926" t="s">
        <v>1278</v>
      </c>
      <c r="P90" s="928"/>
    </row>
    <row r="91" spans="1:16" x14ac:dyDescent="0.35">
      <c r="A91" s="929" t="s">
        <v>1281</v>
      </c>
      <c r="B91" s="930" t="s">
        <v>1282</v>
      </c>
      <c r="C91" s="931">
        <v>0</v>
      </c>
      <c r="D91" s="931">
        <v>0</v>
      </c>
      <c r="E91" s="931">
        <v>601</v>
      </c>
      <c r="F91" s="932">
        <v>1038</v>
      </c>
      <c r="G91" s="932">
        <v>1251</v>
      </c>
      <c r="H91" s="932">
        <v>1431</v>
      </c>
      <c r="I91" s="932">
        <v>1492</v>
      </c>
      <c r="J91" s="932">
        <v>1530</v>
      </c>
      <c r="K91" s="932">
        <v>1567</v>
      </c>
      <c r="L91" s="932">
        <v>1606</v>
      </c>
      <c r="M91" s="932">
        <v>2890</v>
      </c>
      <c r="N91" s="932">
        <v>10516</v>
      </c>
      <c r="O91" s="933" t="s">
        <v>1283</v>
      </c>
      <c r="P91" s="934"/>
    </row>
    <row r="92" spans="1:16" x14ac:dyDescent="0.35">
      <c r="A92" s="935" t="s">
        <v>1284</v>
      </c>
      <c r="B92" s="936" t="s">
        <v>1285</v>
      </c>
      <c r="C92" s="897">
        <v>0</v>
      </c>
      <c r="D92" s="897">
        <v>30</v>
      </c>
      <c r="E92" s="897">
        <v>120</v>
      </c>
      <c r="F92" s="897">
        <v>165</v>
      </c>
      <c r="G92" s="897">
        <v>370</v>
      </c>
      <c r="H92" s="897">
        <v>470</v>
      </c>
      <c r="I92" s="897">
        <v>420</v>
      </c>
      <c r="J92" s="897">
        <v>285</v>
      </c>
      <c r="K92" s="897">
        <v>220</v>
      </c>
      <c r="L92" s="898">
        <v>65</v>
      </c>
      <c r="M92" s="897">
        <v>685</v>
      </c>
      <c r="N92" s="937">
        <v>2145</v>
      </c>
      <c r="O92" s="938" t="s">
        <v>1286</v>
      </c>
      <c r="P92" s="939" t="s">
        <v>1287</v>
      </c>
    </row>
    <row r="93" spans="1:16" x14ac:dyDescent="0.35">
      <c r="A93" s="923" t="s">
        <v>1288</v>
      </c>
      <c r="B93" s="924" t="s">
        <v>1289</v>
      </c>
      <c r="C93" s="925">
        <v>0</v>
      </c>
      <c r="D93" s="925">
        <v>2</v>
      </c>
      <c r="E93" s="925">
        <v>10</v>
      </c>
      <c r="F93" s="925">
        <v>25</v>
      </c>
      <c r="G93" s="925">
        <v>28</v>
      </c>
      <c r="H93" s="925">
        <v>17</v>
      </c>
      <c r="I93" s="925">
        <v>11</v>
      </c>
      <c r="J93" s="925">
        <v>4</v>
      </c>
      <c r="K93" s="925">
        <v>2</v>
      </c>
      <c r="L93" s="925">
        <v>1</v>
      </c>
      <c r="M93" s="925">
        <v>65</v>
      </c>
      <c r="N93" s="925">
        <v>100</v>
      </c>
      <c r="O93" s="926" t="s">
        <v>1286</v>
      </c>
      <c r="P93" s="927" t="s">
        <v>1290</v>
      </c>
    </row>
    <row r="94" spans="1:16" ht="24" customHeight="1" x14ac:dyDescent="0.35">
      <c r="A94" s="940" t="s">
        <v>1291</v>
      </c>
      <c r="B94" s="941" t="s">
        <v>1292</v>
      </c>
      <c r="C94" s="925">
        <v>0</v>
      </c>
      <c r="D94" s="925">
        <v>36</v>
      </c>
      <c r="E94" s="925">
        <v>30</v>
      </c>
      <c r="F94" s="925">
        <v>14</v>
      </c>
      <c r="G94" s="925">
        <v>7</v>
      </c>
      <c r="H94" s="925">
        <v>0</v>
      </c>
      <c r="I94" s="925">
        <v>0</v>
      </c>
      <c r="J94" s="925">
        <v>0</v>
      </c>
      <c r="K94" s="925">
        <v>0</v>
      </c>
      <c r="L94" s="925">
        <v>0</v>
      </c>
      <c r="M94" s="925">
        <v>87</v>
      </c>
      <c r="N94" s="925">
        <v>87</v>
      </c>
      <c r="O94" s="926" t="s">
        <v>1286</v>
      </c>
      <c r="P94" s="927" t="s">
        <v>1293</v>
      </c>
    </row>
    <row r="95" spans="1:16" x14ac:dyDescent="0.35">
      <c r="A95" s="923" t="s">
        <v>1294</v>
      </c>
      <c r="B95" s="924" t="s">
        <v>1295</v>
      </c>
      <c r="C95" s="925">
        <v>0</v>
      </c>
      <c r="D95" s="942">
        <v>5240</v>
      </c>
      <c r="E95" s="942">
        <v>4175</v>
      </c>
      <c r="F95" s="942">
        <v>5215</v>
      </c>
      <c r="G95" s="942">
        <v>6493</v>
      </c>
      <c r="H95" s="942">
        <v>7982</v>
      </c>
      <c r="I95" s="942">
        <v>9820</v>
      </c>
      <c r="J95" s="942">
        <v>11813</v>
      </c>
      <c r="K95" s="942">
        <v>14269</v>
      </c>
      <c r="L95" s="942">
        <v>14605</v>
      </c>
      <c r="M95" s="942">
        <v>21123</v>
      </c>
      <c r="N95" s="942">
        <v>79612</v>
      </c>
      <c r="O95" s="943" t="s">
        <v>1286</v>
      </c>
      <c r="P95" s="927"/>
    </row>
    <row r="96" spans="1:16" x14ac:dyDescent="0.35">
      <c r="A96" s="923" t="s">
        <v>1296</v>
      </c>
      <c r="B96" s="924" t="s">
        <v>1297</v>
      </c>
      <c r="C96" s="944">
        <v>0</v>
      </c>
      <c r="D96" s="944">
        <v>55</v>
      </c>
      <c r="E96" s="944">
        <v>55</v>
      </c>
      <c r="F96" s="944">
        <v>55</v>
      </c>
      <c r="G96" s="944">
        <v>55</v>
      </c>
      <c r="H96" s="944">
        <v>55</v>
      </c>
      <c r="I96" s="944">
        <v>55</v>
      </c>
      <c r="J96" s="944">
        <v>55</v>
      </c>
      <c r="K96" s="944">
        <v>55</v>
      </c>
      <c r="L96" s="944">
        <v>55</v>
      </c>
      <c r="M96" s="944">
        <v>220</v>
      </c>
      <c r="N96" s="944">
        <v>495</v>
      </c>
      <c r="O96" s="945" t="s">
        <v>1286</v>
      </c>
      <c r="P96" s="928"/>
    </row>
    <row r="97" spans="1:16" x14ac:dyDescent="0.35">
      <c r="A97" s="923" t="s">
        <v>1298</v>
      </c>
      <c r="B97" s="924" t="s">
        <v>1299</v>
      </c>
      <c r="C97" s="925">
        <v>0</v>
      </c>
      <c r="D97" s="925">
        <v>19</v>
      </c>
      <c r="E97" s="925">
        <v>26</v>
      </c>
      <c r="F97" s="925">
        <v>27</v>
      </c>
      <c r="G97" s="925">
        <v>17</v>
      </c>
      <c r="H97" s="925">
        <v>7</v>
      </c>
      <c r="I97" s="925">
        <v>3</v>
      </c>
      <c r="J97" s="925">
        <v>1</v>
      </c>
      <c r="K97" s="925">
        <v>0</v>
      </c>
      <c r="L97" s="925">
        <v>0</v>
      </c>
      <c r="M97" s="925">
        <v>89</v>
      </c>
      <c r="N97" s="925">
        <v>100</v>
      </c>
      <c r="O97" s="943" t="s">
        <v>1286</v>
      </c>
      <c r="P97" s="928"/>
    </row>
    <row r="98" spans="1:16" x14ac:dyDescent="0.35">
      <c r="A98" s="923" t="s">
        <v>1300</v>
      </c>
      <c r="B98" s="924" t="s">
        <v>1301</v>
      </c>
      <c r="C98" s="925">
        <v>0</v>
      </c>
      <c r="D98" s="925">
        <v>15</v>
      </c>
      <c r="E98" s="925">
        <v>15</v>
      </c>
      <c r="F98" s="925">
        <v>15</v>
      </c>
      <c r="G98" s="925">
        <v>10</v>
      </c>
      <c r="H98" s="925">
        <v>10</v>
      </c>
      <c r="I98" s="925">
        <v>10</v>
      </c>
      <c r="J98" s="925">
        <v>10</v>
      </c>
      <c r="K98" s="925">
        <v>10</v>
      </c>
      <c r="L98" s="925">
        <v>5</v>
      </c>
      <c r="M98" s="925">
        <v>55</v>
      </c>
      <c r="N98" s="925">
        <v>100</v>
      </c>
      <c r="O98" s="926" t="s">
        <v>1286</v>
      </c>
      <c r="P98" s="928"/>
    </row>
    <row r="99" spans="1:16" ht="36" customHeight="1" x14ac:dyDescent="0.35">
      <c r="A99" s="923" t="s">
        <v>1302</v>
      </c>
      <c r="B99" s="924" t="s">
        <v>1303</v>
      </c>
      <c r="C99" s="946">
        <v>0</v>
      </c>
      <c r="D99" s="946">
        <v>22</v>
      </c>
      <c r="E99" s="946">
        <v>96</v>
      </c>
      <c r="F99" s="946">
        <v>170</v>
      </c>
      <c r="G99" s="946">
        <v>213</v>
      </c>
      <c r="H99" s="946">
        <v>160</v>
      </c>
      <c r="I99" s="946">
        <v>47</v>
      </c>
      <c r="J99" s="946">
        <v>2</v>
      </c>
      <c r="K99" s="946">
        <v>0</v>
      </c>
      <c r="L99" s="946">
        <v>0</v>
      </c>
      <c r="M99" s="946">
        <v>501</v>
      </c>
      <c r="N99" s="946">
        <v>710</v>
      </c>
      <c r="O99" s="925" t="s">
        <v>1286</v>
      </c>
      <c r="P99" s="928"/>
    </row>
    <row r="100" spans="1:16" ht="36" customHeight="1" x14ac:dyDescent="0.35">
      <c r="A100" s="923" t="s">
        <v>1304</v>
      </c>
      <c r="B100" s="924" t="s">
        <v>1305</v>
      </c>
      <c r="C100" s="947"/>
      <c r="D100" s="947">
        <v>90</v>
      </c>
      <c r="E100" s="947">
        <v>260</v>
      </c>
      <c r="F100" s="947">
        <v>427</v>
      </c>
      <c r="G100" s="947">
        <v>560</v>
      </c>
      <c r="H100" s="947">
        <v>572</v>
      </c>
      <c r="I100" s="947">
        <v>534</v>
      </c>
      <c r="J100" s="947">
        <v>275</v>
      </c>
      <c r="K100" s="947">
        <v>162</v>
      </c>
      <c r="L100" s="947">
        <v>70</v>
      </c>
      <c r="M100" s="947">
        <v>1347</v>
      </c>
      <c r="N100" s="947">
        <v>2960</v>
      </c>
      <c r="O100" s="948" t="s">
        <v>1286</v>
      </c>
      <c r="P100" s="928"/>
    </row>
    <row r="101" spans="1:16" x14ac:dyDescent="0.35">
      <c r="A101" s="923" t="s">
        <v>1306</v>
      </c>
      <c r="B101" s="924" t="s">
        <v>1307</v>
      </c>
      <c r="C101" s="925">
        <v>0</v>
      </c>
      <c r="D101" s="925">
        <v>40</v>
      </c>
      <c r="E101" s="925">
        <v>60</v>
      </c>
      <c r="F101" s="925">
        <v>52</v>
      </c>
      <c r="G101" s="925">
        <v>40</v>
      </c>
      <c r="H101" s="925">
        <v>27</v>
      </c>
      <c r="I101" s="925">
        <v>19</v>
      </c>
      <c r="J101" s="925">
        <v>10</v>
      </c>
      <c r="K101" s="925">
        <v>2</v>
      </c>
      <c r="L101" s="925">
        <v>0</v>
      </c>
      <c r="M101" s="925">
        <v>192</v>
      </c>
      <c r="N101" s="925">
        <v>250</v>
      </c>
      <c r="O101" s="926" t="s">
        <v>1286</v>
      </c>
      <c r="P101" s="928"/>
    </row>
    <row r="102" spans="1:16" x14ac:dyDescent="0.35">
      <c r="A102" s="940" t="s">
        <v>1308</v>
      </c>
      <c r="B102" s="941" t="s">
        <v>1309</v>
      </c>
      <c r="C102" s="925">
        <v>0</v>
      </c>
      <c r="D102" s="925">
        <v>49</v>
      </c>
      <c r="E102" s="925">
        <v>62</v>
      </c>
      <c r="F102" s="925">
        <v>62</v>
      </c>
      <c r="G102" s="925">
        <v>62</v>
      </c>
      <c r="H102" s="925">
        <v>63</v>
      </c>
      <c r="I102" s="925">
        <v>63</v>
      </c>
      <c r="J102" s="925">
        <v>63</v>
      </c>
      <c r="K102" s="925">
        <v>64</v>
      </c>
      <c r="L102" s="925">
        <v>12</v>
      </c>
      <c r="M102" s="925">
        <v>235</v>
      </c>
      <c r="N102" s="925">
        <v>500</v>
      </c>
      <c r="O102" s="926" t="s">
        <v>1286</v>
      </c>
      <c r="P102" s="928"/>
    </row>
    <row r="103" spans="1:16" x14ac:dyDescent="0.35">
      <c r="A103" s="923" t="s">
        <v>1310</v>
      </c>
      <c r="B103" s="924" t="s">
        <v>1311</v>
      </c>
      <c r="C103" s="925">
        <v>0</v>
      </c>
      <c r="D103" s="925">
        <v>0</v>
      </c>
      <c r="E103" s="925">
        <v>0</v>
      </c>
      <c r="F103" s="925">
        <v>0</v>
      </c>
      <c r="G103" s="925">
        <v>-20</v>
      </c>
      <c r="H103" s="925">
        <v>-28</v>
      </c>
      <c r="I103" s="925">
        <v>-28</v>
      </c>
      <c r="J103" s="925">
        <v>-28</v>
      </c>
      <c r="K103" s="925">
        <v>-28</v>
      </c>
      <c r="L103" s="925">
        <v>-28</v>
      </c>
      <c r="M103" s="925">
        <v>-20</v>
      </c>
      <c r="N103" s="925">
        <v>-160</v>
      </c>
      <c r="O103" s="926" t="s">
        <v>1286</v>
      </c>
      <c r="P103" s="928"/>
    </row>
    <row r="104" spans="1:16" ht="24" customHeight="1" x14ac:dyDescent="0.35">
      <c r="A104" s="923" t="s">
        <v>1312</v>
      </c>
      <c r="B104" s="924" t="s">
        <v>1313</v>
      </c>
      <c r="C104" s="925">
        <v>0</v>
      </c>
      <c r="D104" s="925">
        <v>-235</v>
      </c>
      <c r="E104" s="925">
        <v>-44</v>
      </c>
      <c r="F104" s="925">
        <v>-22</v>
      </c>
      <c r="G104" s="925">
        <v>-26</v>
      </c>
      <c r="H104" s="925">
        <v>-23</v>
      </c>
      <c r="I104" s="925">
        <v>-19</v>
      </c>
      <c r="J104" s="925">
        <v>-41</v>
      </c>
      <c r="K104" s="925">
        <v>-35</v>
      </c>
      <c r="L104" s="925">
        <v>-39</v>
      </c>
      <c r="M104" s="925">
        <v>-327</v>
      </c>
      <c r="N104" s="925">
        <v>-484</v>
      </c>
      <c r="O104" s="926" t="s">
        <v>1286</v>
      </c>
      <c r="P104" s="928"/>
    </row>
    <row r="105" spans="1:16" x14ac:dyDescent="0.35">
      <c r="A105" s="923" t="s">
        <v>1314</v>
      </c>
      <c r="B105" s="924" t="s">
        <v>1315</v>
      </c>
      <c r="C105" s="925">
        <v>0</v>
      </c>
      <c r="D105" s="925">
        <v>7</v>
      </c>
      <c r="E105" s="925">
        <v>8</v>
      </c>
      <c r="F105" s="925">
        <v>6</v>
      </c>
      <c r="G105" s="925">
        <v>2</v>
      </c>
      <c r="H105" s="925">
        <v>1</v>
      </c>
      <c r="I105" s="925">
        <v>0</v>
      </c>
      <c r="J105" s="925">
        <v>0</v>
      </c>
      <c r="K105" s="925">
        <v>0</v>
      </c>
      <c r="L105" s="925">
        <v>0</v>
      </c>
      <c r="M105" s="925">
        <v>23</v>
      </c>
      <c r="N105" s="925">
        <v>24</v>
      </c>
      <c r="O105" s="926" t="s">
        <v>1286</v>
      </c>
      <c r="P105" s="928"/>
    </row>
    <row r="106" spans="1:16" ht="36" customHeight="1" x14ac:dyDescent="0.35">
      <c r="A106" s="923" t="s">
        <v>1316</v>
      </c>
      <c r="B106" s="924" t="s">
        <v>1317</v>
      </c>
      <c r="C106" s="925">
        <v>0</v>
      </c>
      <c r="D106" s="925">
        <v>50</v>
      </c>
      <c r="E106" s="925">
        <v>77</v>
      </c>
      <c r="F106" s="925">
        <v>87</v>
      </c>
      <c r="G106" s="925">
        <v>81</v>
      </c>
      <c r="H106" s="925">
        <v>50</v>
      </c>
      <c r="I106" s="925">
        <v>30</v>
      </c>
      <c r="J106" s="925">
        <v>10</v>
      </c>
      <c r="K106" s="925">
        <v>0</v>
      </c>
      <c r="L106" s="925">
        <v>0</v>
      </c>
      <c r="M106" s="925">
        <v>295</v>
      </c>
      <c r="N106" s="925">
        <v>385</v>
      </c>
      <c r="O106" s="926" t="s">
        <v>1286</v>
      </c>
      <c r="P106" s="928"/>
    </row>
    <row r="107" spans="1:16" x14ac:dyDescent="0.35">
      <c r="A107" s="940" t="s">
        <v>1318</v>
      </c>
      <c r="B107" s="941" t="s">
        <v>1319</v>
      </c>
      <c r="C107" s="925">
        <v>0</v>
      </c>
      <c r="D107" s="925">
        <v>3</v>
      </c>
      <c r="E107" s="925">
        <v>2</v>
      </c>
      <c r="F107" s="925">
        <v>0</v>
      </c>
      <c r="G107" s="925">
        <v>0</v>
      </c>
      <c r="H107" s="925">
        <v>0</v>
      </c>
      <c r="I107" s="925">
        <v>0</v>
      </c>
      <c r="J107" s="925">
        <v>0</v>
      </c>
      <c r="K107" s="925">
        <v>0</v>
      </c>
      <c r="L107" s="925">
        <v>0</v>
      </c>
      <c r="M107" s="925">
        <v>5</v>
      </c>
      <c r="N107" s="925">
        <v>5</v>
      </c>
      <c r="O107" s="926" t="s">
        <v>1320</v>
      </c>
      <c r="P107" s="928"/>
    </row>
    <row r="108" spans="1:16" x14ac:dyDescent="0.35">
      <c r="A108" s="940" t="s">
        <v>1321</v>
      </c>
      <c r="B108" s="941" t="s">
        <v>1322</v>
      </c>
      <c r="C108" s="925">
        <v>0</v>
      </c>
      <c r="D108" s="925">
        <v>70</v>
      </c>
      <c r="E108" s="925">
        <v>80</v>
      </c>
      <c r="F108" s="925">
        <v>62</v>
      </c>
      <c r="G108" s="925">
        <v>25</v>
      </c>
      <c r="H108" s="925">
        <v>13</v>
      </c>
      <c r="I108" s="925">
        <v>0</v>
      </c>
      <c r="J108" s="925">
        <v>0</v>
      </c>
      <c r="K108" s="925">
        <v>0</v>
      </c>
      <c r="L108" s="925">
        <v>0</v>
      </c>
      <c r="M108" s="925">
        <v>237</v>
      </c>
      <c r="N108" s="925">
        <v>250</v>
      </c>
      <c r="O108" s="926" t="s">
        <v>1320</v>
      </c>
      <c r="P108" s="928"/>
    </row>
    <row r="109" spans="1:16" ht="24" customHeight="1" x14ac:dyDescent="0.35">
      <c r="A109" s="940" t="s">
        <v>1323</v>
      </c>
      <c r="B109" s="941" t="s">
        <v>1324</v>
      </c>
      <c r="C109" s="944">
        <v>0</v>
      </c>
      <c r="D109" s="944">
        <v>33</v>
      </c>
      <c r="E109" s="944">
        <v>54</v>
      </c>
      <c r="F109" s="944">
        <v>37</v>
      </c>
      <c r="G109" s="944">
        <v>16</v>
      </c>
      <c r="H109" s="944">
        <v>0</v>
      </c>
      <c r="I109" s="944">
        <v>0</v>
      </c>
      <c r="J109" s="944">
        <v>0</v>
      </c>
      <c r="K109" s="944">
        <v>0</v>
      </c>
      <c r="L109" s="944">
        <v>0</v>
      </c>
      <c r="M109" s="944">
        <v>140</v>
      </c>
      <c r="N109" s="944">
        <v>140</v>
      </c>
      <c r="O109" s="926" t="s">
        <v>1286</v>
      </c>
      <c r="P109" s="928"/>
    </row>
    <row r="110" spans="1:16" x14ac:dyDescent="0.35">
      <c r="A110" s="923" t="s">
        <v>1325</v>
      </c>
      <c r="B110" s="924" t="s">
        <v>1326</v>
      </c>
      <c r="C110" s="925">
        <v>0</v>
      </c>
      <c r="D110" s="925">
        <v>40</v>
      </c>
      <c r="E110" s="925">
        <v>40</v>
      </c>
      <c r="F110" s="925">
        <v>30</v>
      </c>
      <c r="G110" s="925">
        <v>10</v>
      </c>
      <c r="H110" s="925">
        <v>5</v>
      </c>
      <c r="I110" s="925">
        <v>0</v>
      </c>
      <c r="J110" s="925">
        <v>0</v>
      </c>
      <c r="K110" s="925">
        <v>0</v>
      </c>
      <c r="L110" s="925">
        <v>0</v>
      </c>
      <c r="M110" s="925">
        <v>120</v>
      </c>
      <c r="N110" s="925">
        <v>125</v>
      </c>
      <c r="O110" s="926" t="s">
        <v>1286</v>
      </c>
      <c r="P110" s="928"/>
    </row>
    <row r="111" spans="1:16" x14ac:dyDescent="0.35">
      <c r="A111" s="940" t="s">
        <v>1327</v>
      </c>
      <c r="B111" s="924" t="s">
        <v>1328</v>
      </c>
      <c r="C111" s="925">
        <v>0</v>
      </c>
      <c r="D111" s="925">
        <v>5</v>
      </c>
      <c r="E111" s="925">
        <v>8</v>
      </c>
      <c r="F111" s="925">
        <v>8</v>
      </c>
      <c r="G111" s="925">
        <v>8</v>
      </c>
      <c r="H111" s="925">
        <v>4</v>
      </c>
      <c r="I111" s="925">
        <v>0</v>
      </c>
      <c r="J111" s="925">
        <v>0</v>
      </c>
      <c r="K111" s="925">
        <v>0</v>
      </c>
      <c r="L111" s="925">
        <v>0</v>
      </c>
      <c r="M111" s="925">
        <v>29</v>
      </c>
      <c r="N111" s="925">
        <v>33</v>
      </c>
      <c r="O111" s="926" t="s">
        <v>1286</v>
      </c>
      <c r="P111" s="928"/>
    </row>
    <row r="112" spans="1:16" x14ac:dyDescent="0.35">
      <c r="A112" s="923" t="s">
        <v>1329</v>
      </c>
      <c r="B112" s="941" t="s">
        <v>1330</v>
      </c>
      <c r="C112" s="925">
        <v>0</v>
      </c>
      <c r="D112" s="925">
        <v>3</v>
      </c>
      <c r="E112" s="925">
        <v>8</v>
      </c>
      <c r="F112" s="925">
        <v>8</v>
      </c>
      <c r="G112" s="925">
        <v>8</v>
      </c>
      <c r="H112" s="925">
        <v>3</v>
      </c>
      <c r="I112" s="925">
        <v>0</v>
      </c>
      <c r="J112" s="925">
        <v>0</v>
      </c>
      <c r="K112" s="925">
        <v>0</v>
      </c>
      <c r="L112" s="925">
        <v>0</v>
      </c>
      <c r="M112" s="925">
        <v>27</v>
      </c>
      <c r="N112" s="925">
        <v>30</v>
      </c>
      <c r="O112" s="926" t="s">
        <v>1286</v>
      </c>
      <c r="P112" s="928"/>
    </row>
    <row r="113" spans="1:16" ht="24" customHeight="1" x14ac:dyDescent="0.35">
      <c r="A113" s="923" t="s">
        <v>1331</v>
      </c>
      <c r="B113" s="924" t="s">
        <v>1332</v>
      </c>
      <c r="C113" s="944">
        <v>0</v>
      </c>
      <c r="D113" s="944">
        <v>165</v>
      </c>
      <c r="E113" s="944">
        <v>165</v>
      </c>
      <c r="F113" s="944">
        <v>230</v>
      </c>
      <c r="G113" s="944">
        <v>340</v>
      </c>
      <c r="H113" s="944">
        <v>490</v>
      </c>
      <c r="I113" s="944">
        <v>540</v>
      </c>
      <c r="J113" s="944">
        <v>640</v>
      </c>
      <c r="K113" s="944">
        <v>475</v>
      </c>
      <c r="L113" s="944">
        <v>330</v>
      </c>
      <c r="M113" s="944">
        <v>900</v>
      </c>
      <c r="N113" s="944">
        <v>3375</v>
      </c>
      <c r="O113" s="943" t="s">
        <v>1286</v>
      </c>
      <c r="P113" s="928"/>
    </row>
    <row r="114" spans="1:16" ht="24" customHeight="1" x14ac:dyDescent="0.35">
      <c r="A114" s="949" t="s">
        <v>1302</v>
      </c>
      <c r="B114" s="950" t="s">
        <v>1333</v>
      </c>
      <c r="C114" s="925">
        <v>0</v>
      </c>
      <c r="D114" s="925">
        <v>195</v>
      </c>
      <c r="E114" s="925">
        <v>448</v>
      </c>
      <c r="F114" s="925">
        <v>641</v>
      </c>
      <c r="G114" s="925">
        <v>716</v>
      </c>
      <c r="H114" s="925">
        <v>681</v>
      </c>
      <c r="I114" s="925">
        <v>528</v>
      </c>
      <c r="J114" s="925">
        <v>421</v>
      </c>
      <c r="K114" s="925">
        <v>323</v>
      </c>
      <c r="L114" s="925">
        <v>23</v>
      </c>
      <c r="M114" s="942">
        <v>2000</v>
      </c>
      <c r="N114" s="942">
        <v>3976</v>
      </c>
      <c r="O114" s="943" t="s">
        <v>1286</v>
      </c>
      <c r="P114" s="951"/>
    </row>
    <row r="115" spans="1:16" ht="30" customHeight="1" x14ac:dyDescent="0.35">
      <c r="A115" s="935" t="s">
        <v>1334</v>
      </c>
      <c r="B115" s="936" t="s">
        <v>1335</v>
      </c>
      <c r="C115" s="952">
        <v>0</v>
      </c>
      <c r="D115" s="952">
        <v>20</v>
      </c>
      <c r="E115" s="952">
        <v>57</v>
      </c>
      <c r="F115" s="952">
        <v>96</v>
      </c>
      <c r="G115" s="952">
        <v>150</v>
      </c>
      <c r="H115" s="952">
        <v>200</v>
      </c>
      <c r="I115" s="952">
        <v>185</v>
      </c>
      <c r="J115" s="952">
        <v>147</v>
      </c>
      <c r="K115" s="952">
        <v>106</v>
      </c>
      <c r="L115" s="952">
        <v>39</v>
      </c>
      <c r="M115" s="952">
        <v>323</v>
      </c>
      <c r="N115" s="953">
        <v>1000</v>
      </c>
      <c r="O115" s="954" t="s">
        <v>1336</v>
      </c>
      <c r="P115" s="955" t="s">
        <v>1337</v>
      </c>
    </row>
    <row r="116" spans="1:16" x14ac:dyDescent="0.35">
      <c r="A116" s="940" t="s">
        <v>1338</v>
      </c>
      <c r="B116" s="924" t="s">
        <v>1339</v>
      </c>
      <c r="C116" s="925">
        <v>0</v>
      </c>
      <c r="D116" s="925">
        <v>15</v>
      </c>
      <c r="E116" s="925">
        <v>53</v>
      </c>
      <c r="F116" s="925">
        <v>57</v>
      </c>
      <c r="G116" s="925">
        <v>48</v>
      </c>
      <c r="H116" s="925">
        <v>43</v>
      </c>
      <c r="I116" s="925">
        <v>17</v>
      </c>
      <c r="J116" s="925">
        <v>2</v>
      </c>
      <c r="K116" s="925">
        <v>0</v>
      </c>
      <c r="L116" s="925">
        <v>0</v>
      </c>
      <c r="M116" s="925">
        <v>173</v>
      </c>
      <c r="N116" s="925">
        <v>235</v>
      </c>
      <c r="O116" s="926" t="s">
        <v>1340</v>
      </c>
      <c r="P116" s="927" t="s">
        <v>1341</v>
      </c>
    </row>
    <row r="117" spans="1:16" x14ac:dyDescent="0.35">
      <c r="A117" s="923" t="s">
        <v>1342</v>
      </c>
      <c r="B117" s="924" t="s">
        <v>1343</v>
      </c>
      <c r="C117" s="925">
        <v>0</v>
      </c>
      <c r="D117" s="925">
        <v>15</v>
      </c>
      <c r="E117" s="925">
        <v>53</v>
      </c>
      <c r="F117" s="925">
        <v>57</v>
      </c>
      <c r="G117" s="925">
        <v>48</v>
      </c>
      <c r="H117" s="925">
        <v>43</v>
      </c>
      <c r="I117" s="925">
        <v>17</v>
      </c>
      <c r="J117" s="925">
        <v>2</v>
      </c>
      <c r="K117" s="925">
        <v>0</v>
      </c>
      <c r="L117" s="925">
        <v>0</v>
      </c>
      <c r="M117" s="925">
        <v>173</v>
      </c>
      <c r="N117" s="925">
        <v>235</v>
      </c>
      <c r="O117" s="926" t="s">
        <v>1340</v>
      </c>
      <c r="P117" s="927" t="s">
        <v>1341</v>
      </c>
    </row>
    <row r="118" spans="1:16" x14ac:dyDescent="0.35">
      <c r="A118" s="940" t="s">
        <v>1344</v>
      </c>
      <c r="B118" s="941" t="s">
        <v>1345</v>
      </c>
      <c r="C118" s="925">
        <v>0</v>
      </c>
      <c r="D118" s="925">
        <v>42</v>
      </c>
      <c r="E118" s="925">
        <v>18</v>
      </c>
      <c r="F118" s="925">
        <v>0</v>
      </c>
      <c r="G118" s="925">
        <v>0</v>
      </c>
      <c r="H118" s="925">
        <v>0</v>
      </c>
      <c r="I118" s="925">
        <v>0</v>
      </c>
      <c r="J118" s="925">
        <v>0</v>
      </c>
      <c r="K118" s="925">
        <v>0</v>
      </c>
      <c r="L118" s="925">
        <v>0</v>
      </c>
      <c r="M118" s="925">
        <v>60</v>
      </c>
      <c r="N118" s="925">
        <v>60</v>
      </c>
      <c r="O118" s="926" t="s">
        <v>1336</v>
      </c>
      <c r="P118" s="928" t="s">
        <v>1346</v>
      </c>
    </row>
    <row r="119" spans="1:16" x14ac:dyDescent="0.35">
      <c r="A119" s="923" t="s">
        <v>1347</v>
      </c>
      <c r="B119" s="924" t="s">
        <v>1348</v>
      </c>
      <c r="C119" s="925">
        <v>0</v>
      </c>
      <c r="D119" s="925">
        <v>2</v>
      </c>
      <c r="E119" s="925">
        <v>13</v>
      </c>
      <c r="F119" s="925">
        <v>26</v>
      </c>
      <c r="G119" s="925">
        <v>30</v>
      </c>
      <c r="H119" s="925">
        <v>24</v>
      </c>
      <c r="I119" s="925">
        <v>0</v>
      </c>
      <c r="J119" s="925">
        <v>0</v>
      </c>
      <c r="K119" s="925">
        <v>0</v>
      </c>
      <c r="L119" s="925">
        <v>0</v>
      </c>
      <c r="M119" s="925">
        <v>71</v>
      </c>
      <c r="N119" s="925">
        <v>95</v>
      </c>
      <c r="O119" s="926" t="s">
        <v>1336</v>
      </c>
      <c r="P119" s="927" t="s">
        <v>1349</v>
      </c>
    </row>
    <row r="120" spans="1:16" ht="36" customHeight="1" x14ac:dyDescent="0.35">
      <c r="A120" s="923" t="s">
        <v>1350</v>
      </c>
      <c r="B120" s="924" t="s">
        <v>1351</v>
      </c>
      <c r="C120" s="925">
        <v>0</v>
      </c>
      <c r="D120" s="925">
        <v>3</v>
      </c>
      <c r="E120" s="925">
        <v>19</v>
      </c>
      <c r="F120" s="925">
        <v>67</v>
      </c>
      <c r="G120" s="925">
        <v>86</v>
      </c>
      <c r="H120" s="925">
        <v>59</v>
      </c>
      <c r="I120" s="925">
        <v>35</v>
      </c>
      <c r="J120" s="925">
        <v>19</v>
      </c>
      <c r="K120" s="925">
        <v>6</v>
      </c>
      <c r="L120" s="925">
        <v>0</v>
      </c>
      <c r="M120" s="925">
        <v>175</v>
      </c>
      <c r="N120" s="925">
        <v>294</v>
      </c>
      <c r="O120" s="926" t="s">
        <v>1336</v>
      </c>
      <c r="P120" s="951" t="s">
        <v>1352</v>
      </c>
    </row>
    <row r="121" spans="1:16" x14ac:dyDescent="0.35">
      <c r="A121" s="923" t="s">
        <v>1353</v>
      </c>
      <c r="B121" s="924" t="s">
        <v>1354</v>
      </c>
      <c r="C121" s="925">
        <v>0</v>
      </c>
      <c r="D121" s="925">
        <v>65</v>
      </c>
      <c r="E121" s="925">
        <v>150</v>
      </c>
      <c r="F121" s="925">
        <v>290</v>
      </c>
      <c r="G121" s="925">
        <v>290</v>
      </c>
      <c r="H121" s="925">
        <v>290</v>
      </c>
      <c r="I121" s="925">
        <v>285</v>
      </c>
      <c r="J121" s="925">
        <v>250</v>
      </c>
      <c r="K121" s="925">
        <v>220</v>
      </c>
      <c r="L121" s="925">
        <v>160</v>
      </c>
      <c r="M121" s="925">
        <v>795</v>
      </c>
      <c r="N121" s="942">
        <v>2000</v>
      </c>
      <c r="O121" s="926" t="s">
        <v>1336</v>
      </c>
      <c r="P121" s="928"/>
    </row>
    <row r="122" spans="1:16" x14ac:dyDescent="0.35">
      <c r="A122" s="923" t="s">
        <v>1355</v>
      </c>
      <c r="B122" s="924" t="s">
        <v>1356</v>
      </c>
      <c r="C122" s="925">
        <v>0</v>
      </c>
      <c r="D122" s="925">
        <v>5</v>
      </c>
      <c r="E122" s="925">
        <v>20</v>
      </c>
      <c r="F122" s="925">
        <v>65</v>
      </c>
      <c r="G122" s="925">
        <v>105</v>
      </c>
      <c r="H122" s="925">
        <v>140</v>
      </c>
      <c r="I122" s="925">
        <v>175</v>
      </c>
      <c r="J122" s="925">
        <v>210</v>
      </c>
      <c r="K122" s="925">
        <v>150</v>
      </c>
      <c r="L122" s="925">
        <v>35</v>
      </c>
      <c r="M122" s="925">
        <v>195</v>
      </c>
      <c r="N122" s="925">
        <v>905</v>
      </c>
      <c r="O122" s="956" t="s">
        <v>1336</v>
      </c>
      <c r="P122" s="957"/>
    </row>
    <row r="123" spans="1:16" x14ac:dyDescent="0.35">
      <c r="A123" s="923" t="s">
        <v>1357</v>
      </c>
      <c r="B123" s="924" t="s">
        <v>1358</v>
      </c>
      <c r="C123" s="925">
        <v>0</v>
      </c>
      <c r="D123" s="925">
        <v>10</v>
      </c>
      <c r="E123" s="925">
        <v>150</v>
      </c>
      <c r="F123" s="925">
        <v>300</v>
      </c>
      <c r="G123" s="925">
        <v>590</v>
      </c>
      <c r="H123" s="925">
        <v>460</v>
      </c>
      <c r="I123" s="925">
        <v>295</v>
      </c>
      <c r="J123" s="925">
        <v>195</v>
      </c>
      <c r="K123" s="925">
        <v>0</v>
      </c>
      <c r="L123" s="925">
        <v>0</v>
      </c>
      <c r="M123" s="942">
        <v>1050</v>
      </c>
      <c r="N123" s="942">
        <v>2000</v>
      </c>
      <c r="O123" s="926" t="s">
        <v>1336</v>
      </c>
      <c r="P123" s="928"/>
    </row>
    <row r="124" spans="1:16" x14ac:dyDescent="0.35">
      <c r="A124" s="923" t="s">
        <v>1359</v>
      </c>
      <c r="B124" s="924" t="s">
        <v>1360</v>
      </c>
      <c r="C124" s="925"/>
      <c r="D124" s="925"/>
      <c r="E124" s="925"/>
      <c r="F124" s="925"/>
      <c r="G124" s="925"/>
      <c r="H124" s="925"/>
      <c r="I124" s="925"/>
      <c r="J124" s="925"/>
      <c r="K124" s="925"/>
      <c r="L124" s="925"/>
      <c r="M124" s="925"/>
      <c r="N124" s="925"/>
      <c r="O124" s="926"/>
      <c r="P124" s="928"/>
    </row>
    <row r="125" spans="1:16" ht="24" customHeight="1" x14ac:dyDescent="0.35">
      <c r="A125" s="940" t="s">
        <v>1361</v>
      </c>
      <c r="B125" s="941" t="s">
        <v>1362</v>
      </c>
      <c r="C125" s="944">
        <v>0</v>
      </c>
      <c r="D125" s="944">
        <v>72</v>
      </c>
      <c r="E125" s="944">
        <v>123</v>
      </c>
      <c r="F125" s="944">
        <v>122</v>
      </c>
      <c r="G125" s="944">
        <v>115</v>
      </c>
      <c r="H125" s="944">
        <v>55</v>
      </c>
      <c r="I125" s="944">
        <v>55</v>
      </c>
      <c r="J125" s="944">
        <v>33</v>
      </c>
      <c r="K125" s="944">
        <v>0</v>
      </c>
      <c r="L125" s="944">
        <v>0</v>
      </c>
      <c r="M125" s="944">
        <v>432</v>
      </c>
      <c r="N125" s="944">
        <v>575</v>
      </c>
      <c r="O125" s="925" t="s">
        <v>1336</v>
      </c>
      <c r="P125" s="928"/>
    </row>
    <row r="126" spans="1:16" x14ac:dyDescent="0.35">
      <c r="A126" s="923" t="s">
        <v>1363</v>
      </c>
      <c r="B126" s="924" t="s">
        <v>1364</v>
      </c>
      <c r="C126" s="925">
        <v>0</v>
      </c>
      <c r="D126" s="925">
        <v>1</v>
      </c>
      <c r="E126" s="925">
        <v>2</v>
      </c>
      <c r="F126" s="925">
        <v>2</v>
      </c>
      <c r="G126" s="925">
        <v>2</v>
      </c>
      <c r="H126" s="925">
        <v>2</v>
      </c>
      <c r="I126" s="925">
        <v>2</v>
      </c>
      <c r="J126" s="925">
        <v>2</v>
      </c>
      <c r="K126" s="925">
        <v>2</v>
      </c>
      <c r="L126" s="925">
        <v>1</v>
      </c>
      <c r="M126" s="925">
        <v>7</v>
      </c>
      <c r="N126" s="925">
        <v>16</v>
      </c>
      <c r="O126" s="926" t="s">
        <v>1336</v>
      </c>
      <c r="P126" s="928"/>
    </row>
    <row r="127" spans="1:16" x14ac:dyDescent="0.35">
      <c r="A127" s="923" t="s">
        <v>1365</v>
      </c>
      <c r="B127" s="924" t="s">
        <v>1366</v>
      </c>
      <c r="C127" s="925">
        <v>0</v>
      </c>
      <c r="D127" s="925">
        <v>49</v>
      </c>
      <c r="E127" s="925">
        <v>190</v>
      </c>
      <c r="F127" s="925">
        <v>379</v>
      </c>
      <c r="G127" s="925">
        <v>531</v>
      </c>
      <c r="H127" s="925">
        <v>619</v>
      </c>
      <c r="I127" s="925">
        <v>580</v>
      </c>
      <c r="J127" s="925">
        <v>387</v>
      </c>
      <c r="K127" s="925">
        <v>196</v>
      </c>
      <c r="L127" s="925">
        <v>69</v>
      </c>
      <c r="M127" s="942">
        <v>1149</v>
      </c>
      <c r="N127" s="942">
        <v>3000</v>
      </c>
      <c r="O127" s="926" t="s">
        <v>1336</v>
      </c>
      <c r="P127" s="928"/>
    </row>
    <row r="128" spans="1:16" x14ac:dyDescent="0.35">
      <c r="A128" s="940" t="s">
        <v>1367</v>
      </c>
      <c r="B128" s="941" t="s">
        <v>1368</v>
      </c>
      <c r="C128" s="925">
        <v>0</v>
      </c>
      <c r="D128" s="925">
        <v>22</v>
      </c>
      <c r="E128" s="925">
        <v>22</v>
      </c>
      <c r="F128" s="925">
        <v>6</v>
      </c>
      <c r="G128" s="925">
        <v>0</v>
      </c>
      <c r="H128" s="925">
        <v>0</v>
      </c>
      <c r="I128" s="925">
        <v>0</v>
      </c>
      <c r="J128" s="925">
        <v>0</v>
      </c>
      <c r="K128" s="925">
        <v>0</v>
      </c>
      <c r="L128" s="925">
        <v>0</v>
      </c>
      <c r="M128" s="925">
        <v>50</v>
      </c>
      <c r="N128" s="925">
        <v>50</v>
      </c>
      <c r="O128" s="926" t="s">
        <v>1336</v>
      </c>
      <c r="P128" s="927"/>
    </row>
    <row r="129" spans="1:16" x14ac:dyDescent="0.35">
      <c r="A129" s="923" t="s">
        <v>1369</v>
      </c>
      <c r="B129" s="924" t="s">
        <v>1370</v>
      </c>
      <c r="C129" s="925">
        <v>0</v>
      </c>
      <c r="D129" s="925">
        <v>30</v>
      </c>
      <c r="E129" s="925">
        <v>30</v>
      </c>
      <c r="F129" s="925">
        <v>40</v>
      </c>
      <c r="G129" s="925">
        <v>15</v>
      </c>
      <c r="H129" s="925">
        <v>5</v>
      </c>
      <c r="I129" s="925">
        <v>5</v>
      </c>
      <c r="J129" s="925">
        <v>0</v>
      </c>
      <c r="K129" s="925">
        <v>0</v>
      </c>
      <c r="L129" s="925">
        <v>0</v>
      </c>
      <c r="M129" s="925">
        <v>115</v>
      </c>
      <c r="N129" s="925">
        <v>125</v>
      </c>
      <c r="O129" s="926" t="s">
        <v>1336</v>
      </c>
      <c r="P129" s="928"/>
    </row>
    <row r="130" spans="1:16" x14ac:dyDescent="0.35">
      <c r="A130" s="923" t="s">
        <v>1371</v>
      </c>
      <c r="B130" s="924" t="s">
        <v>1372</v>
      </c>
      <c r="C130" s="925">
        <v>0</v>
      </c>
      <c r="D130" s="925">
        <v>10</v>
      </c>
      <c r="E130" s="925">
        <v>230</v>
      </c>
      <c r="F130" s="925">
        <v>660</v>
      </c>
      <c r="G130" s="925">
        <v>945</v>
      </c>
      <c r="H130" s="925">
        <v>605</v>
      </c>
      <c r="I130" s="925">
        <v>100</v>
      </c>
      <c r="J130" s="925">
        <v>0</v>
      </c>
      <c r="K130" s="925">
        <v>0</v>
      </c>
      <c r="L130" s="925">
        <v>0</v>
      </c>
      <c r="M130" s="942">
        <v>1845</v>
      </c>
      <c r="N130" s="942">
        <v>2550</v>
      </c>
      <c r="O130" s="926" t="s">
        <v>1336</v>
      </c>
      <c r="P130" s="928"/>
    </row>
    <row r="131" spans="1:16" x14ac:dyDescent="0.35">
      <c r="A131" s="923" t="s">
        <v>1373</v>
      </c>
      <c r="B131" s="924" t="s">
        <v>1374</v>
      </c>
      <c r="C131" s="925">
        <v>0</v>
      </c>
      <c r="D131" s="925">
        <v>10</v>
      </c>
      <c r="E131" s="925">
        <v>45</v>
      </c>
      <c r="F131" s="925">
        <v>70</v>
      </c>
      <c r="G131" s="925">
        <v>100</v>
      </c>
      <c r="H131" s="925">
        <v>100</v>
      </c>
      <c r="I131" s="925">
        <v>100</v>
      </c>
      <c r="J131" s="925">
        <v>100</v>
      </c>
      <c r="K131" s="925">
        <v>100</v>
      </c>
      <c r="L131" s="925">
        <v>100</v>
      </c>
      <c r="M131" s="925">
        <v>225</v>
      </c>
      <c r="N131" s="925">
        <v>725</v>
      </c>
      <c r="O131" s="926" t="s">
        <v>1336</v>
      </c>
      <c r="P131" s="928"/>
    </row>
    <row r="132" spans="1:16" x14ac:dyDescent="0.35">
      <c r="A132" s="940" t="s">
        <v>1375</v>
      </c>
      <c r="B132" s="941" t="s">
        <v>1376</v>
      </c>
      <c r="C132" s="925">
        <v>0</v>
      </c>
      <c r="D132" s="925">
        <v>14</v>
      </c>
      <c r="E132" s="925">
        <v>11</v>
      </c>
      <c r="F132" s="925">
        <v>0</v>
      </c>
      <c r="G132" s="925">
        <v>0</v>
      </c>
      <c r="H132" s="925">
        <v>0</v>
      </c>
      <c r="I132" s="925">
        <v>0</v>
      </c>
      <c r="J132" s="925">
        <v>0</v>
      </c>
      <c r="K132" s="925">
        <v>0</v>
      </c>
      <c r="L132" s="925">
        <v>0</v>
      </c>
      <c r="M132" s="925">
        <v>25</v>
      </c>
      <c r="N132" s="925">
        <v>25</v>
      </c>
      <c r="O132" s="926" t="s">
        <v>1340</v>
      </c>
      <c r="P132" s="927"/>
    </row>
    <row r="133" spans="1:16" x14ac:dyDescent="0.35">
      <c r="A133" s="940" t="s">
        <v>1377</v>
      </c>
      <c r="B133" s="941" t="s">
        <v>1378</v>
      </c>
      <c r="C133" s="925">
        <v>0</v>
      </c>
      <c r="D133" s="925">
        <v>84</v>
      </c>
      <c r="E133" s="925">
        <v>320</v>
      </c>
      <c r="F133" s="925">
        <v>638</v>
      </c>
      <c r="G133" s="925">
        <v>928</v>
      </c>
      <c r="H133" s="925">
        <v>940</v>
      </c>
      <c r="I133" s="925">
        <v>720</v>
      </c>
      <c r="J133" s="925">
        <v>300</v>
      </c>
      <c r="K133" s="925">
        <v>120</v>
      </c>
      <c r="L133" s="925">
        <v>0</v>
      </c>
      <c r="M133" s="942">
        <v>1970</v>
      </c>
      <c r="N133" s="942">
        <v>4050</v>
      </c>
      <c r="O133" s="926" t="s">
        <v>1340</v>
      </c>
      <c r="P133" s="928"/>
    </row>
    <row r="134" spans="1:16" x14ac:dyDescent="0.35">
      <c r="A134" s="923" t="s">
        <v>1379</v>
      </c>
      <c r="B134" s="924" t="s">
        <v>1380</v>
      </c>
      <c r="C134" s="925">
        <v>0</v>
      </c>
      <c r="D134" s="925">
        <v>40</v>
      </c>
      <c r="E134" s="925">
        <v>200</v>
      </c>
      <c r="F134" s="925">
        <v>400</v>
      </c>
      <c r="G134" s="925">
        <v>660</v>
      </c>
      <c r="H134" s="925">
        <v>640</v>
      </c>
      <c r="I134" s="925">
        <v>515</v>
      </c>
      <c r="J134" s="925">
        <v>240</v>
      </c>
      <c r="K134" s="925">
        <v>105</v>
      </c>
      <c r="L134" s="925">
        <v>0</v>
      </c>
      <c r="M134" s="942">
        <v>1300</v>
      </c>
      <c r="N134" s="942">
        <v>2800</v>
      </c>
      <c r="O134" s="926" t="s">
        <v>1340</v>
      </c>
      <c r="P134" s="928"/>
    </row>
    <row r="135" spans="1:16" x14ac:dyDescent="0.35">
      <c r="A135" s="923" t="s">
        <v>1381</v>
      </c>
      <c r="B135" s="924" t="s">
        <v>1382</v>
      </c>
      <c r="C135" s="958">
        <v>0</v>
      </c>
      <c r="D135" s="958">
        <v>138</v>
      </c>
      <c r="E135" s="958">
        <v>566</v>
      </c>
      <c r="F135" s="958">
        <v>994</v>
      </c>
      <c r="G135" s="959">
        <v>1328</v>
      </c>
      <c r="H135" s="959">
        <v>1791</v>
      </c>
      <c r="I135" s="959">
        <v>2350</v>
      </c>
      <c r="J135" s="959">
        <v>2928</v>
      </c>
      <c r="K135" s="959">
        <v>3548</v>
      </c>
      <c r="L135" s="959">
        <v>4162</v>
      </c>
      <c r="M135" s="959">
        <v>3026</v>
      </c>
      <c r="N135" s="959">
        <v>17805</v>
      </c>
      <c r="O135" s="960" t="s">
        <v>54</v>
      </c>
      <c r="P135" s="961"/>
    </row>
    <row r="136" spans="1:16" x14ac:dyDescent="0.35">
      <c r="A136" s="923" t="s">
        <v>1383</v>
      </c>
      <c r="B136" s="924" t="s">
        <v>1384</v>
      </c>
      <c r="C136" s="958">
        <v>0</v>
      </c>
      <c r="D136" s="958">
        <v>0</v>
      </c>
      <c r="E136" s="958">
        <v>235</v>
      </c>
      <c r="F136" s="958">
        <v>317</v>
      </c>
      <c r="G136" s="958">
        <v>304</v>
      </c>
      <c r="H136" s="958">
        <v>314</v>
      </c>
      <c r="I136" s="958">
        <v>324</v>
      </c>
      <c r="J136" s="958">
        <v>335</v>
      </c>
      <c r="K136" s="958">
        <v>346</v>
      </c>
      <c r="L136" s="958">
        <v>359</v>
      </c>
      <c r="M136" s="958">
        <v>856</v>
      </c>
      <c r="N136" s="959">
        <v>2534</v>
      </c>
      <c r="O136" s="960" t="s">
        <v>54</v>
      </c>
      <c r="P136" s="928"/>
    </row>
    <row r="137" spans="1:16" ht="24" customHeight="1" x14ac:dyDescent="0.35">
      <c r="A137" s="923" t="s">
        <v>1385</v>
      </c>
      <c r="B137" s="924" t="s">
        <v>1386</v>
      </c>
      <c r="C137" s="962"/>
      <c r="D137" s="962">
        <v>333</v>
      </c>
      <c r="E137" s="962">
        <v>314</v>
      </c>
      <c r="F137" s="962">
        <v>314</v>
      </c>
      <c r="G137" s="962">
        <v>-4530</v>
      </c>
      <c r="H137" s="962">
        <v>-9118</v>
      </c>
      <c r="I137" s="962">
        <v>-18184</v>
      </c>
      <c r="J137" s="962">
        <v>-20493</v>
      </c>
      <c r="K137" s="962">
        <v>-23289</v>
      </c>
      <c r="L137" s="962">
        <v>-24298</v>
      </c>
      <c r="M137" s="962">
        <v>-569</v>
      </c>
      <c r="N137" s="962">
        <v>-95951</v>
      </c>
      <c r="O137" s="963" t="s">
        <v>55</v>
      </c>
      <c r="P137" s="964"/>
    </row>
    <row r="138" spans="1:16" ht="36" customHeight="1" x14ac:dyDescent="0.35">
      <c r="A138" s="923" t="s">
        <v>1381</v>
      </c>
      <c r="B138" s="924" t="s">
        <v>1387</v>
      </c>
      <c r="C138" s="965">
        <v>0</v>
      </c>
      <c r="D138" s="965">
        <v>-2447</v>
      </c>
      <c r="E138" s="965">
        <v>-3716</v>
      </c>
      <c r="F138" s="965">
        <v>-19171</v>
      </c>
      <c r="G138" s="965">
        <v>-7014</v>
      </c>
      <c r="H138" s="965">
        <v>-7706</v>
      </c>
      <c r="I138" s="965">
        <v>-8497</v>
      </c>
      <c r="J138" s="965">
        <v>-9360</v>
      </c>
      <c r="K138" s="965">
        <v>-10602</v>
      </c>
      <c r="L138" s="965">
        <v>-11603</v>
      </c>
      <c r="M138" s="965">
        <v>-32348</v>
      </c>
      <c r="N138" s="965">
        <v>-80116</v>
      </c>
      <c r="O138" s="963" t="s">
        <v>55</v>
      </c>
      <c r="P138" s="928"/>
    </row>
    <row r="139" spans="1:16" x14ac:dyDescent="0.35">
      <c r="A139" s="923" t="s">
        <v>1388</v>
      </c>
      <c r="B139" s="924" t="s">
        <v>1389</v>
      </c>
      <c r="C139" s="962">
        <v>0</v>
      </c>
      <c r="D139" s="962">
        <v>53</v>
      </c>
      <c r="E139" s="962">
        <v>1991</v>
      </c>
      <c r="F139" s="962">
        <v>3308</v>
      </c>
      <c r="G139" s="962">
        <v>3545</v>
      </c>
      <c r="H139" s="962">
        <v>4537</v>
      </c>
      <c r="I139" s="962">
        <v>4476</v>
      </c>
      <c r="J139" s="962">
        <v>3947</v>
      </c>
      <c r="K139" s="962">
        <v>1781</v>
      </c>
      <c r="L139" s="962">
        <v>1462</v>
      </c>
      <c r="M139" s="962">
        <v>8897</v>
      </c>
      <c r="N139" s="962">
        <v>25100</v>
      </c>
      <c r="O139" s="963" t="s">
        <v>55</v>
      </c>
      <c r="P139" s="928"/>
    </row>
    <row r="140" spans="1:16" x14ac:dyDescent="0.35">
      <c r="A140" s="923" t="s">
        <v>1390</v>
      </c>
      <c r="B140" s="924" t="s">
        <v>1391</v>
      </c>
      <c r="C140" s="966">
        <v>0</v>
      </c>
      <c r="D140" s="966">
        <v>0</v>
      </c>
      <c r="E140" s="966">
        <v>0</v>
      </c>
      <c r="F140" s="966">
        <v>0</v>
      </c>
      <c r="G140" s="966">
        <v>0</v>
      </c>
      <c r="H140" s="967">
        <v>-16290</v>
      </c>
      <c r="I140" s="967">
        <v>-25656</v>
      </c>
      <c r="J140" s="967">
        <v>-23394</v>
      </c>
      <c r="K140" s="967">
        <v>-27561</v>
      </c>
      <c r="L140" s="967">
        <v>-29250</v>
      </c>
      <c r="M140" s="966">
        <v>0</v>
      </c>
      <c r="N140" s="967">
        <v>-122151</v>
      </c>
      <c r="O140" s="963" t="s">
        <v>55</v>
      </c>
      <c r="P140" s="928"/>
    </row>
    <row r="141" spans="1:16" ht="36" customHeight="1" x14ac:dyDescent="0.35">
      <c r="A141" s="923" t="s">
        <v>1392</v>
      </c>
      <c r="B141" s="924" t="s">
        <v>1393</v>
      </c>
      <c r="C141" s="962">
        <v>0</v>
      </c>
      <c r="D141" s="962">
        <v>-70</v>
      </c>
      <c r="E141" s="962">
        <v>300</v>
      </c>
      <c r="F141" s="962">
        <v>862</v>
      </c>
      <c r="G141" s="962">
        <v>577</v>
      </c>
      <c r="H141" s="962">
        <v>464</v>
      </c>
      <c r="I141" s="962">
        <v>549</v>
      </c>
      <c r="J141" s="962">
        <v>501</v>
      </c>
      <c r="K141" s="962">
        <v>591</v>
      </c>
      <c r="L141" s="962">
        <v>630</v>
      </c>
      <c r="M141" s="962">
        <v>1669</v>
      </c>
      <c r="N141" s="962">
        <v>4404</v>
      </c>
      <c r="O141" s="963" t="s">
        <v>55</v>
      </c>
      <c r="P141" s="928"/>
    </row>
    <row r="142" spans="1:16" x14ac:dyDescent="0.35">
      <c r="A142" s="923" t="s">
        <v>1394</v>
      </c>
      <c r="B142" s="924" t="s">
        <v>1395</v>
      </c>
      <c r="C142" s="966">
        <v>0</v>
      </c>
      <c r="D142" s="966">
        <v>0</v>
      </c>
      <c r="E142" s="966">
        <v>195</v>
      </c>
      <c r="F142" s="966">
        <v>230</v>
      </c>
      <c r="G142" s="966">
        <v>248</v>
      </c>
      <c r="H142" s="966">
        <v>266</v>
      </c>
      <c r="I142" s="966">
        <v>311</v>
      </c>
      <c r="J142" s="966">
        <v>281</v>
      </c>
      <c r="K142" s="966">
        <v>327</v>
      </c>
      <c r="L142" s="966">
        <v>347</v>
      </c>
      <c r="M142" s="966">
        <v>673</v>
      </c>
      <c r="N142" s="967">
        <v>2205</v>
      </c>
      <c r="O142" s="963" t="s">
        <v>55</v>
      </c>
      <c r="P142" s="928"/>
    </row>
    <row r="143" spans="1:16" x14ac:dyDescent="0.35">
      <c r="A143" s="940" t="s">
        <v>1396</v>
      </c>
      <c r="B143" s="941" t="s">
        <v>1397</v>
      </c>
      <c r="C143" s="968">
        <v>0</v>
      </c>
      <c r="D143" s="968">
        <v>70</v>
      </c>
      <c r="E143" s="968">
        <v>132</v>
      </c>
      <c r="F143" s="968">
        <v>51</v>
      </c>
      <c r="G143" s="968">
        <v>20</v>
      </c>
      <c r="H143" s="968">
        <v>8</v>
      </c>
      <c r="I143" s="968">
        <v>0</v>
      </c>
      <c r="J143" s="968">
        <v>0</v>
      </c>
      <c r="K143" s="968">
        <v>0</v>
      </c>
      <c r="L143" s="968">
        <v>0</v>
      </c>
      <c r="M143" s="968">
        <v>273</v>
      </c>
      <c r="N143" s="968">
        <v>281</v>
      </c>
      <c r="O143" s="969" t="s">
        <v>1398</v>
      </c>
      <c r="P143" s="928" t="s">
        <v>1399</v>
      </c>
    </row>
    <row r="144" spans="1:16" x14ac:dyDescent="0.35">
      <c r="A144" s="940" t="s">
        <v>1400</v>
      </c>
      <c r="B144" s="941" t="s">
        <v>1401</v>
      </c>
      <c r="C144" s="968">
        <v>0</v>
      </c>
      <c r="D144" s="968">
        <v>465</v>
      </c>
      <c r="E144" s="970">
        <v>2420</v>
      </c>
      <c r="F144" s="970">
        <v>4755</v>
      </c>
      <c r="G144" s="970">
        <v>5980</v>
      </c>
      <c r="H144" s="970">
        <v>4694</v>
      </c>
      <c r="I144" s="970">
        <v>1573</v>
      </c>
      <c r="J144" s="968">
        <v>93</v>
      </c>
      <c r="K144" s="968">
        <v>0</v>
      </c>
      <c r="L144" s="968">
        <v>0</v>
      </c>
      <c r="M144" s="970">
        <v>13620</v>
      </c>
      <c r="N144" s="970">
        <v>19980</v>
      </c>
      <c r="O144" s="969" t="s">
        <v>1398</v>
      </c>
      <c r="P144" s="928" t="s">
        <v>1402</v>
      </c>
    </row>
    <row r="145" spans="1:16" x14ac:dyDescent="0.35">
      <c r="A145" s="923" t="s">
        <v>1403</v>
      </c>
      <c r="B145" s="924" t="s">
        <v>1404</v>
      </c>
      <c r="C145" s="968">
        <v>0</v>
      </c>
      <c r="D145" s="968">
        <v>20</v>
      </c>
      <c r="E145" s="968">
        <v>65</v>
      </c>
      <c r="F145" s="968">
        <v>110</v>
      </c>
      <c r="G145" s="968">
        <v>135</v>
      </c>
      <c r="H145" s="968">
        <v>180</v>
      </c>
      <c r="I145" s="968">
        <v>230</v>
      </c>
      <c r="J145" s="968">
        <v>180</v>
      </c>
      <c r="K145" s="968">
        <v>60</v>
      </c>
      <c r="L145" s="968">
        <v>10</v>
      </c>
      <c r="M145" s="968">
        <v>330</v>
      </c>
      <c r="N145" s="968">
        <v>990</v>
      </c>
      <c r="O145" s="969" t="s">
        <v>1398</v>
      </c>
      <c r="P145" s="951" t="s">
        <v>1405</v>
      </c>
    </row>
    <row r="146" spans="1:16" x14ac:dyDescent="0.35">
      <c r="A146" s="923" t="s">
        <v>1406</v>
      </c>
      <c r="B146" s="924" t="s">
        <v>1407</v>
      </c>
      <c r="C146" s="968">
        <v>0</v>
      </c>
      <c r="D146" s="970">
        <v>20892</v>
      </c>
      <c r="E146" s="970">
        <v>11288</v>
      </c>
      <c r="F146" s="970">
        <v>9651</v>
      </c>
      <c r="G146" s="970">
        <v>-8548</v>
      </c>
      <c r="H146" s="968">
        <v>-463</v>
      </c>
      <c r="I146" s="968">
        <v>0</v>
      </c>
      <c r="J146" s="968">
        <v>0</v>
      </c>
      <c r="K146" s="968">
        <v>0</v>
      </c>
      <c r="L146" s="968">
        <v>0</v>
      </c>
      <c r="M146" s="970">
        <v>33283</v>
      </c>
      <c r="N146" s="970">
        <v>32820</v>
      </c>
      <c r="O146" s="971" t="s">
        <v>1398</v>
      </c>
      <c r="P146" s="928"/>
    </row>
    <row r="147" spans="1:16" x14ac:dyDescent="0.35">
      <c r="A147" s="923" t="s">
        <v>1408</v>
      </c>
      <c r="B147" s="924" t="s">
        <v>1409</v>
      </c>
      <c r="C147" s="968">
        <v>0</v>
      </c>
      <c r="D147" s="968">
        <v>24</v>
      </c>
      <c r="E147" s="968">
        <v>65</v>
      </c>
      <c r="F147" s="968">
        <v>112</v>
      </c>
      <c r="G147" s="968">
        <v>130</v>
      </c>
      <c r="H147" s="968">
        <v>98</v>
      </c>
      <c r="I147" s="968">
        <v>56</v>
      </c>
      <c r="J147" s="968">
        <v>15</v>
      </c>
      <c r="K147" s="968">
        <v>0</v>
      </c>
      <c r="L147" s="968">
        <v>0</v>
      </c>
      <c r="M147" s="968">
        <v>331</v>
      </c>
      <c r="N147" s="968">
        <v>500</v>
      </c>
      <c r="O147" s="971" t="s">
        <v>1398</v>
      </c>
      <c r="P147" s="928"/>
    </row>
    <row r="148" spans="1:16" x14ac:dyDescent="0.35">
      <c r="A148" s="972" t="s">
        <v>1410</v>
      </c>
      <c r="B148" s="973" t="s">
        <v>1411</v>
      </c>
      <c r="C148" s="968">
        <v>0</v>
      </c>
      <c r="D148" s="968">
        <v>50</v>
      </c>
      <c r="E148" s="968">
        <v>500</v>
      </c>
      <c r="F148" s="968">
        <v>920</v>
      </c>
      <c r="G148" s="970">
        <v>1310</v>
      </c>
      <c r="H148" s="970">
        <v>1680</v>
      </c>
      <c r="I148" s="970">
        <v>1780</v>
      </c>
      <c r="J148" s="970">
        <v>1640</v>
      </c>
      <c r="K148" s="970">
        <v>1090</v>
      </c>
      <c r="L148" s="968">
        <v>630</v>
      </c>
      <c r="M148" s="970">
        <v>2780</v>
      </c>
      <c r="N148" s="970">
        <v>9600</v>
      </c>
      <c r="O148" s="971" t="s">
        <v>1398</v>
      </c>
      <c r="P148" s="974"/>
    </row>
    <row r="149" spans="1:16" x14ac:dyDescent="0.35">
      <c r="A149" s="923" t="s">
        <v>1412</v>
      </c>
      <c r="B149" s="924" t="s">
        <v>1413</v>
      </c>
      <c r="C149" s="968">
        <v>0</v>
      </c>
      <c r="D149" s="968">
        <v>30</v>
      </c>
      <c r="E149" s="968">
        <v>90</v>
      </c>
      <c r="F149" s="968">
        <v>90</v>
      </c>
      <c r="G149" s="968">
        <v>85</v>
      </c>
      <c r="H149" s="968">
        <v>70</v>
      </c>
      <c r="I149" s="968">
        <v>65</v>
      </c>
      <c r="J149" s="968">
        <v>65</v>
      </c>
      <c r="K149" s="968">
        <v>35</v>
      </c>
      <c r="L149" s="968">
        <v>15</v>
      </c>
      <c r="M149" s="968">
        <v>295</v>
      </c>
      <c r="N149" s="968">
        <v>545</v>
      </c>
      <c r="O149" s="971" t="s">
        <v>1398</v>
      </c>
      <c r="P149" s="928"/>
    </row>
    <row r="150" spans="1:16" x14ac:dyDescent="0.35">
      <c r="A150" s="923" t="s">
        <v>1414</v>
      </c>
      <c r="B150" s="924" t="s">
        <v>1415</v>
      </c>
      <c r="C150" s="968">
        <v>0</v>
      </c>
      <c r="D150" s="968">
        <v>185</v>
      </c>
      <c r="E150" s="968">
        <v>394</v>
      </c>
      <c r="F150" s="968">
        <v>639</v>
      </c>
      <c r="G150" s="968">
        <v>722</v>
      </c>
      <c r="H150" s="968">
        <v>595</v>
      </c>
      <c r="I150" s="968">
        <v>346</v>
      </c>
      <c r="J150" s="968">
        <v>101</v>
      </c>
      <c r="K150" s="968">
        <v>18</v>
      </c>
      <c r="L150" s="968">
        <v>0</v>
      </c>
      <c r="M150" s="970">
        <v>1940</v>
      </c>
      <c r="N150" s="970">
        <v>3000</v>
      </c>
      <c r="O150" s="969" t="s">
        <v>1398</v>
      </c>
      <c r="P150" s="928"/>
    </row>
    <row r="151" spans="1:16" x14ac:dyDescent="0.35">
      <c r="A151" s="923" t="s">
        <v>1416</v>
      </c>
      <c r="B151" s="924" t="s">
        <v>1417</v>
      </c>
      <c r="C151" s="968">
        <v>0</v>
      </c>
      <c r="D151" s="968">
        <v>8</v>
      </c>
      <c r="E151" s="968">
        <v>26</v>
      </c>
      <c r="F151" s="968">
        <v>41</v>
      </c>
      <c r="G151" s="968">
        <v>38</v>
      </c>
      <c r="H151" s="968">
        <v>22</v>
      </c>
      <c r="I151" s="968">
        <v>11</v>
      </c>
      <c r="J151" s="968">
        <v>4</v>
      </c>
      <c r="K151" s="968">
        <v>0</v>
      </c>
      <c r="L151" s="968">
        <v>0</v>
      </c>
      <c r="M151" s="968">
        <v>113</v>
      </c>
      <c r="N151" s="968">
        <v>150</v>
      </c>
      <c r="O151" s="969" t="s">
        <v>1398</v>
      </c>
      <c r="P151" s="928"/>
    </row>
    <row r="152" spans="1:16" ht="24" customHeight="1" x14ac:dyDescent="0.35">
      <c r="A152" s="940" t="s">
        <v>1418</v>
      </c>
      <c r="B152" s="941" t="s">
        <v>1419</v>
      </c>
      <c r="C152" s="975">
        <v>0</v>
      </c>
      <c r="D152" s="976">
        <v>77</v>
      </c>
      <c r="E152" s="976">
        <v>232</v>
      </c>
      <c r="F152" s="976">
        <v>341</v>
      </c>
      <c r="G152" s="976">
        <v>496</v>
      </c>
      <c r="H152" s="976">
        <v>310</v>
      </c>
      <c r="I152" s="976">
        <v>47</v>
      </c>
      <c r="J152" s="976">
        <v>31</v>
      </c>
      <c r="K152" s="976">
        <v>15</v>
      </c>
      <c r="L152" s="976">
        <v>1</v>
      </c>
      <c r="M152" s="977">
        <v>1146</v>
      </c>
      <c r="N152" s="977">
        <v>1550</v>
      </c>
      <c r="O152" s="978" t="s">
        <v>1420</v>
      </c>
      <c r="P152" s="928" t="s">
        <v>1421</v>
      </c>
    </row>
    <row r="153" spans="1:16" ht="30" customHeight="1" x14ac:dyDescent="0.35">
      <c r="A153" s="923" t="s">
        <v>1422</v>
      </c>
      <c r="B153" s="924" t="s">
        <v>1423</v>
      </c>
      <c r="C153" s="979">
        <v>0</v>
      </c>
      <c r="D153" s="979">
        <v>264</v>
      </c>
      <c r="E153" s="979">
        <v>715</v>
      </c>
      <c r="F153" s="979">
        <v>1393</v>
      </c>
      <c r="G153" s="979">
        <v>2492</v>
      </c>
      <c r="H153" s="979">
        <v>3364</v>
      </c>
      <c r="I153" s="979">
        <v>3209</v>
      </c>
      <c r="J153" s="979">
        <v>2750</v>
      </c>
      <c r="K153" s="979">
        <v>1783</v>
      </c>
      <c r="L153" s="979">
        <v>744</v>
      </c>
      <c r="M153" s="980">
        <v>4864</v>
      </c>
      <c r="N153" s="980">
        <v>16714</v>
      </c>
      <c r="O153" s="981" t="s">
        <v>52</v>
      </c>
      <c r="P153" s="982" t="s">
        <v>1424</v>
      </c>
    </row>
    <row r="154" spans="1:16" x14ac:dyDescent="0.35">
      <c r="A154" s="923" t="s">
        <v>1425</v>
      </c>
      <c r="B154" s="924" t="s">
        <v>1426</v>
      </c>
      <c r="C154" s="983">
        <v>0</v>
      </c>
      <c r="D154" s="983">
        <v>0</v>
      </c>
      <c r="E154" s="983">
        <v>50</v>
      </c>
      <c r="F154" s="983">
        <v>270</v>
      </c>
      <c r="G154" s="983">
        <v>680</v>
      </c>
      <c r="H154" s="983">
        <v>850</v>
      </c>
      <c r="I154" s="983">
        <v>730</v>
      </c>
      <c r="J154" s="983">
        <v>485</v>
      </c>
      <c r="K154" s="983">
        <v>285</v>
      </c>
      <c r="L154" s="983">
        <v>145</v>
      </c>
      <c r="M154" s="884">
        <v>1000</v>
      </c>
      <c r="N154" s="884">
        <v>3495</v>
      </c>
      <c r="O154" s="885" t="s">
        <v>52</v>
      </c>
      <c r="P154" s="886" t="s">
        <v>1427</v>
      </c>
    </row>
    <row r="155" spans="1:16" x14ac:dyDescent="0.35">
      <c r="A155" s="923" t="s">
        <v>1428</v>
      </c>
      <c r="B155" s="924" t="s">
        <v>1429</v>
      </c>
      <c r="C155" s="983">
        <v>0</v>
      </c>
      <c r="D155" s="983">
        <v>5</v>
      </c>
      <c r="E155" s="983">
        <v>5</v>
      </c>
      <c r="F155" s="983">
        <v>10</v>
      </c>
      <c r="G155" s="983">
        <v>25</v>
      </c>
      <c r="H155" s="983">
        <v>70</v>
      </c>
      <c r="I155" s="983">
        <v>175</v>
      </c>
      <c r="J155" s="983">
        <v>385</v>
      </c>
      <c r="K155" s="983">
        <v>460</v>
      </c>
      <c r="L155" s="983">
        <v>325</v>
      </c>
      <c r="M155" s="983">
        <v>45</v>
      </c>
      <c r="N155" s="884">
        <v>1460</v>
      </c>
      <c r="O155" s="887" t="s">
        <v>52</v>
      </c>
      <c r="P155" s="886" t="s">
        <v>1430</v>
      </c>
    </row>
    <row r="156" spans="1:16" x14ac:dyDescent="0.35">
      <c r="A156" s="940" t="s">
        <v>1431</v>
      </c>
      <c r="B156" s="941" t="s">
        <v>1432</v>
      </c>
      <c r="C156" s="983">
        <v>0</v>
      </c>
      <c r="D156" s="983">
        <v>6</v>
      </c>
      <c r="E156" s="983">
        <v>8</v>
      </c>
      <c r="F156" s="983">
        <v>1</v>
      </c>
      <c r="G156" s="983">
        <v>0</v>
      </c>
      <c r="H156" s="983">
        <v>0</v>
      </c>
      <c r="I156" s="983">
        <v>0</v>
      </c>
      <c r="J156" s="983">
        <v>0</v>
      </c>
      <c r="K156" s="983">
        <v>0</v>
      </c>
      <c r="L156" s="983">
        <v>0</v>
      </c>
      <c r="M156" s="983">
        <v>15</v>
      </c>
      <c r="N156" s="983">
        <v>15</v>
      </c>
      <c r="O156" s="887" t="s">
        <v>52</v>
      </c>
      <c r="P156" s="886" t="s">
        <v>1433</v>
      </c>
    </row>
    <row r="157" spans="1:16" ht="24" customHeight="1" x14ac:dyDescent="0.35">
      <c r="A157" s="923" t="s">
        <v>1434</v>
      </c>
      <c r="B157" s="924" t="s">
        <v>1435</v>
      </c>
      <c r="C157" s="983">
        <v>0</v>
      </c>
      <c r="D157" s="983">
        <v>5</v>
      </c>
      <c r="E157" s="983">
        <v>41</v>
      </c>
      <c r="F157" s="983">
        <v>116</v>
      </c>
      <c r="G157" s="983">
        <v>284</v>
      </c>
      <c r="H157" s="983">
        <v>417</v>
      </c>
      <c r="I157" s="983">
        <v>459</v>
      </c>
      <c r="J157" s="983">
        <v>355</v>
      </c>
      <c r="K157" s="983">
        <v>210</v>
      </c>
      <c r="L157" s="983">
        <v>90</v>
      </c>
      <c r="M157" s="983">
        <v>446</v>
      </c>
      <c r="N157" s="884">
        <v>1977</v>
      </c>
      <c r="O157" s="888" t="s">
        <v>52</v>
      </c>
      <c r="P157" s="889" t="s">
        <v>1436</v>
      </c>
    </row>
    <row r="158" spans="1:16" ht="24" customHeight="1" x14ac:dyDescent="0.35">
      <c r="A158" s="923" t="s">
        <v>1437</v>
      </c>
      <c r="B158" s="924" t="s">
        <v>1438</v>
      </c>
      <c r="C158" s="983">
        <v>0</v>
      </c>
      <c r="D158" s="983">
        <v>20</v>
      </c>
      <c r="E158" s="983">
        <v>100</v>
      </c>
      <c r="F158" s="983">
        <v>460</v>
      </c>
      <c r="G158" s="884">
        <v>1070</v>
      </c>
      <c r="H158" s="884">
        <v>1430</v>
      </c>
      <c r="I158" s="884">
        <v>1110</v>
      </c>
      <c r="J158" s="983">
        <v>660</v>
      </c>
      <c r="K158" s="983">
        <v>300</v>
      </c>
      <c r="L158" s="983">
        <v>100</v>
      </c>
      <c r="M158" s="884">
        <v>1650</v>
      </c>
      <c r="N158" s="884">
        <v>5250</v>
      </c>
      <c r="O158" s="887" t="s">
        <v>52</v>
      </c>
      <c r="P158" s="886" t="s">
        <v>1439</v>
      </c>
    </row>
    <row r="159" spans="1:16" x14ac:dyDescent="0.35">
      <c r="A159" s="923" t="s">
        <v>1440</v>
      </c>
      <c r="B159" s="924" t="s">
        <v>1441</v>
      </c>
      <c r="C159" s="902">
        <v>0</v>
      </c>
      <c r="D159" s="902">
        <v>56</v>
      </c>
      <c r="E159" s="902">
        <v>141</v>
      </c>
      <c r="F159" s="902">
        <v>230</v>
      </c>
      <c r="G159" s="902">
        <v>343</v>
      </c>
      <c r="H159" s="902">
        <v>470</v>
      </c>
      <c r="I159" s="902">
        <v>620</v>
      </c>
      <c r="J159" s="902">
        <v>802</v>
      </c>
      <c r="K159" s="902">
        <v>1024</v>
      </c>
      <c r="L159" s="902">
        <v>1330</v>
      </c>
      <c r="M159" s="902">
        <v>769</v>
      </c>
      <c r="N159" s="902">
        <v>5015</v>
      </c>
      <c r="O159" s="885" t="s">
        <v>52</v>
      </c>
      <c r="P159" s="928"/>
    </row>
    <row r="160" spans="1:16" x14ac:dyDescent="0.35">
      <c r="A160" s="923" t="s">
        <v>1442</v>
      </c>
      <c r="B160" s="924" t="s">
        <v>1443</v>
      </c>
      <c r="C160" s="983"/>
      <c r="D160" s="983"/>
      <c r="E160" s="983"/>
      <c r="F160" s="983"/>
      <c r="G160" s="983"/>
      <c r="H160" s="983"/>
      <c r="I160" s="983"/>
      <c r="J160" s="983"/>
      <c r="K160" s="983"/>
      <c r="L160" s="983"/>
      <c r="M160" s="983"/>
      <c r="N160" s="884"/>
      <c r="O160" s="888"/>
      <c r="P160" s="928"/>
    </row>
    <row r="161" spans="1:17" x14ac:dyDescent="0.35">
      <c r="A161" s="923" t="s">
        <v>1444</v>
      </c>
      <c r="B161" s="924" t="s">
        <v>1445</v>
      </c>
      <c r="C161" s="983"/>
      <c r="D161" s="983"/>
      <c r="E161" s="983"/>
      <c r="F161" s="983"/>
      <c r="G161" s="983"/>
      <c r="H161" s="983"/>
      <c r="I161" s="983"/>
      <c r="J161" s="983"/>
      <c r="K161" s="983"/>
      <c r="L161" s="983"/>
      <c r="M161" s="983"/>
      <c r="N161" s="884"/>
      <c r="O161" s="903"/>
      <c r="P161" s="904"/>
    </row>
    <row r="162" spans="1:17" x14ac:dyDescent="0.35">
      <c r="A162" s="923" t="s">
        <v>1446</v>
      </c>
      <c r="B162" s="924" t="s">
        <v>1447</v>
      </c>
      <c r="C162" s="983">
        <v>0</v>
      </c>
      <c r="D162" s="983">
        <v>20</v>
      </c>
      <c r="E162" s="983">
        <v>70</v>
      </c>
      <c r="F162" s="983">
        <v>130</v>
      </c>
      <c r="G162" s="983">
        <v>155</v>
      </c>
      <c r="H162" s="983">
        <v>155</v>
      </c>
      <c r="I162" s="983">
        <v>155</v>
      </c>
      <c r="J162" s="983">
        <v>135</v>
      </c>
      <c r="K162" s="983">
        <v>80</v>
      </c>
      <c r="L162" s="983">
        <v>20</v>
      </c>
      <c r="M162" s="983">
        <v>375</v>
      </c>
      <c r="N162" s="983">
        <v>920</v>
      </c>
      <c r="O162" s="887" t="s">
        <v>52</v>
      </c>
      <c r="P162" s="928"/>
    </row>
    <row r="163" spans="1:17" x14ac:dyDescent="0.35">
      <c r="A163" s="940" t="s">
        <v>1448</v>
      </c>
      <c r="B163" s="941" t="s">
        <v>1449</v>
      </c>
      <c r="C163" s="983">
        <v>0</v>
      </c>
      <c r="D163" s="983">
        <v>15</v>
      </c>
      <c r="E163" s="983">
        <v>12</v>
      </c>
      <c r="F163" s="983">
        <v>8</v>
      </c>
      <c r="G163" s="983">
        <v>4</v>
      </c>
      <c r="H163" s="983">
        <v>0</v>
      </c>
      <c r="I163" s="983">
        <v>0</v>
      </c>
      <c r="J163" s="983">
        <v>0</v>
      </c>
      <c r="K163" s="983">
        <v>0</v>
      </c>
      <c r="L163" s="983">
        <v>0</v>
      </c>
      <c r="M163" s="983">
        <v>39</v>
      </c>
      <c r="N163" s="983">
        <v>39</v>
      </c>
      <c r="O163" s="887" t="s">
        <v>52</v>
      </c>
      <c r="P163" s="928"/>
    </row>
    <row r="164" spans="1:17" x14ac:dyDescent="0.35">
      <c r="A164" s="923" t="s">
        <v>1450</v>
      </c>
      <c r="B164" s="924" t="s">
        <v>1451</v>
      </c>
      <c r="C164" s="905">
        <v>0</v>
      </c>
      <c r="D164" s="905">
        <v>25</v>
      </c>
      <c r="E164" s="905">
        <v>100</v>
      </c>
      <c r="F164" s="905">
        <v>125</v>
      </c>
      <c r="G164" s="905">
        <v>100</v>
      </c>
      <c r="H164" s="905">
        <v>75</v>
      </c>
      <c r="I164" s="905">
        <v>30</v>
      </c>
      <c r="J164" s="905">
        <v>20</v>
      </c>
      <c r="K164" s="905">
        <v>0</v>
      </c>
      <c r="L164" s="905">
        <v>0</v>
      </c>
      <c r="M164" s="905">
        <v>350</v>
      </c>
      <c r="N164" s="905">
        <v>475</v>
      </c>
      <c r="O164" s="906" t="s">
        <v>52</v>
      </c>
      <c r="P164" s="928"/>
    </row>
    <row r="165" spans="1:17" x14ac:dyDescent="0.35">
      <c r="A165" s="55"/>
      <c r="B165" s="16"/>
      <c r="C165" s="37"/>
      <c r="D165" s="37"/>
      <c r="E165" s="37"/>
      <c r="F165" s="37"/>
      <c r="G165" s="37"/>
      <c r="H165" s="37"/>
      <c r="I165" s="37"/>
      <c r="J165" s="37"/>
      <c r="K165" s="37"/>
      <c r="L165" s="37"/>
      <c r="M165" s="37"/>
      <c r="N165" s="37"/>
      <c r="O165" s="55"/>
      <c r="P165" s="16"/>
    </row>
    <row r="167" spans="1:17" x14ac:dyDescent="0.35">
      <c r="A167" s="56" t="s">
        <v>1459</v>
      </c>
    </row>
    <row r="168" spans="1:17" x14ac:dyDescent="0.35">
      <c r="A168" s="907"/>
      <c r="B168" s="907"/>
      <c r="C168" s="890"/>
      <c r="D168" s="890">
        <v>2022</v>
      </c>
      <c r="E168" s="890">
        <v>2023</v>
      </c>
      <c r="F168" s="890">
        <v>2024</v>
      </c>
      <c r="G168" s="890">
        <v>2025</v>
      </c>
      <c r="H168" s="890">
        <v>2026</v>
      </c>
      <c r="I168" s="890">
        <v>2027</v>
      </c>
      <c r="J168" s="890">
        <v>2028</v>
      </c>
      <c r="K168" s="890">
        <v>2029</v>
      </c>
      <c r="L168" s="890">
        <v>2030</v>
      </c>
      <c r="M168" s="891">
        <v>2031</v>
      </c>
      <c r="N168" s="892" t="s">
        <v>1452</v>
      </c>
      <c r="O168" s="892" t="s">
        <v>1453</v>
      </c>
      <c r="Q168" s="62"/>
    </row>
    <row r="169" spans="1:17" x14ac:dyDescent="0.35">
      <c r="A169" s="908" t="s">
        <v>1454</v>
      </c>
      <c r="B169" s="908"/>
      <c r="C169" s="914"/>
      <c r="D169" s="914">
        <f t="shared" ref="D169:O169" si="9">D78/1000</f>
        <v>0</v>
      </c>
      <c r="E169" s="914">
        <f t="shared" si="9"/>
        <v>6.8000000000000005E-2</v>
      </c>
      <c r="F169" s="914">
        <f t="shared" si="9"/>
        <v>1.363</v>
      </c>
      <c r="G169" s="914">
        <f t="shared" si="9"/>
        <v>2.4329999999999998</v>
      </c>
      <c r="H169" s="914">
        <f t="shared" si="9"/>
        <v>2.8029999999999999</v>
      </c>
      <c r="I169" s="914">
        <f t="shared" si="9"/>
        <v>1.7410000000000001</v>
      </c>
      <c r="J169" s="914">
        <f t="shared" si="9"/>
        <v>0.56999999999999995</v>
      </c>
      <c r="K169" s="914">
        <f t="shared" si="9"/>
        <v>3.5000000000000003E-2</v>
      </c>
      <c r="L169" s="914">
        <f t="shared" si="9"/>
        <v>0</v>
      </c>
      <c r="M169" s="914">
        <f t="shared" si="9"/>
        <v>0</v>
      </c>
      <c r="N169" s="914">
        <f t="shared" si="9"/>
        <v>6.6669999999999998</v>
      </c>
      <c r="O169" s="914">
        <f t="shared" si="9"/>
        <v>9.0129999999999999</v>
      </c>
      <c r="Q169" s="62"/>
    </row>
    <row r="170" spans="1:17" x14ac:dyDescent="0.35">
      <c r="A170" s="908" t="s">
        <v>1455</v>
      </c>
      <c r="B170" s="908"/>
      <c r="C170" s="914"/>
      <c r="D170" s="914">
        <f t="shared" ref="D170:O170" si="10">(D77+D70)/1000</f>
        <v>0</v>
      </c>
      <c r="E170" s="914">
        <f t="shared" si="10"/>
        <v>0.81899999999999995</v>
      </c>
      <c r="F170" s="914">
        <f t="shared" si="10"/>
        <v>2.4780000000000002</v>
      </c>
      <c r="G170" s="914">
        <f t="shared" si="10"/>
        <v>4.0720000000000001</v>
      </c>
      <c r="H170" s="914">
        <f t="shared" si="10"/>
        <v>5.4480000000000004</v>
      </c>
      <c r="I170" s="914">
        <f t="shared" si="10"/>
        <v>4.8289999999999997</v>
      </c>
      <c r="J170" s="914">
        <f t="shared" si="10"/>
        <v>3.2949999999999999</v>
      </c>
      <c r="K170" s="914">
        <f t="shared" si="10"/>
        <v>1.98</v>
      </c>
      <c r="L170" s="914">
        <f t="shared" si="10"/>
        <v>1.01</v>
      </c>
      <c r="M170" s="914">
        <f t="shared" si="10"/>
        <v>0.40400000000000003</v>
      </c>
      <c r="N170" s="914">
        <f t="shared" si="10"/>
        <v>12.817</v>
      </c>
      <c r="O170" s="914">
        <f t="shared" si="10"/>
        <v>24.335000000000001</v>
      </c>
      <c r="Q170" s="62"/>
    </row>
    <row r="171" spans="1:17" x14ac:dyDescent="0.35">
      <c r="A171" s="908" t="s">
        <v>1456</v>
      </c>
      <c r="B171" s="908"/>
      <c r="C171" s="914"/>
      <c r="D171" s="914">
        <f t="shared" ref="D171:O171" si="11">(D69+D76)/1000</f>
        <v>0</v>
      </c>
      <c r="E171" s="914">
        <f t="shared" si="11"/>
        <v>4.5430000000000001</v>
      </c>
      <c r="F171" s="914">
        <f t="shared" si="11"/>
        <v>5.6079999999999997</v>
      </c>
      <c r="G171" s="914">
        <f t="shared" si="11"/>
        <v>8.16</v>
      </c>
      <c r="H171" s="914">
        <f t="shared" si="11"/>
        <v>10.069000000000001</v>
      </c>
      <c r="I171" s="914">
        <f t="shared" si="11"/>
        <v>12.026999999999999</v>
      </c>
      <c r="J171" s="914">
        <f t="shared" si="11"/>
        <v>13.826000000000001</v>
      </c>
      <c r="K171" s="914">
        <f t="shared" si="11"/>
        <v>15.862</v>
      </c>
      <c r="L171" s="914">
        <f t="shared" si="11"/>
        <v>17.890999999999998</v>
      </c>
      <c r="M171" s="914">
        <f t="shared" si="11"/>
        <v>17.481000000000002</v>
      </c>
      <c r="N171" s="914">
        <f t="shared" si="11"/>
        <v>28.38</v>
      </c>
      <c r="O171" s="914">
        <f t="shared" si="11"/>
        <v>105.467</v>
      </c>
      <c r="Q171" s="62"/>
    </row>
    <row r="172" spans="1:17" x14ac:dyDescent="0.35">
      <c r="A172" s="909" t="s">
        <v>52</v>
      </c>
      <c r="B172" s="909"/>
      <c r="C172" s="914"/>
      <c r="D172" s="914">
        <f t="shared" ref="D172:O172" si="12">(D79+D74)/1000</f>
        <v>0</v>
      </c>
      <c r="E172" s="914">
        <f t="shared" si="12"/>
        <v>1.2969999999999999</v>
      </c>
      <c r="F172" s="914">
        <f t="shared" si="12"/>
        <v>3.8479999999999999</v>
      </c>
      <c r="G172" s="914">
        <f t="shared" si="12"/>
        <v>6.4420000000000002</v>
      </c>
      <c r="H172" s="914">
        <f t="shared" si="12"/>
        <v>9.532</v>
      </c>
      <c r="I172" s="914">
        <f t="shared" si="12"/>
        <v>11.882</v>
      </c>
      <c r="J172" s="914">
        <f t="shared" si="12"/>
        <v>11.727</v>
      </c>
      <c r="K172" s="914">
        <f t="shared" si="12"/>
        <v>10.569000000000001</v>
      </c>
      <c r="L172" s="914">
        <f t="shared" si="12"/>
        <v>8.8879999999999999</v>
      </c>
      <c r="M172" s="914">
        <f t="shared" si="12"/>
        <v>7.1890000000000001</v>
      </c>
      <c r="N172" s="914">
        <f t="shared" si="12"/>
        <v>21.117000000000001</v>
      </c>
      <c r="O172" s="914">
        <f t="shared" si="12"/>
        <v>71.372</v>
      </c>
      <c r="Q172" s="62"/>
    </row>
    <row r="173" spans="1:17" x14ac:dyDescent="0.35">
      <c r="A173" s="910" t="s">
        <v>583</v>
      </c>
      <c r="B173" s="910"/>
      <c r="C173" s="914"/>
      <c r="D173" s="914"/>
      <c r="E173" s="914"/>
      <c r="F173" s="914"/>
      <c r="G173" s="914"/>
      <c r="H173" s="914"/>
      <c r="I173" s="914"/>
      <c r="J173" s="914"/>
      <c r="K173" s="914"/>
      <c r="L173" s="914"/>
      <c r="M173" s="914"/>
      <c r="N173" s="914"/>
      <c r="O173" s="914"/>
      <c r="Q173" s="62"/>
    </row>
    <row r="174" spans="1:17" x14ac:dyDescent="0.35">
      <c r="A174" s="911" t="s">
        <v>54</v>
      </c>
      <c r="B174" s="911"/>
      <c r="C174" s="914"/>
      <c r="D174" s="914">
        <f t="shared" ref="D174:O174" si="13">D71/1000</f>
        <v>0</v>
      </c>
      <c r="E174" s="914">
        <f t="shared" si="13"/>
        <v>0.11</v>
      </c>
      <c r="F174" s="914">
        <f t="shared" si="13"/>
        <v>0.73899999999999999</v>
      </c>
      <c r="G174" s="914">
        <f t="shared" si="13"/>
        <v>1.1950000000000001</v>
      </c>
      <c r="H174" s="914">
        <f t="shared" si="13"/>
        <v>1.4970000000000001</v>
      </c>
      <c r="I174" s="914">
        <f t="shared" si="13"/>
        <v>1.91</v>
      </c>
      <c r="J174" s="914">
        <f t="shared" si="13"/>
        <v>2.4049999999999998</v>
      </c>
      <c r="K174" s="914">
        <f t="shared" si="13"/>
        <v>2.9220000000000002</v>
      </c>
      <c r="L174" s="914">
        <f t="shared" si="13"/>
        <v>3.4630000000000001</v>
      </c>
      <c r="M174" s="914">
        <f t="shared" si="13"/>
        <v>4.0069999999999997</v>
      </c>
      <c r="N174" s="914">
        <f t="shared" si="13"/>
        <v>3.5409999999999999</v>
      </c>
      <c r="O174" s="914">
        <f t="shared" si="13"/>
        <v>18.248000000000001</v>
      </c>
      <c r="Q174" s="62"/>
    </row>
    <row r="175" spans="1:17" x14ac:dyDescent="0.35">
      <c r="A175" s="911" t="s">
        <v>1457</v>
      </c>
      <c r="B175" s="911"/>
      <c r="C175" s="914"/>
      <c r="D175" s="914">
        <f t="shared" ref="D175:O175" si="14">D72/1000</f>
        <v>0</v>
      </c>
      <c r="E175" s="914">
        <f t="shared" si="14"/>
        <v>-0.41499999999999998</v>
      </c>
      <c r="F175" s="914">
        <f t="shared" si="14"/>
        <v>2.7679999999999998</v>
      </c>
      <c r="G175" s="914">
        <f t="shared" si="14"/>
        <v>-12.473000000000001</v>
      </c>
      <c r="H175" s="914">
        <f t="shared" si="14"/>
        <v>-5.3739999999999997</v>
      </c>
      <c r="I175" s="914">
        <f t="shared" si="14"/>
        <v>-25.515000000000001</v>
      </c>
      <c r="J175" s="914">
        <f t="shared" si="14"/>
        <v>-43.975000000000001</v>
      </c>
      <c r="K175" s="914">
        <f t="shared" si="14"/>
        <v>-46.426000000000002</v>
      </c>
      <c r="L175" s="914">
        <f t="shared" si="14"/>
        <v>-56.228000000000002</v>
      </c>
      <c r="M175" s="914">
        <f t="shared" si="14"/>
        <v>-60.581000000000003</v>
      </c>
      <c r="N175" s="914">
        <f t="shared" si="14"/>
        <v>-15.494</v>
      </c>
      <c r="O175" s="914">
        <f t="shared" si="14"/>
        <v>-248.21899999999999</v>
      </c>
      <c r="Q175" s="62"/>
    </row>
    <row r="176" spans="1:17" x14ac:dyDescent="0.35">
      <c r="A176" s="912" t="s">
        <v>57</v>
      </c>
      <c r="B176" s="912"/>
      <c r="C176" s="914"/>
      <c r="D176" s="914">
        <f t="shared" ref="D176:O176" si="15">(D80+D73)/1000</f>
        <v>-0.622</v>
      </c>
      <c r="E176" s="914">
        <f t="shared" si="15"/>
        <v>21.89</v>
      </c>
      <c r="F176" s="914">
        <f t="shared" si="15"/>
        <v>15.439</v>
      </c>
      <c r="G176" s="914">
        <f t="shared" si="15"/>
        <v>16.966999999999999</v>
      </c>
      <c r="H176" s="914">
        <f t="shared" si="15"/>
        <v>0.72799999999999998</v>
      </c>
      <c r="I176" s="914">
        <f t="shared" si="15"/>
        <v>7.657</v>
      </c>
      <c r="J176" s="914">
        <f t="shared" si="15"/>
        <v>4.5590000000000002</v>
      </c>
      <c r="K176" s="914">
        <f t="shared" si="15"/>
        <v>2.4649999999999999</v>
      </c>
      <c r="L176" s="914">
        <f t="shared" si="15"/>
        <v>1.444</v>
      </c>
      <c r="M176" s="914">
        <f t="shared" si="15"/>
        <v>0.77300000000000002</v>
      </c>
      <c r="N176" s="914">
        <f t="shared" si="15"/>
        <v>54.402000000000001</v>
      </c>
      <c r="O176" s="914">
        <f t="shared" si="15"/>
        <v>71.3</v>
      </c>
      <c r="Q176" s="62"/>
    </row>
    <row r="177" spans="1:17" x14ac:dyDescent="0.35">
      <c r="A177" s="913" t="s">
        <v>1518</v>
      </c>
      <c r="B177" s="913"/>
      <c r="C177" s="914"/>
      <c r="D177" s="901">
        <f t="shared" ref="D177:O177" si="16">D84/1000</f>
        <v>0</v>
      </c>
      <c r="E177" s="901">
        <f t="shared" si="16"/>
        <v>-3.1549999999999998</v>
      </c>
      <c r="F177" s="901">
        <f t="shared" si="16"/>
        <v>-2.2309999999999999</v>
      </c>
      <c r="G177" s="901">
        <f t="shared" si="16"/>
        <v>-1.6080000000000001</v>
      </c>
      <c r="H177" s="901">
        <f t="shared" si="16"/>
        <v>-0.77</v>
      </c>
      <c r="I177" s="901">
        <f t="shared" si="16"/>
        <v>-0.98299999999999998</v>
      </c>
      <c r="J177" s="901">
        <f t="shared" si="16"/>
        <v>-1.2110000000000001</v>
      </c>
      <c r="K177" s="901">
        <f t="shared" si="16"/>
        <v>-1.4710000000000001</v>
      </c>
      <c r="L177" s="901">
        <f t="shared" si="16"/>
        <v>-1.81</v>
      </c>
      <c r="M177" s="901">
        <f t="shared" si="16"/>
        <v>-2.3250000000000002</v>
      </c>
      <c r="N177" s="901">
        <f t="shared" si="16"/>
        <v>-7.7670000000000003</v>
      </c>
      <c r="O177" s="901">
        <f t="shared" si="16"/>
        <v>-15.566000000000001</v>
      </c>
      <c r="Q177" s="62"/>
    </row>
    <row r="178" spans="1:17" x14ac:dyDescent="0.35">
      <c r="A178" s="913" t="s">
        <v>239</v>
      </c>
      <c r="B178" s="913"/>
      <c r="C178" s="914"/>
      <c r="D178" s="901">
        <f t="shared" ref="D178:O178" si="17">D85/1000</f>
        <v>0</v>
      </c>
      <c r="E178" s="901">
        <f t="shared" si="17"/>
        <v>0.45200000000000001</v>
      </c>
      <c r="F178" s="901">
        <f t="shared" si="17"/>
        <v>-8.67</v>
      </c>
      <c r="G178" s="901">
        <f t="shared" si="17"/>
        <v>-4.5270000000000001</v>
      </c>
      <c r="H178" s="901">
        <f t="shared" si="17"/>
        <v>-0.70499999999999996</v>
      </c>
      <c r="I178" s="901">
        <f t="shared" si="17"/>
        <v>15.813000000000001</v>
      </c>
      <c r="J178" s="901">
        <f t="shared" si="17"/>
        <v>20.372</v>
      </c>
      <c r="K178" s="901">
        <f t="shared" si="17"/>
        <v>24.847000000000001</v>
      </c>
      <c r="L178" s="901">
        <f t="shared" si="17"/>
        <v>28.113</v>
      </c>
      <c r="M178" s="901">
        <f t="shared" si="17"/>
        <v>24.777000000000001</v>
      </c>
      <c r="N178" s="901">
        <f t="shared" si="17"/>
        <v>-13.451000000000001</v>
      </c>
      <c r="O178" s="901">
        <f t="shared" si="17"/>
        <v>100.468</v>
      </c>
      <c r="Q178" s="62"/>
    </row>
    <row r="179" spans="1:17" x14ac:dyDescent="0.35">
      <c r="A179" s="913" t="s">
        <v>106</v>
      </c>
      <c r="B179" s="913"/>
      <c r="C179" s="914"/>
      <c r="D179" s="901">
        <f t="shared" ref="D179:O179" si="18">D83/1000</f>
        <v>0</v>
      </c>
      <c r="E179" s="901">
        <f t="shared" si="18"/>
        <v>35.317</v>
      </c>
      <c r="F179" s="901">
        <f t="shared" si="18"/>
        <v>36.033000000000001</v>
      </c>
      <c r="G179" s="901">
        <f t="shared" si="18"/>
        <v>21.076000000000001</v>
      </c>
      <c r="H179" s="901">
        <f t="shared" si="18"/>
        <v>13.346</v>
      </c>
      <c r="I179" s="901">
        <f t="shared" si="18"/>
        <v>27.507999999999999</v>
      </c>
      <c r="J179" s="901">
        <f t="shared" si="18"/>
        <v>35.85</v>
      </c>
      <c r="K179" s="901">
        <f t="shared" si="18"/>
        <v>18.64</v>
      </c>
      <c r="L179" s="901">
        <f t="shared" si="18"/>
        <v>8.3940000000000001</v>
      </c>
      <c r="M179" s="901">
        <f t="shared" si="18"/>
        <v>7.9820000000000002</v>
      </c>
      <c r="N179" s="901">
        <f t="shared" si="18"/>
        <v>105.76900000000001</v>
      </c>
      <c r="O179" s="901">
        <f t="shared" si="18"/>
        <v>204.14400000000001</v>
      </c>
      <c r="Q179" s="62"/>
    </row>
    <row r="182" spans="1:17" x14ac:dyDescent="0.35">
      <c r="A182" s="56" t="s">
        <v>1458</v>
      </c>
    </row>
    <row r="183" spans="1:17" x14ac:dyDescent="0.35">
      <c r="A183" s="907"/>
      <c r="B183" s="907"/>
      <c r="C183" s="907"/>
      <c r="D183" s="907" t="s">
        <v>183</v>
      </c>
      <c r="E183" s="907" t="s">
        <v>184</v>
      </c>
      <c r="F183" s="907" t="s">
        <v>185</v>
      </c>
      <c r="G183" s="907" t="s">
        <v>186</v>
      </c>
      <c r="H183" s="907" t="s">
        <v>187</v>
      </c>
      <c r="I183" s="907" t="s">
        <v>188</v>
      </c>
      <c r="J183" s="907" t="s">
        <v>189</v>
      </c>
      <c r="K183" s="907" t="s">
        <v>190</v>
      </c>
      <c r="L183" s="907" t="s">
        <v>191</v>
      </c>
      <c r="M183" s="907" t="s">
        <v>175</v>
      </c>
      <c r="N183" s="907" t="s">
        <v>176</v>
      </c>
      <c r="O183" s="907" t="s">
        <v>177</v>
      </c>
      <c r="Q183" s="62"/>
    </row>
    <row r="184" spans="1:17" x14ac:dyDescent="0.35">
      <c r="A184" s="908" t="s">
        <v>1454</v>
      </c>
      <c r="B184" s="908"/>
      <c r="C184" s="915"/>
      <c r="D184" s="915">
        <f t="shared" ref="D184:D191" si="19">D169</f>
        <v>0</v>
      </c>
      <c r="E184" s="915">
        <f>D184</f>
        <v>0</v>
      </c>
      <c r="F184" s="915">
        <f t="shared" ref="F184:F191" si="20">E169</f>
        <v>6.8000000000000005E-2</v>
      </c>
      <c r="G184" s="915">
        <f>F184</f>
        <v>6.8000000000000005E-2</v>
      </c>
      <c r="H184" s="915">
        <f>G184</f>
        <v>6.8000000000000005E-2</v>
      </c>
      <c r="I184" s="915">
        <f>H184</f>
        <v>6.8000000000000005E-2</v>
      </c>
      <c r="J184" s="915">
        <f t="shared" ref="J184:J191" si="21">F169</f>
        <v>1.363</v>
      </c>
      <c r="K184" s="915">
        <f t="shared" ref="K184:M191" si="22">J184</f>
        <v>1.363</v>
      </c>
      <c r="L184" s="915">
        <f t="shared" si="22"/>
        <v>1.363</v>
      </c>
      <c r="M184" s="915">
        <f>L184</f>
        <v>1.363</v>
      </c>
      <c r="N184" s="915">
        <f t="shared" ref="N184:N191" si="23">G169</f>
        <v>2.4329999999999998</v>
      </c>
      <c r="O184" s="915">
        <f>N184</f>
        <v>2.4329999999999998</v>
      </c>
      <c r="Q184" s="62"/>
    </row>
    <row r="185" spans="1:17" x14ac:dyDescent="0.35">
      <c r="A185" s="908" t="s">
        <v>1455</v>
      </c>
      <c r="B185" s="908"/>
      <c r="C185" s="915"/>
      <c r="D185" s="915">
        <f t="shared" si="19"/>
        <v>0</v>
      </c>
      <c r="E185" s="915">
        <f t="shared" ref="E185:E191" si="24">D185</f>
        <v>0</v>
      </c>
      <c r="F185" s="915">
        <f t="shared" si="20"/>
        <v>0.81899999999999995</v>
      </c>
      <c r="G185" s="915">
        <f t="shared" ref="G185:I191" si="25">F185</f>
        <v>0.81899999999999995</v>
      </c>
      <c r="H185" s="915">
        <f t="shared" si="25"/>
        <v>0.81899999999999995</v>
      </c>
      <c r="I185" s="915">
        <f t="shared" si="25"/>
        <v>0.81899999999999995</v>
      </c>
      <c r="J185" s="915">
        <f t="shared" si="21"/>
        <v>2.4780000000000002</v>
      </c>
      <c r="K185" s="915">
        <f t="shared" si="22"/>
        <v>2.4780000000000002</v>
      </c>
      <c r="L185" s="915">
        <f t="shared" si="22"/>
        <v>2.4780000000000002</v>
      </c>
      <c r="M185" s="915">
        <f t="shared" si="22"/>
        <v>2.4780000000000002</v>
      </c>
      <c r="N185" s="915">
        <f t="shared" si="23"/>
        <v>4.0720000000000001</v>
      </c>
      <c r="O185" s="915">
        <f t="shared" ref="O185:O191" si="26">N185</f>
        <v>4.0720000000000001</v>
      </c>
      <c r="Q185" s="62"/>
    </row>
    <row r="186" spans="1:17" x14ac:dyDescent="0.35">
      <c r="A186" s="908" t="s">
        <v>1456</v>
      </c>
      <c r="B186" s="908"/>
      <c r="C186" s="915"/>
      <c r="D186" s="915">
        <f t="shared" si="19"/>
        <v>0</v>
      </c>
      <c r="E186" s="915">
        <f t="shared" si="24"/>
        <v>0</v>
      </c>
      <c r="F186" s="915">
        <f t="shared" si="20"/>
        <v>4.5430000000000001</v>
      </c>
      <c r="G186" s="915">
        <f t="shared" si="25"/>
        <v>4.5430000000000001</v>
      </c>
      <c r="H186" s="915">
        <f t="shared" si="25"/>
        <v>4.5430000000000001</v>
      </c>
      <c r="I186" s="915">
        <f t="shared" si="25"/>
        <v>4.5430000000000001</v>
      </c>
      <c r="J186" s="915">
        <f t="shared" si="21"/>
        <v>5.6079999999999997</v>
      </c>
      <c r="K186" s="915">
        <f t="shared" si="22"/>
        <v>5.6079999999999997</v>
      </c>
      <c r="L186" s="915">
        <f t="shared" si="22"/>
        <v>5.6079999999999997</v>
      </c>
      <c r="M186" s="915">
        <f t="shared" si="22"/>
        <v>5.6079999999999997</v>
      </c>
      <c r="N186" s="915">
        <f t="shared" si="23"/>
        <v>8.16</v>
      </c>
      <c r="O186" s="915">
        <f t="shared" si="26"/>
        <v>8.16</v>
      </c>
      <c r="Q186" s="62"/>
    </row>
    <row r="187" spans="1:17" x14ac:dyDescent="0.35">
      <c r="A187" s="909" t="s">
        <v>52</v>
      </c>
      <c r="B187" s="909"/>
      <c r="C187" s="915"/>
      <c r="D187" s="915">
        <f t="shared" si="19"/>
        <v>0</v>
      </c>
      <c r="E187" s="915">
        <f t="shared" si="24"/>
        <v>0</v>
      </c>
      <c r="F187" s="915">
        <f t="shared" si="20"/>
        <v>1.2969999999999999</v>
      </c>
      <c r="G187" s="915">
        <f t="shared" si="25"/>
        <v>1.2969999999999999</v>
      </c>
      <c r="H187" s="915">
        <f t="shared" si="25"/>
        <v>1.2969999999999999</v>
      </c>
      <c r="I187" s="915">
        <f t="shared" si="25"/>
        <v>1.2969999999999999</v>
      </c>
      <c r="J187" s="915">
        <f t="shared" si="21"/>
        <v>3.8479999999999999</v>
      </c>
      <c r="K187" s="915">
        <f t="shared" si="22"/>
        <v>3.8479999999999999</v>
      </c>
      <c r="L187" s="915">
        <f t="shared" si="22"/>
        <v>3.8479999999999999</v>
      </c>
      <c r="M187" s="915">
        <f t="shared" si="22"/>
        <v>3.8479999999999999</v>
      </c>
      <c r="N187" s="915">
        <f t="shared" si="23"/>
        <v>6.4420000000000002</v>
      </c>
      <c r="O187" s="915">
        <f t="shared" si="26"/>
        <v>6.4420000000000002</v>
      </c>
      <c r="Q187" s="62"/>
    </row>
    <row r="188" spans="1:17" x14ac:dyDescent="0.35">
      <c r="A188" s="910" t="s">
        <v>583</v>
      </c>
      <c r="B188" s="910"/>
      <c r="C188" s="915"/>
      <c r="D188" s="915">
        <f t="shared" si="19"/>
        <v>0</v>
      </c>
      <c r="E188" s="915">
        <f t="shared" si="24"/>
        <v>0</v>
      </c>
      <c r="F188" s="915">
        <f t="shared" si="20"/>
        <v>0</v>
      </c>
      <c r="G188" s="915">
        <f t="shared" si="25"/>
        <v>0</v>
      </c>
      <c r="H188" s="915">
        <f t="shared" si="25"/>
        <v>0</v>
      </c>
      <c r="I188" s="915">
        <f t="shared" si="25"/>
        <v>0</v>
      </c>
      <c r="J188" s="915">
        <f t="shared" si="21"/>
        <v>0</v>
      </c>
      <c r="K188" s="915">
        <f t="shared" si="22"/>
        <v>0</v>
      </c>
      <c r="L188" s="915">
        <f t="shared" si="22"/>
        <v>0</v>
      </c>
      <c r="M188" s="915">
        <f t="shared" si="22"/>
        <v>0</v>
      </c>
      <c r="N188" s="915">
        <f t="shared" si="23"/>
        <v>0</v>
      </c>
      <c r="O188" s="915">
        <f t="shared" si="26"/>
        <v>0</v>
      </c>
      <c r="Q188" s="62"/>
    </row>
    <row r="189" spans="1:17" x14ac:dyDescent="0.35">
      <c r="A189" s="911" t="s">
        <v>54</v>
      </c>
      <c r="B189" s="911"/>
      <c r="C189" s="915"/>
      <c r="D189" s="915">
        <f t="shared" si="19"/>
        <v>0</v>
      </c>
      <c r="E189" s="915">
        <f t="shared" si="24"/>
        <v>0</v>
      </c>
      <c r="F189" s="915">
        <f t="shared" si="20"/>
        <v>0.11</v>
      </c>
      <c r="G189" s="915">
        <f t="shared" si="25"/>
        <v>0.11</v>
      </c>
      <c r="H189" s="915">
        <f t="shared" si="25"/>
        <v>0.11</v>
      </c>
      <c r="I189" s="915">
        <f t="shared" si="25"/>
        <v>0.11</v>
      </c>
      <c r="J189" s="915">
        <f t="shared" si="21"/>
        <v>0.73899999999999999</v>
      </c>
      <c r="K189" s="915">
        <f t="shared" si="22"/>
        <v>0.73899999999999999</v>
      </c>
      <c r="L189" s="915">
        <f t="shared" si="22"/>
        <v>0.73899999999999999</v>
      </c>
      <c r="M189" s="915">
        <f t="shared" si="22"/>
        <v>0.73899999999999999</v>
      </c>
      <c r="N189" s="915">
        <f t="shared" si="23"/>
        <v>1.1950000000000001</v>
      </c>
      <c r="O189" s="915">
        <f t="shared" si="26"/>
        <v>1.1950000000000001</v>
      </c>
      <c r="Q189" s="62"/>
    </row>
    <row r="190" spans="1:17" x14ac:dyDescent="0.35">
      <c r="A190" s="911" t="s">
        <v>1457</v>
      </c>
      <c r="B190" s="911"/>
      <c r="C190" s="915"/>
      <c r="D190" s="915">
        <f t="shared" si="19"/>
        <v>0</v>
      </c>
      <c r="E190" s="915">
        <f t="shared" si="24"/>
        <v>0</v>
      </c>
      <c r="F190" s="915">
        <f t="shared" si="20"/>
        <v>-0.41499999999999998</v>
      </c>
      <c r="G190" s="915">
        <f t="shared" si="25"/>
        <v>-0.41499999999999998</v>
      </c>
      <c r="H190" s="915">
        <f t="shared" si="25"/>
        <v>-0.41499999999999998</v>
      </c>
      <c r="I190" s="915">
        <f t="shared" si="25"/>
        <v>-0.41499999999999998</v>
      </c>
      <c r="J190" s="915">
        <f t="shared" si="21"/>
        <v>2.7679999999999998</v>
      </c>
      <c r="K190" s="915">
        <f t="shared" si="22"/>
        <v>2.7679999999999998</v>
      </c>
      <c r="L190" s="915">
        <f t="shared" si="22"/>
        <v>2.7679999999999998</v>
      </c>
      <c r="M190" s="915">
        <f t="shared" si="22"/>
        <v>2.7679999999999998</v>
      </c>
      <c r="N190" s="915">
        <f t="shared" si="23"/>
        <v>-12.473000000000001</v>
      </c>
      <c r="O190" s="915">
        <f t="shared" si="26"/>
        <v>-12.473000000000001</v>
      </c>
      <c r="Q190" s="62"/>
    </row>
    <row r="191" spans="1:17" x14ac:dyDescent="0.35">
      <c r="A191" s="912" t="s">
        <v>57</v>
      </c>
      <c r="B191" s="912"/>
      <c r="C191" s="915"/>
      <c r="D191" s="915">
        <f t="shared" si="19"/>
        <v>-0.622</v>
      </c>
      <c r="E191" s="915">
        <f t="shared" si="24"/>
        <v>-0.622</v>
      </c>
      <c r="F191" s="915">
        <f t="shared" si="20"/>
        <v>21.89</v>
      </c>
      <c r="G191" s="915">
        <f t="shared" si="25"/>
        <v>21.89</v>
      </c>
      <c r="H191" s="915">
        <f t="shared" si="25"/>
        <v>21.89</v>
      </c>
      <c r="I191" s="915">
        <f t="shared" si="25"/>
        <v>21.89</v>
      </c>
      <c r="J191" s="915">
        <f t="shared" si="21"/>
        <v>15.439</v>
      </c>
      <c r="K191" s="915">
        <f t="shared" si="22"/>
        <v>15.439</v>
      </c>
      <c r="L191" s="915">
        <f t="shared" si="22"/>
        <v>15.439</v>
      </c>
      <c r="M191" s="915">
        <f t="shared" si="22"/>
        <v>15.439</v>
      </c>
      <c r="N191" s="915">
        <f t="shared" si="23"/>
        <v>16.966999999999999</v>
      </c>
      <c r="O191" s="915">
        <f t="shared" si="26"/>
        <v>16.966999999999999</v>
      </c>
      <c r="Q191" s="62"/>
    </row>
    <row r="192" spans="1:17" x14ac:dyDescent="0.35">
      <c r="A192" s="913" t="s">
        <v>536</v>
      </c>
      <c r="B192" s="913"/>
      <c r="C192" s="915"/>
      <c r="D192" s="901">
        <f t="shared" ref="D192:D194" si="27">D177</f>
        <v>0</v>
      </c>
      <c r="E192" s="901">
        <f t="shared" ref="E192:E194" si="28">D192</f>
        <v>0</v>
      </c>
      <c r="F192" s="901">
        <f t="shared" ref="F192:F194" si="29">E177</f>
        <v>-3.1549999999999998</v>
      </c>
      <c r="G192" s="901">
        <f t="shared" ref="G192:G194" si="30">F192</f>
        <v>-3.1549999999999998</v>
      </c>
      <c r="H192" s="901">
        <f t="shared" ref="H192:H194" si="31">G192</f>
        <v>-3.1549999999999998</v>
      </c>
      <c r="I192" s="901">
        <f t="shared" ref="I192:I194" si="32">H192</f>
        <v>-3.1549999999999998</v>
      </c>
      <c r="J192" s="901">
        <f t="shared" ref="J192:J194" si="33">F177</f>
        <v>-2.2309999999999999</v>
      </c>
      <c r="K192" s="901">
        <f t="shared" ref="K192:K194" si="34">J192</f>
        <v>-2.2309999999999999</v>
      </c>
      <c r="L192" s="901">
        <f t="shared" ref="L192:L194" si="35">K192</f>
        <v>-2.2309999999999999</v>
      </c>
      <c r="M192" s="901">
        <f t="shared" ref="M192:M194" si="36">L192</f>
        <v>-2.2309999999999999</v>
      </c>
      <c r="N192" s="901">
        <f t="shared" ref="N192:N194" si="37">G177</f>
        <v>-1.6080000000000001</v>
      </c>
      <c r="O192" s="901">
        <f t="shared" ref="O192:O194" si="38">N192</f>
        <v>-1.6080000000000001</v>
      </c>
      <c r="Q192" s="62"/>
    </row>
    <row r="193" spans="1:17" x14ac:dyDescent="0.35">
      <c r="A193" s="913" t="s">
        <v>534</v>
      </c>
      <c r="B193" s="913"/>
      <c r="C193" s="915"/>
      <c r="D193" s="901">
        <f t="shared" si="27"/>
        <v>0</v>
      </c>
      <c r="E193" s="901">
        <f t="shared" si="28"/>
        <v>0</v>
      </c>
      <c r="F193" s="901">
        <f t="shared" si="29"/>
        <v>0.45200000000000001</v>
      </c>
      <c r="G193" s="901">
        <f t="shared" si="30"/>
        <v>0.45200000000000001</v>
      </c>
      <c r="H193" s="901">
        <f t="shared" si="31"/>
        <v>0.45200000000000001</v>
      </c>
      <c r="I193" s="901">
        <f t="shared" si="32"/>
        <v>0.45200000000000001</v>
      </c>
      <c r="J193" s="901">
        <f t="shared" si="33"/>
        <v>-8.67</v>
      </c>
      <c r="K193" s="901">
        <f t="shared" si="34"/>
        <v>-8.67</v>
      </c>
      <c r="L193" s="901">
        <f t="shared" si="35"/>
        <v>-8.67</v>
      </c>
      <c r="M193" s="901">
        <f t="shared" si="36"/>
        <v>-8.67</v>
      </c>
      <c r="N193" s="901">
        <f t="shared" si="37"/>
        <v>-4.5270000000000001</v>
      </c>
      <c r="O193" s="901">
        <f t="shared" si="38"/>
        <v>-4.5270000000000001</v>
      </c>
      <c r="Q193" s="62"/>
    </row>
    <row r="194" spans="1:17" x14ac:dyDescent="0.35">
      <c r="A194" s="913" t="s">
        <v>106</v>
      </c>
      <c r="B194" s="913"/>
      <c r="C194" s="915"/>
      <c r="D194" s="901">
        <f t="shared" si="27"/>
        <v>0</v>
      </c>
      <c r="E194" s="901">
        <f t="shared" si="28"/>
        <v>0</v>
      </c>
      <c r="F194" s="901">
        <f t="shared" si="29"/>
        <v>35.317</v>
      </c>
      <c r="G194" s="901">
        <f t="shared" si="30"/>
        <v>35.317</v>
      </c>
      <c r="H194" s="901">
        <f t="shared" si="31"/>
        <v>35.317</v>
      </c>
      <c r="I194" s="901">
        <f t="shared" si="32"/>
        <v>35.317</v>
      </c>
      <c r="J194" s="901">
        <f t="shared" si="33"/>
        <v>36.033000000000001</v>
      </c>
      <c r="K194" s="901">
        <f t="shared" si="34"/>
        <v>36.033000000000001</v>
      </c>
      <c r="L194" s="901">
        <f t="shared" si="35"/>
        <v>36.033000000000001</v>
      </c>
      <c r="M194" s="901">
        <f t="shared" si="36"/>
        <v>36.033000000000001</v>
      </c>
      <c r="N194" s="901">
        <f t="shared" si="37"/>
        <v>21.076000000000001</v>
      </c>
      <c r="O194" s="901">
        <f t="shared" si="38"/>
        <v>21.076000000000001</v>
      </c>
      <c r="Q194" s="62"/>
    </row>
    <row r="197" spans="1:17" x14ac:dyDescent="0.35">
      <c r="A197" s="56" t="s">
        <v>1460</v>
      </c>
    </row>
    <row r="198" spans="1:17" x14ac:dyDescent="0.35">
      <c r="A198" s="909" t="s">
        <v>52</v>
      </c>
      <c r="D198" s="916">
        <v>0</v>
      </c>
      <c r="E198" s="916">
        <v>0</v>
      </c>
      <c r="F198" s="916">
        <v>2.3250000000000002</v>
      </c>
      <c r="G198" s="916">
        <v>2.3250000000000002</v>
      </c>
      <c r="H198" s="916">
        <v>2.3250000000000002</v>
      </c>
      <c r="I198" s="916">
        <v>2.3250000000000002</v>
      </c>
      <c r="J198" s="916">
        <v>5.5830000000000002</v>
      </c>
      <c r="K198" s="916">
        <v>5.5830000000000002</v>
      </c>
      <c r="L198" s="916">
        <v>5.5830000000000002</v>
      </c>
      <c r="M198" s="916">
        <v>5.5830000000000002</v>
      </c>
      <c r="N198" s="916">
        <v>8.0220000000000002</v>
      </c>
      <c r="O198" s="916">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71" t="s">
        <v>609</v>
      </c>
    </row>
    <row r="2" spans="1:6" ht="20.9" customHeight="1" x14ac:dyDescent="0.4">
      <c r="A2" s="988" t="s">
        <v>610</v>
      </c>
      <c r="B2" s="988" t="s">
        <v>611</v>
      </c>
      <c r="C2" s="988" t="s">
        <v>612</v>
      </c>
      <c r="D2" s="988" t="s">
        <v>613</v>
      </c>
    </row>
    <row r="3" spans="1:6" x14ac:dyDescent="0.35">
      <c r="A3" s="989" t="s">
        <v>614</v>
      </c>
      <c r="B3" s="873">
        <f>SUM(B4:B7)</f>
        <v>325</v>
      </c>
      <c r="E3" s="1620" t="s">
        <v>615</v>
      </c>
      <c r="F3" s="1620"/>
    </row>
    <row r="4" spans="1:6" x14ac:dyDescent="0.35">
      <c r="A4" s="798" t="s">
        <v>616</v>
      </c>
      <c r="B4" s="873">
        <v>284</v>
      </c>
      <c r="E4" s="196" t="s">
        <v>51</v>
      </c>
      <c r="F4" s="196" t="s">
        <v>617</v>
      </c>
    </row>
    <row r="5" spans="1:6" x14ac:dyDescent="0.35">
      <c r="A5" s="798" t="s">
        <v>463</v>
      </c>
      <c r="B5" s="873">
        <v>20</v>
      </c>
      <c r="E5" s="171" t="s">
        <v>150</v>
      </c>
      <c r="F5" s="171">
        <f>SUM(B11:B16)</f>
        <v>82</v>
      </c>
    </row>
    <row r="6" spans="1:6" x14ac:dyDescent="0.35">
      <c r="A6" s="798" t="s">
        <v>470</v>
      </c>
      <c r="B6" s="873">
        <v>15</v>
      </c>
      <c r="E6" s="171" t="s">
        <v>49</v>
      </c>
      <c r="F6" s="171">
        <f>B23</f>
        <v>3</v>
      </c>
    </row>
    <row r="7" spans="1:6" x14ac:dyDescent="0.35">
      <c r="A7" s="798" t="s">
        <v>471</v>
      </c>
      <c r="B7" s="873">
        <v>6</v>
      </c>
      <c r="E7" s="171" t="s">
        <v>390</v>
      </c>
      <c r="F7" s="171">
        <f>B27-B28</f>
        <v>29</v>
      </c>
    </row>
    <row r="8" spans="1:6" x14ac:dyDescent="0.35">
      <c r="A8" s="196" t="s">
        <v>618</v>
      </c>
      <c r="B8" s="873">
        <v>121</v>
      </c>
      <c r="E8" s="171" t="s">
        <v>407</v>
      </c>
      <c r="F8" s="171">
        <f>B42</f>
        <v>2</v>
      </c>
    </row>
    <row r="9" spans="1:6" x14ac:dyDescent="0.35">
      <c r="A9" s="990" t="s">
        <v>619</v>
      </c>
      <c r="B9" s="873">
        <v>166</v>
      </c>
      <c r="E9" s="171" t="s">
        <v>620</v>
      </c>
      <c r="F9" s="171">
        <f>B18+B20+B21</f>
        <v>34</v>
      </c>
    </row>
    <row r="10" spans="1:6" x14ac:dyDescent="0.35">
      <c r="A10" s="987" t="s">
        <v>621</v>
      </c>
      <c r="B10" s="873">
        <v>82</v>
      </c>
      <c r="E10" s="196" t="s">
        <v>622</v>
      </c>
      <c r="F10" s="196" t="s">
        <v>623</v>
      </c>
    </row>
    <row r="11" spans="1:6" x14ac:dyDescent="0.35">
      <c r="A11" s="798" t="s">
        <v>624</v>
      </c>
      <c r="B11" s="873">
        <v>54</v>
      </c>
      <c r="E11" s="171" t="s">
        <v>363</v>
      </c>
      <c r="F11" s="171">
        <f>B4</f>
        <v>284</v>
      </c>
    </row>
    <row r="12" spans="1:6" x14ac:dyDescent="0.35">
      <c r="A12" s="798" t="s">
        <v>625</v>
      </c>
      <c r="B12" s="873">
        <v>20</v>
      </c>
      <c r="E12" s="171" t="s">
        <v>626</v>
      </c>
      <c r="F12" s="171">
        <f>B5</f>
        <v>20</v>
      </c>
    </row>
    <row r="13" spans="1:6" x14ac:dyDescent="0.35">
      <c r="A13" s="798" t="s">
        <v>627</v>
      </c>
      <c r="B13" s="873">
        <v>4</v>
      </c>
      <c r="E13" s="171" t="s">
        <v>470</v>
      </c>
      <c r="F13" s="171">
        <f>B6</f>
        <v>15</v>
      </c>
    </row>
    <row r="14" spans="1:6" ht="27.65" customHeight="1" x14ac:dyDescent="0.35">
      <c r="A14" s="798" t="s">
        <v>628</v>
      </c>
      <c r="B14" s="873">
        <v>2</v>
      </c>
      <c r="E14" s="193" t="s">
        <v>471</v>
      </c>
      <c r="F14" s="171">
        <f>B7</f>
        <v>6</v>
      </c>
    </row>
    <row r="15" spans="1:6" ht="27.65" customHeight="1" x14ac:dyDescent="0.35">
      <c r="A15" s="798" t="s">
        <v>629</v>
      </c>
      <c r="B15" s="873">
        <v>1</v>
      </c>
      <c r="E15" s="193" t="s">
        <v>630</v>
      </c>
      <c r="F15" s="171">
        <f>B28</f>
        <v>15</v>
      </c>
    </row>
    <row r="16" spans="1:6" x14ac:dyDescent="0.35">
      <c r="A16" s="798" t="s">
        <v>631</v>
      </c>
      <c r="B16" s="873">
        <v>1</v>
      </c>
      <c r="E16" s="171" t="s">
        <v>632</v>
      </c>
      <c r="F16" s="171">
        <f>B37</f>
        <v>12</v>
      </c>
    </row>
    <row r="17" spans="1:6" x14ac:dyDescent="0.35">
      <c r="A17" s="196" t="s">
        <v>633</v>
      </c>
      <c r="B17" s="873">
        <v>72</v>
      </c>
      <c r="E17" s="171" t="s">
        <v>634</v>
      </c>
      <c r="F17" s="171">
        <f>B38</f>
        <v>10</v>
      </c>
    </row>
    <row r="18" spans="1:6" x14ac:dyDescent="0.35">
      <c r="A18" s="798" t="s">
        <v>635</v>
      </c>
      <c r="B18" s="873">
        <v>22</v>
      </c>
      <c r="C18" s="171" t="s">
        <v>636</v>
      </c>
    </row>
    <row r="19" spans="1:6" x14ac:dyDescent="0.35">
      <c r="A19" s="798" t="s">
        <v>637</v>
      </c>
      <c r="B19" s="873">
        <v>20</v>
      </c>
      <c r="C19" s="171" t="s">
        <v>109</v>
      </c>
    </row>
    <row r="20" spans="1:6" x14ac:dyDescent="0.35">
      <c r="A20" s="798" t="s">
        <v>638</v>
      </c>
      <c r="B20" s="873">
        <v>8</v>
      </c>
      <c r="C20" s="171" t="s">
        <v>636</v>
      </c>
    </row>
    <row r="21" spans="1:6" x14ac:dyDescent="0.35">
      <c r="A21" s="798" t="s">
        <v>639</v>
      </c>
      <c r="B21" s="873">
        <v>4</v>
      </c>
      <c r="C21" s="171" t="s">
        <v>51</v>
      </c>
    </row>
    <row r="22" spans="1:6" x14ac:dyDescent="0.35">
      <c r="A22" s="798" t="s">
        <v>640</v>
      </c>
      <c r="B22" s="873">
        <v>4</v>
      </c>
      <c r="C22" s="171" t="s">
        <v>109</v>
      </c>
    </row>
    <row r="23" spans="1:6" x14ac:dyDescent="0.35">
      <c r="A23" s="798" t="s">
        <v>641</v>
      </c>
      <c r="B23" s="873">
        <v>3</v>
      </c>
      <c r="C23" s="171" t="s">
        <v>642</v>
      </c>
    </row>
    <row r="24" spans="1:6" x14ac:dyDescent="0.35">
      <c r="A24" s="798" t="s">
        <v>643</v>
      </c>
      <c r="B24" s="873">
        <v>3</v>
      </c>
      <c r="C24" s="171" t="s">
        <v>644</v>
      </c>
    </row>
    <row r="25" spans="1:6" x14ac:dyDescent="0.35">
      <c r="A25" s="991" t="s">
        <v>645</v>
      </c>
      <c r="B25" s="873">
        <v>3</v>
      </c>
      <c r="C25" s="171" t="s">
        <v>55</v>
      </c>
    </row>
    <row r="26" spans="1:6" x14ac:dyDescent="0.35">
      <c r="A26" s="798" t="s">
        <v>646</v>
      </c>
      <c r="B26" s="873">
        <v>4</v>
      </c>
      <c r="C26" s="171" t="s">
        <v>647</v>
      </c>
    </row>
    <row r="27" spans="1:6" x14ac:dyDescent="0.35">
      <c r="A27" s="196" t="s">
        <v>390</v>
      </c>
      <c r="B27" s="873">
        <v>44</v>
      </c>
    </row>
    <row r="28" spans="1:6" x14ac:dyDescent="0.35">
      <c r="A28" s="984" t="s">
        <v>630</v>
      </c>
      <c r="B28" s="985">
        <v>15</v>
      </c>
    </row>
    <row r="29" spans="1:6" x14ac:dyDescent="0.35">
      <c r="A29" s="798" t="s">
        <v>648</v>
      </c>
      <c r="B29" s="873">
        <v>14</v>
      </c>
    </row>
    <row r="30" spans="1:6" x14ac:dyDescent="0.35">
      <c r="A30" s="798" t="s">
        <v>649</v>
      </c>
      <c r="B30" s="873">
        <v>10</v>
      </c>
    </row>
    <row r="31" spans="1:6" x14ac:dyDescent="0.35">
      <c r="A31" s="798" t="s">
        <v>650</v>
      </c>
      <c r="B31" s="873">
        <v>2</v>
      </c>
    </row>
    <row r="32" spans="1:6" x14ac:dyDescent="0.35">
      <c r="A32" s="798" t="s">
        <v>651</v>
      </c>
      <c r="B32" s="873">
        <v>2</v>
      </c>
    </row>
    <row r="33" spans="1:6" x14ac:dyDescent="0.35">
      <c r="A33" s="798" t="s">
        <v>652</v>
      </c>
      <c r="B33" s="873">
        <v>1</v>
      </c>
    </row>
    <row r="34" spans="1:6" x14ac:dyDescent="0.35">
      <c r="A34" s="196" t="s">
        <v>653</v>
      </c>
      <c r="B34" s="873">
        <v>88</v>
      </c>
    </row>
    <row r="35" spans="1:6" x14ac:dyDescent="0.35">
      <c r="A35" s="991" t="s">
        <v>654</v>
      </c>
      <c r="B35" s="873">
        <v>26</v>
      </c>
    </row>
    <row r="36" spans="1:6" x14ac:dyDescent="0.35">
      <c r="A36" s="798" t="s">
        <v>655</v>
      </c>
      <c r="B36" s="873">
        <v>25</v>
      </c>
    </row>
    <row r="37" spans="1:6" x14ac:dyDescent="0.35">
      <c r="A37" s="798" t="s">
        <v>632</v>
      </c>
      <c r="B37" s="873">
        <v>12</v>
      </c>
      <c r="C37" s="171" t="s">
        <v>656</v>
      </c>
      <c r="E37" s="171" t="s">
        <v>657</v>
      </c>
      <c r="F37" s="171" t="s">
        <v>658</v>
      </c>
    </row>
    <row r="38" spans="1:6" x14ac:dyDescent="0.35">
      <c r="A38" s="798" t="s">
        <v>634</v>
      </c>
      <c r="B38" s="873">
        <v>10</v>
      </c>
      <c r="C38" s="171" t="s">
        <v>656</v>
      </c>
      <c r="E38" s="171" t="s">
        <v>659</v>
      </c>
      <c r="F38" s="171" t="s">
        <v>660</v>
      </c>
    </row>
    <row r="39" spans="1:6" x14ac:dyDescent="0.35">
      <c r="A39" s="798" t="s">
        <v>661</v>
      </c>
      <c r="B39" s="873">
        <v>7</v>
      </c>
      <c r="C39" s="171" t="s">
        <v>647</v>
      </c>
      <c r="E39" s="171" t="s">
        <v>662</v>
      </c>
      <c r="F39" s="171" t="s">
        <v>663</v>
      </c>
    </row>
    <row r="40" spans="1:6" x14ac:dyDescent="0.35">
      <c r="A40" s="798" t="s">
        <v>664</v>
      </c>
      <c r="B40" s="873">
        <v>5</v>
      </c>
      <c r="C40" s="171" t="s">
        <v>109</v>
      </c>
      <c r="E40" s="171" t="s">
        <v>665</v>
      </c>
    </row>
    <row r="41" spans="1:6" x14ac:dyDescent="0.35">
      <c r="A41" s="798" t="s">
        <v>666</v>
      </c>
      <c r="B41" s="873">
        <v>2</v>
      </c>
      <c r="C41" s="171" t="s">
        <v>647</v>
      </c>
      <c r="E41" s="171" t="s">
        <v>667</v>
      </c>
    </row>
    <row r="42" spans="1:6" x14ac:dyDescent="0.35">
      <c r="A42" s="798" t="s">
        <v>668</v>
      </c>
      <c r="B42" s="873">
        <v>2</v>
      </c>
      <c r="C42" s="171" t="s">
        <v>636</v>
      </c>
      <c r="E42" s="986" t="s">
        <v>669</v>
      </c>
    </row>
    <row r="43" spans="1:6" x14ac:dyDescent="0.35">
      <c r="A43" s="798" t="s">
        <v>670</v>
      </c>
      <c r="B43" s="873">
        <v>0</v>
      </c>
      <c r="E43" s="171" t="s">
        <v>671</v>
      </c>
    </row>
    <row r="44" spans="1:6" x14ac:dyDescent="0.35">
      <c r="A44" s="196" t="s">
        <v>672</v>
      </c>
      <c r="B44" s="873">
        <v>40</v>
      </c>
    </row>
    <row r="45" spans="1:6" x14ac:dyDescent="0.35">
      <c r="A45" s="991" t="s">
        <v>673</v>
      </c>
      <c r="B45" s="992">
        <v>21</v>
      </c>
    </row>
    <row r="46" spans="1:6" x14ac:dyDescent="0.35">
      <c r="A46" s="798" t="s">
        <v>674</v>
      </c>
      <c r="B46" s="873">
        <v>6</v>
      </c>
    </row>
    <row r="47" spans="1:6" x14ac:dyDescent="0.35">
      <c r="A47" s="991" t="s">
        <v>675</v>
      </c>
      <c r="B47" s="992">
        <v>4</v>
      </c>
    </row>
    <row r="48" spans="1:6" x14ac:dyDescent="0.35">
      <c r="A48" s="798" t="s">
        <v>676</v>
      </c>
      <c r="B48" s="873">
        <v>4</v>
      </c>
    </row>
    <row r="49" spans="1:2" x14ac:dyDescent="0.35">
      <c r="A49" s="991" t="s">
        <v>677</v>
      </c>
      <c r="B49" s="992">
        <v>3</v>
      </c>
    </row>
    <row r="50" spans="1:2" x14ac:dyDescent="0.35">
      <c r="A50" s="798" t="s">
        <v>678</v>
      </c>
      <c r="B50" s="87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C4" sqref="C4"/>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93" t="s">
        <v>37</v>
      </c>
      <c r="B2" s="1394"/>
      <c r="C2" s="1394"/>
      <c r="D2" s="1395"/>
      <c r="E2" s="30"/>
      <c r="F2" s="30"/>
    </row>
    <row r="3" spans="1:6" ht="148.4" customHeight="1" x14ac:dyDescent="0.35">
      <c r="A3" s="18" t="s">
        <v>912</v>
      </c>
      <c r="B3" s="14" t="s">
        <v>911</v>
      </c>
      <c r="C3" s="14" t="s">
        <v>910</v>
      </c>
      <c r="D3" s="22" t="s">
        <v>1003</v>
      </c>
    </row>
    <row r="4" spans="1:6" ht="148.4" customHeight="1" x14ac:dyDescent="0.35">
      <c r="A4" s="18" t="s">
        <v>79</v>
      </c>
      <c r="B4" s="14" t="s">
        <v>40</v>
      </c>
      <c r="C4" s="14" t="s">
        <v>985</v>
      </c>
      <c r="D4" s="22" t="s">
        <v>1003</v>
      </c>
      <c r="E4" s="14"/>
      <c r="F4" s="14"/>
    </row>
    <row r="5" spans="1:6" ht="61.5" customHeight="1" x14ac:dyDescent="0.35">
      <c r="A5" s="18" t="s">
        <v>73</v>
      </c>
      <c r="B5" s="14" t="s">
        <v>74</v>
      </c>
      <c r="C5" s="32" t="s">
        <v>44</v>
      </c>
      <c r="D5" s="22" t="s">
        <v>1003</v>
      </c>
    </row>
    <row r="6" spans="1:6" ht="78" customHeight="1" x14ac:dyDescent="0.35">
      <c r="A6" s="18" t="s">
        <v>45</v>
      </c>
      <c r="B6" s="14" t="s">
        <v>46</v>
      </c>
      <c r="C6" s="14" t="s">
        <v>929</v>
      </c>
      <c r="D6" s="22" t="s">
        <v>1003</v>
      </c>
      <c r="E6" s="14"/>
      <c r="F6" s="14"/>
    </row>
    <row r="7" spans="1:6" ht="50.9" customHeight="1" x14ac:dyDescent="0.35">
      <c r="A7" s="18" t="s">
        <v>872</v>
      </c>
      <c r="B7" s="14" t="s">
        <v>884</v>
      </c>
      <c r="C7" s="14" t="s">
        <v>1527</v>
      </c>
      <c r="D7" s="22" t="s">
        <v>1003</v>
      </c>
      <c r="E7" s="15"/>
      <c r="F7" s="14"/>
    </row>
    <row r="8" spans="1:6" ht="29.9" customHeight="1" x14ac:dyDescent="0.35">
      <c r="A8" s="18" t="s">
        <v>75</v>
      </c>
      <c r="B8" s="14" t="s">
        <v>76</v>
      </c>
      <c r="C8" s="14" t="s">
        <v>77</v>
      </c>
      <c r="D8" s="22" t="s">
        <v>1003</v>
      </c>
      <c r="E8" s="15"/>
      <c r="F8" s="14"/>
    </row>
    <row r="9" spans="1:6" ht="48.65" customHeight="1" x14ac:dyDescent="0.35">
      <c r="A9" s="18" t="s">
        <v>47</v>
      </c>
      <c r="B9" s="14" t="s">
        <v>48</v>
      </c>
      <c r="C9" s="14" t="s">
        <v>903</v>
      </c>
      <c r="D9" s="22" t="s">
        <v>1003</v>
      </c>
      <c r="E9" s="15"/>
      <c r="F9" s="14"/>
    </row>
    <row r="10" spans="1:6" ht="22.5" customHeight="1" x14ac:dyDescent="0.35">
      <c r="A10" s="1393" t="s">
        <v>904</v>
      </c>
      <c r="B10" s="1394"/>
      <c r="C10" s="1394"/>
      <c r="D10" s="1395"/>
      <c r="E10" s="15"/>
      <c r="F10" s="14"/>
    </row>
    <row r="11" spans="1:6" ht="22.5" customHeight="1" x14ac:dyDescent="0.35">
      <c r="A11" s="19" t="s">
        <v>75</v>
      </c>
      <c r="B11" s="1406" t="s">
        <v>914</v>
      </c>
      <c r="C11" s="1407"/>
      <c r="D11" s="31"/>
      <c r="E11" s="15"/>
      <c r="F11" s="14"/>
    </row>
    <row r="12" spans="1:6" ht="33" customHeight="1" x14ac:dyDescent="0.35">
      <c r="A12" s="19" t="s">
        <v>913</v>
      </c>
      <c r="B12" s="1399" t="s">
        <v>915</v>
      </c>
      <c r="C12" s="1399"/>
      <c r="D12" s="22"/>
      <c r="E12" s="14"/>
      <c r="F12" s="14"/>
    </row>
    <row r="13" spans="1:6" ht="39.65" customHeight="1" x14ac:dyDescent="0.35">
      <c r="A13" s="17" t="s">
        <v>905</v>
      </c>
      <c r="B13" s="1399" t="s">
        <v>916</v>
      </c>
      <c r="C13" s="1399"/>
      <c r="D13" s="22"/>
    </row>
    <row r="14" spans="1:6" ht="38.9" customHeight="1" x14ac:dyDescent="0.35">
      <c r="A14" s="17" t="s">
        <v>907</v>
      </c>
      <c r="B14" s="1399" t="s">
        <v>908</v>
      </c>
      <c r="C14" s="1399"/>
      <c r="D14" s="22"/>
    </row>
    <row r="15" spans="1:6" ht="20.149999999999999" customHeight="1" x14ac:dyDescent="0.35">
      <c r="A15" s="1396" t="s">
        <v>59</v>
      </c>
      <c r="B15" s="1397"/>
      <c r="C15" s="1397"/>
      <c r="D15" s="1398"/>
    </row>
    <row r="16" spans="1:6" ht="24.65" customHeight="1" x14ac:dyDescent="0.35">
      <c r="A16" s="1400" t="s">
        <v>880</v>
      </c>
      <c r="B16" s="1401"/>
      <c r="C16" s="1402"/>
      <c r="D16" s="22"/>
    </row>
    <row r="17" spans="1:7" ht="101.9" customHeight="1" x14ac:dyDescent="0.35">
      <c r="A17" s="17" t="s">
        <v>60</v>
      </c>
      <c r="B17" s="33" t="s">
        <v>930</v>
      </c>
      <c r="C17" s="33" t="s">
        <v>937</v>
      </c>
      <c r="D17" s="34"/>
      <c r="E17" s="33"/>
      <c r="F17" s="33"/>
      <c r="G17" s="33"/>
    </row>
    <row r="18" spans="1:7" ht="101.15" customHeight="1" x14ac:dyDescent="0.35">
      <c r="A18" s="17" t="s">
        <v>61</v>
      </c>
      <c r="B18" s="33" t="s">
        <v>931</v>
      </c>
      <c r="C18" s="33" t="s">
        <v>932</v>
      </c>
      <c r="D18" s="34"/>
      <c r="E18" s="33"/>
      <c r="F18" s="33"/>
      <c r="G18" s="33"/>
    </row>
    <row r="19" spans="1:7" ht="57.65" customHeight="1" x14ac:dyDescent="0.35">
      <c r="A19" s="17" t="s">
        <v>933</v>
      </c>
      <c r="B19" s="33" t="s">
        <v>934</v>
      </c>
      <c r="C19" s="33" t="s">
        <v>935</v>
      </c>
      <c r="D19" s="34"/>
      <c r="E19" s="33"/>
      <c r="F19" s="33"/>
      <c r="G19" s="33"/>
    </row>
    <row r="20" spans="1:7" ht="37.5" customHeight="1" x14ac:dyDescent="0.35">
      <c r="A20" s="1403" t="s">
        <v>879</v>
      </c>
      <c r="B20" s="1404"/>
      <c r="C20" s="1405"/>
      <c r="D20" s="22"/>
    </row>
    <row r="21" spans="1:7" x14ac:dyDescent="0.35">
      <c r="A21" s="1396" t="s">
        <v>62</v>
      </c>
      <c r="B21" s="1397"/>
      <c r="C21" s="1397"/>
      <c r="D21" s="1398"/>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922</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888</v>
      </c>
      <c r="I1" s="1621"/>
      <c r="J1" s="1621"/>
      <c r="K1" s="1621"/>
    </row>
    <row r="2" spans="1:62" ht="13.4" customHeight="1" x14ac:dyDescent="0.35">
      <c r="A2" s="1012"/>
      <c r="O2" s="1040" t="s">
        <v>850</v>
      </c>
      <c r="P2" s="1627" t="s">
        <v>679</v>
      </c>
      <c r="Q2" s="1627"/>
      <c r="R2" s="1627"/>
      <c r="S2" s="1627"/>
      <c r="T2" s="993"/>
      <c r="U2" s="993"/>
      <c r="V2" s="993"/>
      <c r="W2" s="993"/>
      <c r="X2" s="993"/>
      <c r="Y2" s="1622" t="s">
        <v>680</v>
      </c>
      <c r="Z2" s="1623"/>
      <c r="AA2" s="1623"/>
      <c r="AB2" s="1623"/>
      <c r="AC2" s="1623"/>
      <c r="AD2" s="1623"/>
      <c r="AE2" s="993"/>
      <c r="AF2" s="993"/>
      <c r="AG2" s="1624" t="s">
        <v>681</v>
      </c>
      <c r="AH2" s="1623"/>
      <c r="AI2" s="1623"/>
      <c r="AJ2" s="1626" t="s">
        <v>682</v>
      </c>
      <c r="AK2" s="1626"/>
      <c r="AL2" s="1626"/>
      <c r="AM2" s="1626"/>
      <c r="AN2" s="1626"/>
      <c r="AO2" s="1626"/>
      <c r="AP2" s="1626"/>
      <c r="AQ2" s="1626"/>
      <c r="AR2" s="1626"/>
      <c r="AS2" s="1626"/>
      <c r="AT2" s="994"/>
      <c r="AU2" s="1625" t="s">
        <v>433</v>
      </c>
      <c r="AV2" s="1625"/>
      <c r="AW2" s="1625"/>
      <c r="AX2" s="1625"/>
      <c r="AY2" s="1625"/>
      <c r="AZ2" s="1625"/>
      <c r="BA2" s="1625"/>
      <c r="BB2" s="1024"/>
      <c r="BC2" s="1024"/>
      <c r="BD2" s="1024"/>
      <c r="BE2" s="1024"/>
      <c r="BF2" s="1024"/>
      <c r="BG2" s="1024"/>
      <c r="BH2" s="1024"/>
      <c r="BI2" s="1024"/>
      <c r="BJ2" s="1030" t="s">
        <v>683</v>
      </c>
    </row>
    <row r="3" spans="1:62" ht="43.4" customHeight="1" x14ac:dyDescent="0.35">
      <c r="A3" s="1013"/>
      <c r="B3" s="1013"/>
      <c r="C3" s="1013"/>
      <c r="D3" s="1013"/>
      <c r="E3" s="1013"/>
      <c r="F3" s="1013"/>
      <c r="G3" s="1013"/>
      <c r="H3" s="1013"/>
      <c r="I3" s="1013"/>
      <c r="J3" s="1013"/>
      <c r="K3" s="1013"/>
      <c r="L3" s="1013"/>
      <c r="M3" s="1013"/>
      <c r="N3" s="1013"/>
      <c r="O3" s="1041" t="s">
        <v>684</v>
      </c>
      <c r="P3" s="1023" t="s">
        <v>685</v>
      </c>
      <c r="Q3" s="1023" t="s">
        <v>686</v>
      </c>
      <c r="R3" s="1023" t="s">
        <v>687</v>
      </c>
      <c r="S3" s="1023" t="s">
        <v>688</v>
      </c>
      <c r="T3" s="1023" t="s">
        <v>689</v>
      </c>
      <c r="U3" s="1023" t="s">
        <v>690</v>
      </c>
      <c r="V3" s="1023" t="s">
        <v>691</v>
      </c>
      <c r="W3" s="1023" t="s">
        <v>692</v>
      </c>
      <c r="X3" s="1023" t="s">
        <v>693</v>
      </c>
      <c r="Y3" s="1023" t="s">
        <v>694</v>
      </c>
      <c r="Z3" s="1023"/>
      <c r="AA3" s="1023"/>
      <c r="AB3" s="1023"/>
      <c r="AC3" s="1023" t="s">
        <v>695</v>
      </c>
      <c r="AD3" s="1023" t="s">
        <v>696</v>
      </c>
      <c r="AE3" s="1023" t="s">
        <v>697</v>
      </c>
      <c r="AF3" s="1023" t="s">
        <v>698</v>
      </c>
      <c r="AG3" s="1023" t="s">
        <v>699</v>
      </c>
      <c r="AH3" s="1023" t="s">
        <v>700</v>
      </c>
      <c r="AI3" s="1023" t="s">
        <v>701</v>
      </c>
      <c r="AJ3" s="1023" t="s">
        <v>702</v>
      </c>
      <c r="AK3" s="1023" t="s">
        <v>703</v>
      </c>
      <c r="AL3" s="1023" t="s">
        <v>704</v>
      </c>
      <c r="AM3" s="1023" t="s">
        <v>705</v>
      </c>
      <c r="AN3" s="1023" t="s">
        <v>706</v>
      </c>
      <c r="AO3" s="1023" t="s">
        <v>707</v>
      </c>
      <c r="AP3" s="1023" t="s">
        <v>708</v>
      </c>
      <c r="AQ3" s="1036" t="s">
        <v>709</v>
      </c>
      <c r="AR3" s="1023" t="s">
        <v>710</v>
      </c>
      <c r="AS3" s="1023" t="s">
        <v>711</v>
      </c>
      <c r="AT3" s="1023" t="s">
        <v>712</v>
      </c>
      <c r="AU3" s="1023" t="s">
        <v>713</v>
      </c>
      <c r="AV3" s="1023" t="s">
        <v>714</v>
      </c>
      <c r="AW3" s="1023" t="s">
        <v>715</v>
      </c>
      <c r="AX3" s="1023" t="s">
        <v>716</v>
      </c>
      <c r="AY3" s="1023" t="s">
        <v>717</v>
      </c>
      <c r="AZ3" s="1023" t="s">
        <v>718</v>
      </c>
      <c r="BA3" s="1023" t="s">
        <v>695</v>
      </c>
      <c r="BB3" s="1031" t="s">
        <v>719</v>
      </c>
      <c r="BC3" s="1031" t="s">
        <v>720</v>
      </c>
      <c r="BD3" s="1031" t="s">
        <v>721</v>
      </c>
      <c r="BE3" s="1031" t="s">
        <v>722</v>
      </c>
      <c r="BF3" s="1031" t="s">
        <v>723</v>
      </c>
      <c r="BG3" s="1031" t="s">
        <v>724</v>
      </c>
      <c r="BH3" s="1031" t="s">
        <v>725</v>
      </c>
      <c r="BI3" s="1031" t="s">
        <v>726</v>
      </c>
      <c r="BJ3" s="1025" t="s">
        <v>727</v>
      </c>
    </row>
    <row r="4" spans="1:62" ht="63" customHeight="1" x14ac:dyDescent="0.35">
      <c r="A4" s="1034" t="s">
        <v>728</v>
      </c>
      <c r="B4" s="1012" t="s">
        <v>56</v>
      </c>
      <c r="C4" s="1012" t="s">
        <v>729</v>
      </c>
      <c r="D4" s="1012" t="s">
        <v>599</v>
      </c>
      <c r="E4" s="1012" t="s">
        <v>730</v>
      </c>
      <c r="F4" s="1012" t="s">
        <v>731</v>
      </c>
      <c r="G4" s="1012" t="s">
        <v>732</v>
      </c>
      <c r="H4" s="1012" t="s">
        <v>131</v>
      </c>
      <c r="I4" s="1019" t="s">
        <v>395</v>
      </c>
      <c r="J4" s="1019" t="s">
        <v>150</v>
      </c>
      <c r="K4" s="1019" t="s">
        <v>733</v>
      </c>
      <c r="L4" s="1017" t="s">
        <v>159</v>
      </c>
      <c r="M4" s="1012" t="s">
        <v>109</v>
      </c>
      <c r="N4" s="1012" t="s">
        <v>734</v>
      </c>
      <c r="O4" s="1042" t="s">
        <v>735</v>
      </c>
      <c r="P4" s="1031" t="s">
        <v>736</v>
      </c>
      <c r="Q4" s="1031" t="s">
        <v>737</v>
      </c>
      <c r="R4" s="1031" t="s">
        <v>738</v>
      </c>
      <c r="S4" s="1031" t="s">
        <v>739</v>
      </c>
      <c r="T4" s="1031" t="s">
        <v>740</v>
      </c>
      <c r="U4" s="1031" t="s">
        <v>741</v>
      </c>
      <c r="V4" s="1031" t="s">
        <v>742</v>
      </c>
      <c r="W4" s="1031" t="s">
        <v>743</v>
      </c>
      <c r="X4" s="1031" t="s">
        <v>744</v>
      </c>
      <c r="Y4" s="1031" t="s">
        <v>745</v>
      </c>
      <c r="Z4" s="1031" t="s">
        <v>746</v>
      </c>
      <c r="AA4" s="1031" t="s">
        <v>747</v>
      </c>
      <c r="AB4" s="1031" t="s">
        <v>748</v>
      </c>
      <c r="AC4" s="1031" t="s">
        <v>749</v>
      </c>
      <c r="AD4" s="1031" t="s">
        <v>750</v>
      </c>
      <c r="AE4" s="1031" t="s">
        <v>751</v>
      </c>
      <c r="AF4" s="1031" t="s">
        <v>752</v>
      </c>
      <c r="AG4" s="1031" t="s">
        <v>210</v>
      </c>
      <c r="AH4" s="1031" t="s">
        <v>211</v>
      </c>
      <c r="AI4" s="1031" t="s">
        <v>753</v>
      </c>
      <c r="AJ4" s="1031" t="s">
        <v>754</v>
      </c>
      <c r="AK4" s="1031" t="s">
        <v>755</v>
      </c>
      <c r="AL4" s="1031" t="s">
        <v>756</v>
      </c>
      <c r="AM4" s="1031" t="s">
        <v>757</v>
      </c>
      <c r="AN4" s="1031" t="s">
        <v>758</v>
      </c>
      <c r="AO4" s="1031" t="s">
        <v>759</v>
      </c>
      <c r="AP4" s="1031" t="s">
        <v>760</v>
      </c>
      <c r="AQ4" s="1032" t="s">
        <v>761</v>
      </c>
      <c r="AR4" s="1031" t="s">
        <v>762</v>
      </c>
      <c r="AS4" s="1031" t="s">
        <v>763</v>
      </c>
      <c r="AT4" s="1031" t="s">
        <v>764</v>
      </c>
      <c r="AU4" s="1031" t="s">
        <v>765</v>
      </c>
      <c r="AV4" s="1031" t="s">
        <v>766</v>
      </c>
      <c r="AW4" s="1031" t="s">
        <v>767</v>
      </c>
      <c r="AX4" s="1031" t="s">
        <v>768</v>
      </c>
      <c r="AY4" s="1031" t="s">
        <v>769</v>
      </c>
      <c r="AZ4" s="1031" t="s">
        <v>770</v>
      </c>
      <c r="BA4" s="1031"/>
      <c r="BB4" s="1031" t="s">
        <v>475</v>
      </c>
      <c r="BC4" s="1031" t="s">
        <v>771</v>
      </c>
      <c r="BD4" s="1031" t="s">
        <v>772</v>
      </c>
      <c r="BE4" s="1031" t="s">
        <v>773</v>
      </c>
      <c r="BF4" s="1031" t="s">
        <v>774</v>
      </c>
      <c r="BG4" s="1031" t="s">
        <v>775</v>
      </c>
      <c r="BH4" s="1031" t="s">
        <v>776</v>
      </c>
      <c r="BI4" s="1031" t="s">
        <v>777</v>
      </c>
      <c r="BJ4" s="1033" t="s">
        <v>778</v>
      </c>
    </row>
    <row r="5" spans="1:62" x14ac:dyDescent="0.35">
      <c r="A5" s="1014">
        <v>2021</v>
      </c>
      <c r="B5" s="1016">
        <f>Q5</f>
        <v>394.202</v>
      </c>
      <c r="C5" s="1016">
        <f>SUM(Y5:AB5)</f>
        <v>195.7</v>
      </c>
      <c r="D5" s="1016">
        <f>T5</f>
        <v>18.823</v>
      </c>
      <c r="E5" s="1016">
        <f>SUM(P5:S5)-B5</f>
        <v>0.77600000000001046</v>
      </c>
      <c r="F5" s="1016">
        <f>SUM(T5:AF5)-C5-L5-D5 - 28</f>
        <v>19.722000000000016</v>
      </c>
      <c r="G5" s="1016">
        <f>SUM(BB5:BI5)-BC5</f>
        <v>81.642999999999986</v>
      </c>
      <c r="H5" s="1016">
        <f>SUM(AG5:AI5)</f>
        <v>7.798</v>
      </c>
      <c r="I5" s="1016">
        <f>AJ5</f>
        <v>283.95749999999998</v>
      </c>
      <c r="J5" s="1016">
        <f>AL5</f>
        <v>12.347</v>
      </c>
      <c r="K5" s="1016">
        <f>SUM(AM5:AT5)</f>
        <v>29.628</v>
      </c>
      <c r="L5" s="1020">
        <f>103/4</f>
        <v>25.75</v>
      </c>
      <c r="M5" s="1016">
        <f t="shared" ref="M5:M16" si="0">SUM(AU5:BA5)</f>
        <v>31.939</v>
      </c>
      <c r="N5" s="1016">
        <f>AK5</f>
        <v>3.4</v>
      </c>
      <c r="O5" s="995">
        <v>50</v>
      </c>
      <c r="P5" s="1038">
        <v>0.55000000000000004</v>
      </c>
      <c r="Q5" s="1039">
        <v>394.202</v>
      </c>
      <c r="R5" s="997">
        <v>0.14599999999999999</v>
      </c>
      <c r="S5" s="997">
        <v>0.08</v>
      </c>
      <c r="T5" s="997">
        <v>18.823</v>
      </c>
      <c r="U5" s="1039">
        <v>19</v>
      </c>
      <c r="V5" s="997">
        <v>11.481999999999999</v>
      </c>
      <c r="W5" s="1009">
        <v>1.5580000000000001</v>
      </c>
      <c r="X5" s="1009">
        <v>0.74</v>
      </c>
      <c r="Y5" s="1039">
        <v>0.2</v>
      </c>
      <c r="Z5" s="1039">
        <v>43.1</v>
      </c>
      <c r="AA5" s="1039">
        <v>33.9</v>
      </c>
      <c r="AB5" s="1039">
        <v>118.5</v>
      </c>
      <c r="AC5" s="1039">
        <v>28</v>
      </c>
      <c r="AD5" s="1009">
        <v>-2.0379999999999998</v>
      </c>
      <c r="AE5" s="1039">
        <v>14.31</v>
      </c>
      <c r="AF5" s="997">
        <v>0.42</v>
      </c>
      <c r="AG5" s="997">
        <v>7.7279999999999998</v>
      </c>
      <c r="AH5" s="1039">
        <v>7.0000000000000007E-2</v>
      </c>
      <c r="AI5" s="1039">
        <v>0</v>
      </c>
      <c r="AJ5" s="1039">
        <v>283.95749999999998</v>
      </c>
      <c r="AK5" s="1037">
        <v>3.4</v>
      </c>
      <c r="AL5" s="1037">
        <v>12.347</v>
      </c>
      <c r="AM5" s="998">
        <v>0.28599999999999998</v>
      </c>
      <c r="AN5" s="1037">
        <v>2</v>
      </c>
      <c r="AO5" s="1039">
        <v>0.81</v>
      </c>
      <c r="AP5" s="1037">
        <v>0.52100000000000002</v>
      </c>
      <c r="AQ5" s="999">
        <v>10</v>
      </c>
      <c r="AR5" s="1037">
        <v>2.7</v>
      </c>
      <c r="AS5" s="1037">
        <v>0.751</v>
      </c>
      <c r="AT5" s="1039">
        <v>12.56</v>
      </c>
      <c r="AU5" s="1039">
        <v>0</v>
      </c>
      <c r="AV5" s="1037">
        <v>1.415</v>
      </c>
      <c r="AW5" s="1037">
        <v>10.51</v>
      </c>
      <c r="AX5" s="1037">
        <v>2.6</v>
      </c>
      <c r="AY5" s="1039">
        <v>-0.33</v>
      </c>
      <c r="AZ5" s="1037">
        <v>17.744</v>
      </c>
      <c r="BA5" s="1039">
        <v>0</v>
      </c>
      <c r="BB5" s="1037">
        <v>4.0999999999999996</v>
      </c>
      <c r="BC5" s="1037">
        <v>7.25</v>
      </c>
      <c r="BD5" s="1037">
        <v>48.4</v>
      </c>
      <c r="BE5" s="997">
        <v>0.83</v>
      </c>
      <c r="BF5" s="1009">
        <v>4.5110000000000001</v>
      </c>
      <c r="BG5" s="1039">
        <v>3.0739999999999998</v>
      </c>
      <c r="BH5" s="1000">
        <v>-0.28399999999999997</v>
      </c>
      <c r="BI5" s="1037">
        <v>21.012</v>
      </c>
      <c r="BJ5" s="1026">
        <v>1.1599999999999999</v>
      </c>
    </row>
    <row r="6" spans="1:62" x14ac:dyDescent="0.35">
      <c r="A6" s="1014">
        <v>2022</v>
      </c>
      <c r="B6" s="1016">
        <f t="shared" ref="B6:B15" si="1">Q6</f>
        <v>17.465</v>
      </c>
      <c r="C6" s="1016">
        <f t="shared" ref="C6:C15" si="2">SUM(Y6:AB6)</f>
        <v>10.1</v>
      </c>
      <c r="D6" s="1016">
        <f t="shared" ref="D6:D15" si="3">T6</f>
        <v>2.5950000000000002</v>
      </c>
      <c r="E6" s="1016">
        <f t="shared" ref="E6:E15" si="4">SUM(P6:S6)-B6</f>
        <v>19.719000000000005</v>
      </c>
      <c r="F6" s="1016">
        <f>SUM(T6:AF6)-C6-L6-D6</f>
        <v>52.756999999999998</v>
      </c>
      <c r="G6" s="1016">
        <f t="shared" ref="G6:G16" si="5">SUM(BB6:BI6)-BC6</f>
        <v>110.24799999999999</v>
      </c>
      <c r="H6" s="1016">
        <f t="shared" ref="H6:H15" si="6">SUM(AG6:AI6)</f>
        <v>7.9489999999999998</v>
      </c>
      <c r="I6" s="1016">
        <f t="shared" ref="I6:I15" si="7">AJ6</f>
        <v>77.092500000000001</v>
      </c>
      <c r="J6" s="1016">
        <f t="shared" ref="J6:J15" si="8">AL6</f>
        <v>46.79</v>
      </c>
      <c r="K6" s="1016">
        <f t="shared" ref="K6:K16" si="9">SUM(AM6:AT6)</f>
        <v>35.671000000000006</v>
      </c>
      <c r="L6" s="1020">
        <v>0</v>
      </c>
      <c r="M6" s="1016">
        <f t="shared" si="0"/>
        <v>56.412999999999997</v>
      </c>
      <c r="N6" s="1016">
        <f t="shared" ref="N6:N15" si="10">AK6</f>
        <v>5.0999999999999996</v>
      </c>
      <c r="O6" s="995">
        <v>55</v>
      </c>
      <c r="P6" s="1038">
        <v>15.61</v>
      </c>
      <c r="Q6" s="1039">
        <v>17.465</v>
      </c>
      <c r="R6" s="997">
        <v>0.317</v>
      </c>
      <c r="S6" s="997">
        <v>3.7919999999999998</v>
      </c>
      <c r="T6" s="1039">
        <v>2.5950000000000002</v>
      </c>
      <c r="U6" s="1037">
        <v>14.5</v>
      </c>
      <c r="V6" s="1039">
        <v>25.070999999999998</v>
      </c>
      <c r="W6" s="1009">
        <v>1.952</v>
      </c>
      <c r="X6" s="1009">
        <v>0.61399999999999999</v>
      </c>
      <c r="Y6" s="1037">
        <v>0</v>
      </c>
      <c r="Z6" s="1037">
        <v>2.2999999999999998</v>
      </c>
      <c r="AA6" s="1037">
        <v>1.6</v>
      </c>
      <c r="AB6" s="1037">
        <v>6.2</v>
      </c>
      <c r="AC6" s="1039">
        <v>0</v>
      </c>
      <c r="AD6" s="1039">
        <v>1.31</v>
      </c>
      <c r="AE6" s="1039">
        <v>8.61</v>
      </c>
      <c r="AF6" s="1039">
        <v>0.7</v>
      </c>
      <c r="AG6" s="997">
        <v>7.782</v>
      </c>
      <c r="AH6" s="1039">
        <v>0.12</v>
      </c>
      <c r="AI6" s="1039">
        <v>4.7E-2</v>
      </c>
      <c r="AJ6" s="1039">
        <v>77.092500000000001</v>
      </c>
      <c r="AK6" s="1037">
        <v>5.0999999999999996</v>
      </c>
      <c r="AL6" s="1037">
        <v>46.79</v>
      </c>
      <c r="AM6" s="1000">
        <v>0.30499999999999999</v>
      </c>
      <c r="AN6" s="1037">
        <v>4.3</v>
      </c>
      <c r="AO6" s="1009">
        <v>1.1000000000000001</v>
      </c>
      <c r="AP6" s="1037">
        <v>1.575</v>
      </c>
      <c r="AQ6" s="999">
        <v>10</v>
      </c>
      <c r="AR6" s="1037">
        <v>4.5</v>
      </c>
      <c r="AS6" s="1037">
        <v>1.9810000000000001</v>
      </c>
      <c r="AT6" s="1039">
        <v>11.91</v>
      </c>
      <c r="AU6" s="1039">
        <v>0</v>
      </c>
      <c r="AV6" s="1037">
        <v>3.927</v>
      </c>
      <c r="AW6" s="1037">
        <v>4.2880000000000003</v>
      </c>
      <c r="AX6" s="1037">
        <v>3.7</v>
      </c>
      <c r="AY6" s="1039">
        <v>-1.34</v>
      </c>
      <c r="AZ6" s="1037">
        <v>45.838000000000001</v>
      </c>
      <c r="BA6" s="1039">
        <v>0</v>
      </c>
      <c r="BB6" s="1037">
        <v>11.3</v>
      </c>
      <c r="BC6" s="1037">
        <v>0</v>
      </c>
      <c r="BD6" s="1037">
        <v>1.1000000000000001</v>
      </c>
      <c r="BE6" s="997">
        <v>1.75</v>
      </c>
      <c r="BF6" s="1009">
        <v>1.7330000000000001</v>
      </c>
      <c r="BG6" s="1009">
        <v>7.1440000000000001</v>
      </c>
      <c r="BH6" s="1001">
        <v>81.608999999999995</v>
      </c>
      <c r="BI6" s="1037">
        <v>5.6120000000000001</v>
      </c>
      <c r="BJ6" s="1026">
        <v>4.2</v>
      </c>
    </row>
    <row r="7" spans="1:62" x14ac:dyDescent="0.35">
      <c r="A7" s="1014">
        <v>2023</v>
      </c>
      <c r="B7" s="1016">
        <f t="shared" si="1"/>
        <v>0.48599999999999999</v>
      </c>
      <c r="C7" s="1016">
        <f t="shared" si="2"/>
        <v>0</v>
      </c>
      <c r="D7" s="1016">
        <f t="shared" si="3"/>
        <v>0.93700000000000006</v>
      </c>
      <c r="E7" s="1016">
        <f t="shared" si="4"/>
        <v>1.4159999999999999</v>
      </c>
      <c r="F7" s="1016">
        <f t="shared" ref="F7:F15" si="11">SUM(T7:AF7)-C7-L7-D7</f>
        <v>12</v>
      </c>
      <c r="G7" s="1016">
        <f t="shared" si="5"/>
        <v>12.726000000000001</v>
      </c>
      <c r="H7" s="1016">
        <f t="shared" si="6"/>
        <v>4.7519999999999998</v>
      </c>
      <c r="I7" s="1016">
        <f t="shared" si="7"/>
        <v>1</v>
      </c>
      <c r="J7" s="1016">
        <f t="shared" si="8"/>
        <v>38.595999999999997</v>
      </c>
      <c r="K7" s="1016">
        <f t="shared" si="9"/>
        <v>24.216000000000001</v>
      </c>
      <c r="L7" s="1020">
        <v>0</v>
      </c>
      <c r="M7" s="1016">
        <f t="shared" si="0"/>
        <v>15.652999999999999</v>
      </c>
      <c r="N7" s="1016">
        <f t="shared" si="10"/>
        <v>0</v>
      </c>
      <c r="O7" s="995">
        <v>0.7</v>
      </c>
      <c r="P7" s="1038">
        <v>0.96</v>
      </c>
      <c r="Q7" s="1039">
        <v>0.48599999999999999</v>
      </c>
      <c r="R7" s="997">
        <v>0.45600000000000002</v>
      </c>
      <c r="S7" s="1039">
        <v>0</v>
      </c>
      <c r="T7" s="1002">
        <v>0.93700000000000006</v>
      </c>
      <c r="U7" s="1037">
        <v>3</v>
      </c>
      <c r="V7" s="997">
        <v>7.891</v>
      </c>
      <c r="W7" s="1009">
        <v>0.61699999999999999</v>
      </c>
      <c r="X7" s="1009">
        <v>8.4000000000000005E-2</v>
      </c>
      <c r="Y7" s="1037">
        <v>0</v>
      </c>
      <c r="Z7" s="1037">
        <v>0</v>
      </c>
      <c r="AA7" s="1037">
        <v>0</v>
      </c>
      <c r="AB7" s="1037">
        <v>0</v>
      </c>
      <c r="AC7" s="1039">
        <v>0</v>
      </c>
      <c r="AD7" s="1039">
        <v>0.318</v>
      </c>
      <c r="AE7" s="997">
        <v>-0.11000000000000001</v>
      </c>
      <c r="AF7" s="1039">
        <v>0.2</v>
      </c>
      <c r="AG7" s="997">
        <v>4.6749999999999998</v>
      </c>
      <c r="AH7" s="1039">
        <v>0.06</v>
      </c>
      <c r="AI7" s="1039">
        <v>1.7000000000000001E-2</v>
      </c>
      <c r="AJ7" s="1039">
        <v>1</v>
      </c>
      <c r="AK7" s="1037">
        <v>0</v>
      </c>
      <c r="AL7" s="1037">
        <v>38.595999999999997</v>
      </c>
      <c r="AM7" s="1039">
        <v>0.14899999999999999</v>
      </c>
      <c r="AN7" s="1037">
        <v>1.2</v>
      </c>
      <c r="AO7" s="1009">
        <v>0.53</v>
      </c>
      <c r="AP7" s="1037">
        <v>0.38100000000000001</v>
      </c>
      <c r="AQ7" s="999">
        <v>8</v>
      </c>
      <c r="AR7" s="1037">
        <v>4.5</v>
      </c>
      <c r="AS7" s="1037">
        <v>0.76600000000000001</v>
      </c>
      <c r="AT7" s="1039">
        <v>8.69</v>
      </c>
      <c r="AU7" s="1039">
        <v>0</v>
      </c>
      <c r="AV7" s="1037">
        <v>1.93</v>
      </c>
      <c r="AW7" s="1037">
        <v>1.4379999999999999</v>
      </c>
      <c r="AX7" s="1037">
        <v>2.6</v>
      </c>
      <c r="AY7" s="1009">
        <v>-2.48</v>
      </c>
      <c r="AZ7" s="1037">
        <v>12.164999999999999</v>
      </c>
      <c r="BA7" s="1009">
        <v>0</v>
      </c>
      <c r="BB7" s="1037">
        <v>8.4</v>
      </c>
      <c r="BC7" s="1037">
        <v>0</v>
      </c>
      <c r="BD7" s="1037">
        <v>0.3</v>
      </c>
      <c r="BE7" s="997">
        <v>1.8</v>
      </c>
      <c r="BF7" s="1009">
        <v>0</v>
      </c>
      <c r="BG7" s="1009">
        <v>0</v>
      </c>
      <c r="BH7" s="1000">
        <v>1.3759999999999999</v>
      </c>
      <c r="BI7" s="1037">
        <v>0.85</v>
      </c>
      <c r="BJ7" s="1026">
        <v>2.7</v>
      </c>
    </row>
    <row r="8" spans="1:62" x14ac:dyDescent="0.35">
      <c r="A8" s="1014">
        <v>2024</v>
      </c>
      <c r="B8" s="1016">
        <f t="shared" si="1"/>
        <v>0</v>
      </c>
      <c r="C8" s="1016">
        <f t="shared" si="2"/>
        <v>0</v>
      </c>
      <c r="D8" s="1016">
        <f t="shared" si="3"/>
        <v>0.16</v>
      </c>
      <c r="E8" s="1016">
        <f t="shared" si="4"/>
        <v>1.4790000000000001</v>
      </c>
      <c r="F8" s="1016">
        <f t="shared" si="11"/>
        <v>4.2219999999999995</v>
      </c>
      <c r="G8" s="1016">
        <f t="shared" si="5"/>
        <v>1.365</v>
      </c>
      <c r="H8" s="1016">
        <f t="shared" si="6"/>
        <v>4.637999999999999</v>
      </c>
      <c r="I8" s="1016">
        <f t="shared" si="7"/>
        <v>0</v>
      </c>
      <c r="J8" s="1016">
        <f t="shared" si="8"/>
        <v>31.911000000000001</v>
      </c>
      <c r="K8" s="1016">
        <f t="shared" si="9"/>
        <v>9.6430000000000007</v>
      </c>
      <c r="L8" s="1020">
        <v>0</v>
      </c>
      <c r="M8" s="1016">
        <f t="shared" si="0"/>
        <v>3.9320000000000004</v>
      </c>
      <c r="N8" s="1016">
        <f t="shared" si="10"/>
        <v>0</v>
      </c>
      <c r="O8" s="995">
        <v>0.7</v>
      </c>
      <c r="P8" s="1038">
        <v>0.96</v>
      </c>
      <c r="Q8" s="1037">
        <v>0</v>
      </c>
      <c r="R8" s="997">
        <v>0.51900000000000002</v>
      </c>
      <c r="S8" s="1039">
        <v>0</v>
      </c>
      <c r="T8" s="1003">
        <v>0.16</v>
      </c>
      <c r="U8" s="1037">
        <v>2.8</v>
      </c>
      <c r="V8" s="1039">
        <v>0.504</v>
      </c>
      <c r="W8" s="1009">
        <v>0.47199999999999998</v>
      </c>
      <c r="X8" s="1009">
        <v>2E-3</v>
      </c>
      <c r="Y8" s="1037">
        <v>0</v>
      </c>
      <c r="Z8" s="1037">
        <v>0</v>
      </c>
      <c r="AA8" s="1037">
        <v>0</v>
      </c>
      <c r="AB8" s="1037">
        <v>0</v>
      </c>
      <c r="AC8" s="1039">
        <v>0</v>
      </c>
      <c r="AD8" s="1039">
        <v>0.34399999999999997</v>
      </c>
      <c r="AE8" s="997">
        <v>0</v>
      </c>
      <c r="AF8" s="997">
        <v>0.1</v>
      </c>
      <c r="AG8" s="997">
        <v>4.5739999999999998</v>
      </c>
      <c r="AH8" s="1039">
        <v>0.06</v>
      </c>
      <c r="AI8" s="1039">
        <v>4.0000000000000001E-3</v>
      </c>
      <c r="AJ8" s="1039">
        <v>0</v>
      </c>
      <c r="AK8" s="1037">
        <v>0</v>
      </c>
      <c r="AL8" s="1037">
        <v>31.911000000000001</v>
      </c>
      <c r="AM8" s="1039">
        <v>4.1000000000000002E-2</v>
      </c>
      <c r="AN8" s="1037">
        <v>0.4</v>
      </c>
      <c r="AO8" s="1009">
        <v>0.41</v>
      </c>
      <c r="AP8" s="1037">
        <v>0.13100000000000001</v>
      </c>
      <c r="AQ8" s="999">
        <v>0</v>
      </c>
      <c r="AR8" s="1037">
        <v>3</v>
      </c>
      <c r="AS8" s="1037">
        <v>0.30099999999999999</v>
      </c>
      <c r="AT8" s="1009">
        <v>5.36</v>
      </c>
      <c r="AU8" s="1039">
        <v>0</v>
      </c>
      <c r="AV8" s="1037">
        <v>0.79600000000000004</v>
      </c>
      <c r="AW8" s="1037">
        <v>0.27500000000000002</v>
      </c>
      <c r="AX8" s="1037">
        <v>1</v>
      </c>
      <c r="AY8" s="1009">
        <v>-2.6</v>
      </c>
      <c r="AZ8" s="1037">
        <v>4.4610000000000003</v>
      </c>
      <c r="BA8" s="1009">
        <v>0</v>
      </c>
      <c r="BB8" s="1037">
        <v>0.2</v>
      </c>
      <c r="BC8" s="1037">
        <v>0</v>
      </c>
      <c r="BD8" s="1037">
        <v>0</v>
      </c>
      <c r="BE8" s="997">
        <v>1.95</v>
      </c>
      <c r="BF8" s="1009">
        <v>0</v>
      </c>
      <c r="BG8" s="1009">
        <v>0</v>
      </c>
      <c r="BH8" s="1000">
        <v>-0.875</v>
      </c>
      <c r="BI8" s="1037">
        <v>0.09</v>
      </c>
      <c r="BJ8" s="1027">
        <v>0.87</v>
      </c>
    </row>
    <row r="9" spans="1:62" x14ac:dyDescent="0.35">
      <c r="A9" s="1014">
        <v>2025</v>
      </c>
      <c r="B9" s="1016">
        <f t="shared" si="1"/>
        <v>0</v>
      </c>
      <c r="C9" s="1016">
        <f t="shared" si="2"/>
        <v>0</v>
      </c>
      <c r="D9" s="1016">
        <f t="shared" si="3"/>
        <v>3.3000000000000002E-2</v>
      </c>
      <c r="E9" s="1016">
        <f t="shared" si="4"/>
        <v>1.63</v>
      </c>
      <c r="F9" s="1016">
        <f t="shared" si="11"/>
        <v>2.3719999999999999</v>
      </c>
      <c r="G9" s="1016">
        <f t="shared" si="5"/>
        <v>-0.90100000000000025</v>
      </c>
      <c r="H9" s="1016">
        <f t="shared" si="6"/>
        <v>1.8800000000000001</v>
      </c>
      <c r="I9" s="1016">
        <f t="shared" si="7"/>
        <v>0</v>
      </c>
      <c r="J9" s="1016">
        <f t="shared" si="8"/>
        <v>23.099</v>
      </c>
      <c r="K9" s="1016">
        <f t="shared" si="9"/>
        <v>4.5789999999999997</v>
      </c>
      <c r="L9" s="1020">
        <v>0</v>
      </c>
      <c r="M9" s="1016">
        <f t="shared" si="0"/>
        <v>-0.74299999999999988</v>
      </c>
      <c r="N9" s="1016">
        <f t="shared" si="10"/>
        <v>0</v>
      </c>
      <c r="O9" s="995">
        <v>0.7</v>
      </c>
      <c r="P9" s="1038">
        <v>1.06</v>
      </c>
      <c r="Q9" s="1037">
        <v>0</v>
      </c>
      <c r="R9" s="997">
        <v>0.56999999999999995</v>
      </c>
      <c r="S9" s="1039">
        <v>0</v>
      </c>
      <c r="T9" s="1004">
        <v>3.3000000000000002E-2</v>
      </c>
      <c r="U9" s="1037">
        <v>2</v>
      </c>
      <c r="V9" s="1004">
        <v>0</v>
      </c>
      <c r="W9" s="1009">
        <v>0.21299999999999999</v>
      </c>
      <c r="X9" s="1009">
        <v>2E-3</v>
      </c>
      <c r="Y9" s="1037">
        <v>0</v>
      </c>
      <c r="Z9" s="1037">
        <v>0</v>
      </c>
      <c r="AA9" s="1037">
        <v>0</v>
      </c>
      <c r="AB9" s="1037">
        <v>0</v>
      </c>
      <c r="AC9" s="1039">
        <v>0</v>
      </c>
      <c r="AD9" s="1039">
        <v>0.157</v>
      </c>
      <c r="AE9" s="997">
        <v>0</v>
      </c>
      <c r="AF9" s="997">
        <v>0</v>
      </c>
      <c r="AG9" s="1039">
        <v>1.81</v>
      </c>
      <c r="AH9" s="1039">
        <v>7.0000000000000007E-2</v>
      </c>
      <c r="AI9" s="1039">
        <v>0</v>
      </c>
      <c r="AJ9" s="1037">
        <v>0</v>
      </c>
      <c r="AK9" s="1037">
        <v>0</v>
      </c>
      <c r="AL9" s="1037">
        <v>23.099</v>
      </c>
      <c r="AM9" s="1039">
        <v>1.2999999999999999E-2</v>
      </c>
      <c r="AN9" s="1037">
        <v>0.3</v>
      </c>
      <c r="AO9" s="1035">
        <v>0.15</v>
      </c>
      <c r="AP9" s="1037">
        <v>0.112</v>
      </c>
      <c r="AQ9" s="999">
        <v>0</v>
      </c>
      <c r="AR9" s="1037">
        <v>0.2</v>
      </c>
      <c r="AS9" s="1037">
        <v>7.3999999999999996E-2</v>
      </c>
      <c r="AT9" s="1009">
        <v>3.73</v>
      </c>
      <c r="AU9" s="1039">
        <v>0</v>
      </c>
      <c r="AV9" s="1037">
        <v>5.3999999999999999E-2</v>
      </c>
      <c r="AW9" s="1037">
        <v>0.13100000000000001</v>
      </c>
      <c r="AX9" s="1037">
        <v>0</v>
      </c>
      <c r="AY9" s="1009">
        <v>-2.71</v>
      </c>
      <c r="AZ9" s="1037">
        <v>1.782</v>
      </c>
      <c r="BA9" s="1009">
        <v>0</v>
      </c>
      <c r="BB9" s="1037">
        <v>0</v>
      </c>
      <c r="BC9" s="1037">
        <v>0</v>
      </c>
      <c r="BD9" s="1037">
        <v>0</v>
      </c>
      <c r="BE9" s="997">
        <v>1.43</v>
      </c>
      <c r="BF9" s="1009">
        <v>0</v>
      </c>
      <c r="BG9" s="1009">
        <v>0</v>
      </c>
      <c r="BH9" s="1000">
        <v>-2.3410000000000002</v>
      </c>
      <c r="BI9" s="1037">
        <v>0.01</v>
      </c>
      <c r="BJ9" s="1027">
        <v>0.33</v>
      </c>
    </row>
    <row r="10" spans="1:62" x14ac:dyDescent="0.35">
      <c r="A10" s="1014">
        <v>2026</v>
      </c>
      <c r="B10" s="1016">
        <f t="shared" si="1"/>
        <v>0</v>
      </c>
      <c r="C10" s="1016">
        <f t="shared" si="2"/>
        <v>0</v>
      </c>
      <c r="D10" s="1016">
        <f t="shared" si="3"/>
        <v>3.2000000000000001E-2</v>
      </c>
      <c r="E10" s="1016">
        <f t="shared" si="4"/>
        <v>1.671</v>
      </c>
      <c r="F10" s="1016">
        <f t="shared" si="11"/>
        <v>0.49</v>
      </c>
      <c r="G10" s="1016">
        <f t="shared" si="5"/>
        <v>-2.1500000000000004</v>
      </c>
      <c r="H10" s="1016">
        <f t="shared" si="6"/>
        <v>1.446</v>
      </c>
      <c r="I10" s="1016">
        <f t="shared" si="7"/>
        <v>0</v>
      </c>
      <c r="J10" s="1016">
        <f t="shared" si="8"/>
        <v>10.766999999999999</v>
      </c>
      <c r="K10" s="1016">
        <f t="shared" si="9"/>
        <v>2.9130000000000003</v>
      </c>
      <c r="L10" s="1020"/>
      <c r="M10" s="1016">
        <f t="shared" si="0"/>
        <v>-21.606000000000002</v>
      </c>
      <c r="N10" s="1016">
        <f t="shared" si="10"/>
        <v>0</v>
      </c>
      <c r="O10" s="995">
        <v>0.7</v>
      </c>
      <c r="P10" s="1038">
        <v>1.07</v>
      </c>
      <c r="Q10" s="1037">
        <v>0</v>
      </c>
      <c r="R10" s="997">
        <v>0.60099999999999998</v>
      </c>
      <c r="S10" s="1039">
        <v>0</v>
      </c>
      <c r="T10" s="1000">
        <v>3.2000000000000001E-2</v>
      </c>
      <c r="U10" s="1037">
        <v>0.3</v>
      </c>
      <c r="V10" s="997">
        <v>0</v>
      </c>
      <c r="W10" s="1009">
        <v>0.188</v>
      </c>
      <c r="X10" s="1009">
        <v>2E-3</v>
      </c>
      <c r="Y10" s="1037">
        <v>0</v>
      </c>
      <c r="Z10" s="1037">
        <v>0</v>
      </c>
      <c r="AA10" s="1037">
        <v>0</v>
      </c>
      <c r="AB10" s="1037">
        <v>0</v>
      </c>
      <c r="AC10" s="1039">
        <v>0</v>
      </c>
      <c r="AD10" s="1039">
        <v>0</v>
      </c>
      <c r="AE10" s="1039">
        <v>0</v>
      </c>
      <c r="AF10" s="997">
        <v>0</v>
      </c>
      <c r="AG10" s="1039">
        <v>1.3759999999999999</v>
      </c>
      <c r="AH10" s="1039">
        <v>7.0000000000000007E-2</v>
      </c>
      <c r="AI10" s="1039">
        <v>0</v>
      </c>
      <c r="AJ10" s="1005">
        <v>0</v>
      </c>
      <c r="AK10" s="1037">
        <v>0</v>
      </c>
      <c r="AL10" s="1037">
        <v>10.766999999999999</v>
      </c>
      <c r="AM10" s="1039">
        <v>3.0000000000000001E-3</v>
      </c>
      <c r="AN10" s="1037">
        <v>0.2</v>
      </c>
      <c r="AO10" s="1035">
        <v>0.1</v>
      </c>
      <c r="AP10" s="1037">
        <v>0.05</v>
      </c>
      <c r="AQ10" s="999">
        <v>0</v>
      </c>
      <c r="AR10" s="1037">
        <v>0</v>
      </c>
      <c r="AS10" s="1037">
        <v>0</v>
      </c>
      <c r="AT10" s="1009">
        <v>2.56</v>
      </c>
      <c r="AU10" s="1039">
        <v>0</v>
      </c>
      <c r="AV10" s="1037">
        <v>3.7999999999999999E-2</v>
      </c>
      <c r="AW10" s="1037">
        <v>2.5999999999999999E-2</v>
      </c>
      <c r="AX10" s="1037">
        <v>0</v>
      </c>
      <c r="AY10" s="1009">
        <v>-2.6700000000000004</v>
      </c>
      <c r="AZ10" s="1037">
        <v>0</v>
      </c>
      <c r="BA10" s="1009">
        <v>-19</v>
      </c>
      <c r="BB10" s="1037">
        <v>0</v>
      </c>
      <c r="BC10" s="1037">
        <v>0</v>
      </c>
      <c r="BD10" s="1037">
        <v>0</v>
      </c>
      <c r="BE10" s="1009">
        <v>0.88</v>
      </c>
      <c r="BF10" s="1009">
        <v>0</v>
      </c>
      <c r="BG10" s="1009">
        <v>0</v>
      </c>
      <c r="BH10" s="1039">
        <v>-2.8200000000000003</v>
      </c>
      <c r="BI10" s="1037">
        <v>-0.21</v>
      </c>
      <c r="BJ10" s="1027">
        <v>0.17</v>
      </c>
    </row>
    <row r="11" spans="1:62" x14ac:dyDescent="0.35">
      <c r="A11" s="1014">
        <v>2027</v>
      </c>
      <c r="B11" s="1016">
        <f t="shared" si="1"/>
        <v>0</v>
      </c>
      <c r="C11" s="1016">
        <f t="shared" si="2"/>
        <v>0</v>
      </c>
      <c r="D11" s="1016">
        <f t="shared" si="3"/>
        <v>3.2000000000000001E-2</v>
      </c>
      <c r="E11" s="1016">
        <f t="shared" si="4"/>
        <v>1.7130000000000001</v>
      </c>
      <c r="F11" s="1016">
        <f t="shared" si="11"/>
        <v>0</v>
      </c>
      <c r="G11" s="1016">
        <f t="shared" si="5"/>
        <v>-4.8169999999999993</v>
      </c>
      <c r="H11" s="1016">
        <f t="shared" si="6"/>
        <v>0.65699999999999992</v>
      </c>
      <c r="I11" s="1016">
        <f t="shared" si="7"/>
        <v>0</v>
      </c>
      <c r="J11" s="1016">
        <f t="shared" si="8"/>
        <v>4.0789999999999997</v>
      </c>
      <c r="K11" s="1016">
        <f t="shared" si="9"/>
        <v>2.46</v>
      </c>
      <c r="L11" s="1020"/>
      <c r="M11" s="1016">
        <f t="shared" si="0"/>
        <v>-14.713000000000001</v>
      </c>
      <c r="N11" s="1016">
        <f t="shared" si="10"/>
        <v>0</v>
      </c>
      <c r="O11" s="995">
        <v>0.3</v>
      </c>
      <c r="P11" s="1038">
        <v>1.08</v>
      </c>
      <c r="Q11" s="1037">
        <v>0</v>
      </c>
      <c r="R11" s="997">
        <v>0.63300000000000001</v>
      </c>
      <c r="S11" s="1003">
        <v>0</v>
      </c>
      <c r="T11" s="1037">
        <v>3.2000000000000001E-2</v>
      </c>
      <c r="U11" s="1037">
        <v>0</v>
      </c>
      <c r="V11" s="1039">
        <v>0</v>
      </c>
      <c r="W11" s="1009">
        <v>0</v>
      </c>
      <c r="X11" s="1009">
        <v>0</v>
      </c>
      <c r="Y11" s="1037">
        <v>0</v>
      </c>
      <c r="Z11" s="1037">
        <v>0</v>
      </c>
      <c r="AA11" s="1037">
        <v>0</v>
      </c>
      <c r="AB11" s="1037">
        <v>0</v>
      </c>
      <c r="AC11" s="1039">
        <v>0</v>
      </c>
      <c r="AD11" s="997">
        <v>0</v>
      </c>
      <c r="AE11" s="1039">
        <v>0</v>
      </c>
      <c r="AF11" s="997">
        <v>0</v>
      </c>
      <c r="AG11" s="1039">
        <v>0.57699999999999996</v>
      </c>
      <c r="AH11" s="1039">
        <v>0.08</v>
      </c>
      <c r="AI11" s="1039">
        <v>0</v>
      </c>
      <c r="AJ11" s="1039">
        <v>0</v>
      </c>
      <c r="AK11" s="1037">
        <v>0</v>
      </c>
      <c r="AL11" s="1037">
        <v>4.0789999999999997</v>
      </c>
      <c r="AM11" s="1037">
        <v>0</v>
      </c>
      <c r="AN11" s="1037">
        <v>0.1</v>
      </c>
      <c r="AO11" s="1035">
        <v>0.1</v>
      </c>
      <c r="AP11" s="1037">
        <v>0.03</v>
      </c>
      <c r="AQ11" s="999">
        <v>0</v>
      </c>
      <c r="AR11" s="1037">
        <v>0</v>
      </c>
      <c r="AS11" s="1037">
        <v>0</v>
      </c>
      <c r="AT11" s="1035">
        <v>2.23</v>
      </c>
      <c r="AU11" s="1039">
        <v>0</v>
      </c>
      <c r="AV11" s="1037">
        <v>1.7000000000000001E-2</v>
      </c>
      <c r="AW11" s="1037">
        <v>0</v>
      </c>
      <c r="AX11" s="1037">
        <v>0</v>
      </c>
      <c r="AY11" s="1009">
        <v>-2.73</v>
      </c>
      <c r="AZ11" s="1037">
        <v>0</v>
      </c>
      <c r="BA11" s="1009">
        <v>-12</v>
      </c>
      <c r="BB11" s="1037">
        <v>0</v>
      </c>
      <c r="BC11" s="1037">
        <v>0</v>
      </c>
      <c r="BD11" s="1037">
        <v>0</v>
      </c>
      <c r="BE11" s="1009">
        <v>0.28000000000000003</v>
      </c>
      <c r="BF11" s="1009">
        <v>0</v>
      </c>
      <c r="BG11" s="1009">
        <v>0</v>
      </c>
      <c r="BH11" s="1004">
        <v>-5.0069999999999997</v>
      </c>
      <c r="BI11" s="1037">
        <v>-0.09</v>
      </c>
      <c r="BJ11" s="1028">
        <v>0.06</v>
      </c>
    </row>
    <row r="12" spans="1:62" x14ac:dyDescent="0.35">
      <c r="A12" s="1014">
        <v>2028</v>
      </c>
      <c r="B12" s="1016">
        <f t="shared" si="1"/>
        <v>0</v>
      </c>
      <c r="C12" s="1016">
        <f t="shared" si="2"/>
        <v>0</v>
      </c>
      <c r="D12" s="1016">
        <f t="shared" si="3"/>
        <v>3.3000000000000002E-2</v>
      </c>
      <c r="E12" s="1016">
        <f t="shared" si="4"/>
        <v>1.7130000000000001</v>
      </c>
      <c r="F12" s="1016">
        <f t="shared" si="11"/>
        <v>0</v>
      </c>
      <c r="G12" s="1016">
        <f t="shared" si="5"/>
        <v>-5.0590000000000002</v>
      </c>
      <c r="H12" s="1016">
        <f t="shared" si="6"/>
        <v>-1.071</v>
      </c>
      <c r="I12" s="1016">
        <f t="shared" si="7"/>
        <v>0</v>
      </c>
      <c r="J12" s="1016">
        <f t="shared" si="8"/>
        <v>1.635</v>
      </c>
      <c r="K12" s="1016">
        <f t="shared" si="9"/>
        <v>1.81</v>
      </c>
      <c r="L12" s="1020"/>
      <c r="M12" s="1016">
        <f t="shared" si="0"/>
        <v>-2.7690000000000001</v>
      </c>
      <c r="N12" s="1016">
        <f t="shared" si="10"/>
        <v>0</v>
      </c>
      <c r="O12" s="995">
        <v>0.3</v>
      </c>
      <c r="P12" s="1038">
        <v>1.08</v>
      </c>
      <c r="Q12" s="1037">
        <v>0</v>
      </c>
      <c r="R12" s="997">
        <v>0.63300000000000001</v>
      </c>
      <c r="S12" s="1003">
        <v>0</v>
      </c>
      <c r="T12" s="1006">
        <v>3.3000000000000002E-2</v>
      </c>
      <c r="U12" s="1037">
        <v>0</v>
      </c>
      <c r="V12" s="1039">
        <v>0</v>
      </c>
      <c r="W12" s="1009">
        <v>0</v>
      </c>
      <c r="X12" s="1009">
        <v>0</v>
      </c>
      <c r="Y12" s="1037">
        <v>0</v>
      </c>
      <c r="Z12" s="1037">
        <v>0</v>
      </c>
      <c r="AA12" s="1037">
        <v>0</v>
      </c>
      <c r="AB12" s="1037">
        <v>0</v>
      </c>
      <c r="AC12" s="1039">
        <v>0</v>
      </c>
      <c r="AD12" s="1039">
        <v>0</v>
      </c>
      <c r="AE12" s="1039">
        <v>0</v>
      </c>
      <c r="AF12" s="1039">
        <v>0</v>
      </c>
      <c r="AG12" s="1039">
        <v>-1.151</v>
      </c>
      <c r="AH12" s="1039">
        <v>0.08</v>
      </c>
      <c r="AI12" s="1039">
        <v>0</v>
      </c>
      <c r="AJ12" s="1039">
        <v>0</v>
      </c>
      <c r="AK12" s="1037">
        <v>0</v>
      </c>
      <c r="AL12" s="1037">
        <v>1.635</v>
      </c>
      <c r="AM12" s="1037">
        <v>0</v>
      </c>
      <c r="AN12" s="1037">
        <v>0.1</v>
      </c>
      <c r="AO12" s="1009">
        <v>0</v>
      </c>
      <c r="AP12" s="1037">
        <v>0</v>
      </c>
      <c r="AQ12" s="999">
        <v>0</v>
      </c>
      <c r="AR12" s="1037">
        <v>0</v>
      </c>
      <c r="AS12" s="1037">
        <v>0</v>
      </c>
      <c r="AT12" s="1035">
        <v>1.71</v>
      </c>
      <c r="AU12" s="1039">
        <v>0</v>
      </c>
      <c r="AV12" s="1037">
        <v>1E-3</v>
      </c>
      <c r="AW12" s="1037">
        <v>0</v>
      </c>
      <c r="AX12" s="1037">
        <v>0</v>
      </c>
      <c r="AY12" s="1009">
        <v>-2.77</v>
      </c>
      <c r="AZ12" s="1037">
        <v>0</v>
      </c>
      <c r="BA12" s="1009">
        <v>0</v>
      </c>
      <c r="BB12" s="1037">
        <v>0</v>
      </c>
      <c r="BC12" s="1037">
        <v>0</v>
      </c>
      <c r="BD12" s="1037">
        <v>0</v>
      </c>
      <c r="BE12" s="1009">
        <v>0.1</v>
      </c>
      <c r="BF12" s="1009">
        <v>0</v>
      </c>
      <c r="BG12" s="1009">
        <v>0</v>
      </c>
      <c r="BH12" s="1004">
        <v>-5.069</v>
      </c>
      <c r="BI12" s="1037">
        <v>-0.09</v>
      </c>
      <c r="BJ12" s="1028">
        <v>0.03</v>
      </c>
    </row>
    <row r="13" spans="1:62" x14ac:dyDescent="0.35">
      <c r="A13" s="1014">
        <v>2029</v>
      </c>
      <c r="B13" s="1016">
        <f t="shared" si="1"/>
        <v>0</v>
      </c>
      <c r="C13" s="1016">
        <f t="shared" si="2"/>
        <v>0</v>
      </c>
      <c r="D13" s="1016">
        <f t="shared" si="3"/>
        <v>3.3000000000000002E-2</v>
      </c>
      <c r="E13" s="1016">
        <f t="shared" si="4"/>
        <v>1.7130000000000001</v>
      </c>
      <c r="F13" s="1016">
        <f t="shared" si="11"/>
        <v>0</v>
      </c>
      <c r="G13" s="1016">
        <f t="shared" si="5"/>
        <v>-5.218</v>
      </c>
      <c r="H13" s="1016">
        <f t="shared" si="6"/>
        <v>-1.964</v>
      </c>
      <c r="I13" s="1016">
        <f t="shared" si="7"/>
        <v>0</v>
      </c>
      <c r="J13" s="1016">
        <f t="shared" si="8"/>
        <v>-1.7000000000000001E-2</v>
      </c>
      <c r="K13" s="1016">
        <f t="shared" si="9"/>
        <v>1</v>
      </c>
      <c r="L13" s="1020"/>
      <c r="M13" s="1016">
        <f t="shared" si="0"/>
        <v>-2.75</v>
      </c>
      <c r="N13" s="1016">
        <f t="shared" si="10"/>
        <v>0</v>
      </c>
      <c r="O13" s="995">
        <v>0.3</v>
      </c>
      <c r="P13" s="1038">
        <v>1.08</v>
      </c>
      <c r="Q13" s="1037">
        <v>0</v>
      </c>
      <c r="R13" s="997">
        <v>0.63300000000000001</v>
      </c>
      <c r="S13" s="1003">
        <v>0</v>
      </c>
      <c r="T13" s="1039">
        <v>3.3000000000000002E-2</v>
      </c>
      <c r="U13" s="1037">
        <v>0</v>
      </c>
      <c r="V13" s="1039">
        <v>0</v>
      </c>
      <c r="W13" s="1009">
        <v>0</v>
      </c>
      <c r="X13" s="1009">
        <v>0</v>
      </c>
      <c r="Y13" s="1037">
        <v>0</v>
      </c>
      <c r="Z13" s="1037">
        <v>0</v>
      </c>
      <c r="AA13" s="1037">
        <v>0</v>
      </c>
      <c r="AB13" s="1037">
        <v>0</v>
      </c>
      <c r="AC13" s="1039">
        <v>0</v>
      </c>
      <c r="AD13" s="1039">
        <v>0</v>
      </c>
      <c r="AE13" s="1039">
        <v>0</v>
      </c>
      <c r="AF13" s="1039">
        <v>0</v>
      </c>
      <c r="AG13" s="1037">
        <v>-2.044</v>
      </c>
      <c r="AH13" s="1039">
        <v>0.08</v>
      </c>
      <c r="AI13" s="1039">
        <v>0</v>
      </c>
      <c r="AJ13" s="1007">
        <v>0</v>
      </c>
      <c r="AK13" s="1037">
        <v>0</v>
      </c>
      <c r="AL13" s="1037">
        <v>-1.7000000000000001E-2</v>
      </c>
      <c r="AM13" s="1037">
        <v>0</v>
      </c>
      <c r="AN13" s="1037">
        <v>0</v>
      </c>
      <c r="AO13" s="1009">
        <v>0</v>
      </c>
      <c r="AP13" s="1037">
        <v>0</v>
      </c>
      <c r="AQ13" s="999">
        <v>0</v>
      </c>
      <c r="AR13" s="1037">
        <v>0</v>
      </c>
      <c r="AS13" s="1037">
        <v>0</v>
      </c>
      <c r="AT13" s="1035">
        <v>1</v>
      </c>
      <c r="AU13" s="1039">
        <v>0</v>
      </c>
      <c r="AV13" s="1037">
        <v>0</v>
      </c>
      <c r="AW13" s="1037">
        <v>0</v>
      </c>
      <c r="AX13" s="1037">
        <v>0</v>
      </c>
      <c r="AY13" s="1009">
        <v>-2.75</v>
      </c>
      <c r="AZ13" s="1037">
        <v>0</v>
      </c>
      <c r="BA13" s="1009">
        <v>0</v>
      </c>
      <c r="BB13" s="1037">
        <v>0</v>
      </c>
      <c r="BC13" s="1037">
        <v>0</v>
      </c>
      <c r="BD13" s="1037">
        <v>0</v>
      </c>
      <c r="BE13" s="1009">
        <v>0</v>
      </c>
      <c r="BF13" s="1008">
        <v>0</v>
      </c>
      <c r="BG13" s="1009">
        <v>0</v>
      </c>
      <c r="BH13" s="1004">
        <v>-5.1180000000000003</v>
      </c>
      <c r="BI13" s="1037">
        <v>-0.1</v>
      </c>
      <c r="BJ13" s="1028">
        <v>0.01</v>
      </c>
    </row>
    <row r="14" spans="1:62" x14ac:dyDescent="0.35">
      <c r="A14" s="1014">
        <v>2030</v>
      </c>
      <c r="B14" s="1016">
        <f t="shared" si="1"/>
        <v>0</v>
      </c>
      <c r="C14" s="1016">
        <f t="shared" si="2"/>
        <v>0</v>
      </c>
      <c r="D14" s="1016">
        <f t="shared" si="3"/>
        <v>3.3000000000000002E-2</v>
      </c>
      <c r="E14" s="1016">
        <f t="shared" si="4"/>
        <v>1.8130000000000002</v>
      </c>
      <c r="F14" s="1016">
        <f t="shared" si="11"/>
        <v>0</v>
      </c>
      <c r="G14" s="1016">
        <f t="shared" si="5"/>
        <v>-5.9420000000000002</v>
      </c>
      <c r="H14" s="1016">
        <f t="shared" si="6"/>
        <v>-2.0210000000000004</v>
      </c>
      <c r="I14" s="1016">
        <f t="shared" si="7"/>
        <v>0</v>
      </c>
      <c r="J14" s="1016">
        <f t="shared" si="8"/>
        <v>-1.9E-2</v>
      </c>
      <c r="K14" s="1016">
        <f t="shared" si="9"/>
        <v>0.8</v>
      </c>
      <c r="L14" s="1020"/>
      <c r="M14" s="1016">
        <f t="shared" si="0"/>
        <v>-8.1189999999999998</v>
      </c>
      <c r="N14" s="1016">
        <f t="shared" si="10"/>
        <v>0</v>
      </c>
      <c r="O14" s="995">
        <v>0.3</v>
      </c>
      <c r="P14" s="1038">
        <v>1.1800000000000002</v>
      </c>
      <c r="Q14" s="1037">
        <v>0</v>
      </c>
      <c r="R14" s="997">
        <v>0.63300000000000001</v>
      </c>
      <c r="S14" s="1003">
        <v>0</v>
      </c>
      <c r="T14" s="1039">
        <v>3.3000000000000002E-2</v>
      </c>
      <c r="U14" s="1037">
        <v>0</v>
      </c>
      <c r="V14" s="1039">
        <v>0</v>
      </c>
      <c r="W14" s="1009">
        <v>0</v>
      </c>
      <c r="X14" s="1009">
        <v>0</v>
      </c>
      <c r="Y14" s="1037">
        <v>0</v>
      </c>
      <c r="Z14" s="1037">
        <v>0</v>
      </c>
      <c r="AA14" s="1037">
        <v>0</v>
      </c>
      <c r="AB14" s="1037">
        <v>0</v>
      </c>
      <c r="AC14" s="1039">
        <v>0</v>
      </c>
      <c r="AD14" s="997">
        <v>0</v>
      </c>
      <c r="AE14" s="1037">
        <v>0</v>
      </c>
      <c r="AF14" s="1039">
        <v>0</v>
      </c>
      <c r="AG14" s="1039">
        <v>-2.1110000000000002</v>
      </c>
      <c r="AH14" s="1039">
        <v>0.09</v>
      </c>
      <c r="AI14" s="1039">
        <v>0</v>
      </c>
      <c r="AJ14" s="1010">
        <v>0</v>
      </c>
      <c r="AK14" s="1037">
        <v>0</v>
      </c>
      <c r="AL14" s="1037">
        <v>-1.9E-2</v>
      </c>
      <c r="AM14" s="1037">
        <v>0</v>
      </c>
      <c r="AN14" s="1037">
        <v>0</v>
      </c>
      <c r="AO14" s="1009">
        <v>0</v>
      </c>
      <c r="AP14" s="1037">
        <v>0</v>
      </c>
      <c r="AQ14" s="999">
        <v>0</v>
      </c>
      <c r="AR14" s="1037">
        <v>0</v>
      </c>
      <c r="AS14" s="1037">
        <v>0</v>
      </c>
      <c r="AT14" s="1009">
        <v>0.8</v>
      </c>
      <c r="AU14" s="1039">
        <v>-5.4089999999999998</v>
      </c>
      <c r="AV14" s="1037">
        <v>0</v>
      </c>
      <c r="AW14" s="1037">
        <v>0</v>
      </c>
      <c r="AX14" s="1037">
        <v>0</v>
      </c>
      <c r="AY14" s="1009">
        <v>-2.71</v>
      </c>
      <c r="AZ14" s="1037">
        <v>0</v>
      </c>
      <c r="BA14" s="1009">
        <v>0</v>
      </c>
      <c r="BB14" s="1037">
        <v>0</v>
      </c>
      <c r="BC14" s="1037">
        <v>0</v>
      </c>
      <c r="BD14" s="1037">
        <v>0</v>
      </c>
      <c r="BE14" s="1037">
        <v>0</v>
      </c>
      <c r="BF14" s="1009">
        <v>0</v>
      </c>
      <c r="BG14" s="1009">
        <v>0</v>
      </c>
      <c r="BH14" s="1039">
        <v>-5.8319999999999999</v>
      </c>
      <c r="BI14" s="1037">
        <v>-0.11</v>
      </c>
      <c r="BJ14" s="1027">
        <v>0.01</v>
      </c>
    </row>
    <row r="15" spans="1:62" ht="17.25" customHeight="1" x14ac:dyDescent="0.35">
      <c r="A15" s="1014">
        <v>2031</v>
      </c>
      <c r="B15" s="1016">
        <f t="shared" si="1"/>
        <v>0</v>
      </c>
      <c r="C15" s="1016">
        <f t="shared" si="2"/>
        <v>0</v>
      </c>
      <c r="D15" s="1016">
        <f t="shared" si="3"/>
        <v>0</v>
      </c>
      <c r="E15" s="1016">
        <f t="shared" si="4"/>
        <v>1.8230000000000002</v>
      </c>
      <c r="F15" s="1016">
        <f t="shared" si="11"/>
        <v>0</v>
      </c>
      <c r="G15" s="1016">
        <f t="shared" si="5"/>
        <v>-7.7250000000000005</v>
      </c>
      <c r="H15" s="1016">
        <f t="shared" si="6"/>
        <v>-2.4630000000000001</v>
      </c>
      <c r="I15" s="1016">
        <f t="shared" si="7"/>
        <v>0</v>
      </c>
      <c r="J15" s="1016">
        <f t="shared" si="8"/>
        <v>-1.9E-2</v>
      </c>
      <c r="K15" s="1016">
        <f t="shared" si="9"/>
        <v>0</v>
      </c>
      <c r="L15" s="1020"/>
      <c r="M15" s="1016">
        <f t="shared" si="0"/>
        <v>-3.0390000000000001</v>
      </c>
      <c r="N15" s="1016">
        <f t="shared" si="10"/>
        <v>0</v>
      </c>
      <c r="O15" s="995">
        <v>0.3</v>
      </c>
      <c r="P15" s="1038">
        <v>1.1900000000000002</v>
      </c>
      <c r="Q15" s="1037">
        <v>0</v>
      </c>
      <c r="R15" s="997">
        <v>0.63300000000000001</v>
      </c>
      <c r="S15" s="1003">
        <v>0</v>
      </c>
      <c r="T15" s="1009">
        <v>0</v>
      </c>
      <c r="U15" s="1037">
        <v>0</v>
      </c>
      <c r="V15" s="1037">
        <v>0</v>
      </c>
      <c r="W15" s="1009">
        <v>0</v>
      </c>
      <c r="X15" s="1009">
        <v>0</v>
      </c>
      <c r="Y15" s="1037">
        <v>0</v>
      </c>
      <c r="Z15" s="1037">
        <v>0</v>
      </c>
      <c r="AA15" s="1037">
        <v>0</v>
      </c>
      <c r="AB15" s="1037">
        <v>0</v>
      </c>
      <c r="AC15" s="1039">
        <v>0</v>
      </c>
      <c r="AD15" s="1037">
        <v>0</v>
      </c>
      <c r="AE15" s="1039">
        <v>0</v>
      </c>
      <c r="AF15" s="1039">
        <v>0</v>
      </c>
      <c r="AG15" s="1039">
        <v>-2.5529999999999999</v>
      </c>
      <c r="AH15" s="1039">
        <v>0.09</v>
      </c>
      <c r="AI15" s="1039">
        <v>0</v>
      </c>
      <c r="AJ15" s="1011">
        <v>0</v>
      </c>
      <c r="AK15" s="1037">
        <v>0</v>
      </c>
      <c r="AL15" s="1037">
        <v>-1.9E-2</v>
      </c>
      <c r="AM15" s="1037">
        <v>0</v>
      </c>
      <c r="AN15" s="1037">
        <v>0</v>
      </c>
      <c r="AO15" s="1009">
        <v>0</v>
      </c>
      <c r="AP15" s="1037">
        <v>0</v>
      </c>
      <c r="AQ15" s="999">
        <v>0</v>
      </c>
      <c r="AR15" s="1037">
        <v>0</v>
      </c>
      <c r="AS15" s="1037">
        <v>0</v>
      </c>
      <c r="AT15" s="1009">
        <v>0</v>
      </c>
      <c r="AU15" s="1039">
        <v>-0.26900000000000002</v>
      </c>
      <c r="AV15" s="1037">
        <v>0</v>
      </c>
      <c r="AW15" s="1037">
        <v>0</v>
      </c>
      <c r="AX15" s="1037">
        <v>0</v>
      </c>
      <c r="AY15" s="1009">
        <v>-2.77</v>
      </c>
      <c r="AZ15" s="1037">
        <v>0</v>
      </c>
      <c r="BA15" s="1009">
        <v>0</v>
      </c>
      <c r="BB15" s="1037">
        <v>0</v>
      </c>
      <c r="BC15" s="1037">
        <v>0</v>
      </c>
      <c r="BD15" s="1037">
        <v>0</v>
      </c>
      <c r="BE15" s="1037">
        <v>0</v>
      </c>
      <c r="BF15" s="1009">
        <v>0</v>
      </c>
      <c r="BG15" s="1009">
        <v>0</v>
      </c>
      <c r="BH15" s="1039">
        <v>-5.4350000000000005</v>
      </c>
      <c r="BI15" s="1037">
        <v>-2.29</v>
      </c>
      <c r="BJ15" s="1027">
        <v>0</v>
      </c>
    </row>
    <row r="16" spans="1:62" x14ac:dyDescent="0.35">
      <c r="A16" s="1015" t="s">
        <v>359</v>
      </c>
      <c r="B16" s="1015">
        <f>SUM(B5:B15)</f>
        <v>412.15299999999996</v>
      </c>
      <c r="C16" s="1015">
        <f>SUM(C5:C15)</f>
        <v>205.79999999999998</v>
      </c>
      <c r="D16" s="1015">
        <f>SUM(D5:D15)</f>
        <v>22.711000000000006</v>
      </c>
      <c r="E16" s="1015">
        <f t="shared" ref="E16:H16" si="12">SUM(E5:E15)</f>
        <v>35.466000000000015</v>
      </c>
      <c r="F16" s="1015">
        <f t="shared" si="12"/>
        <v>91.563000000000002</v>
      </c>
      <c r="G16" s="1016">
        <f t="shared" si="5"/>
        <v>174.17</v>
      </c>
      <c r="H16" s="1015">
        <f t="shared" si="12"/>
        <v>21.600999999999996</v>
      </c>
      <c r="I16" s="1020">
        <f t="shared" ref="I16" si="13">SUM(I5:I15)</f>
        <v>362.04999999999995</v>
      </c>
      <c r="J16" s="1020">
        <f t="shared" ref="J16" si="14">SUM(J5:J15)</f>
        <v>169.16899999999998</v>
      </c>
      <c r="K16" s="1016">
        <f t="shared" si="9"/>
        <v>112.72</v>
      </c>
      <c r="L16" s="1020">
        <f>SUM(L5:L15)</f>
        <v>25.75</v>
      </c>
      <c r="M16" s="1016">
        <f t="shared" si="0"/>
        <v>85.197999999999993</v>
      </c>
      <c r="N16" s="1016">
        <f>AK16</f>
        <v>8.5</v>
      </c>
      <c r="O16" s="996">
        <f t="shared" ref="O16:BI16" si="15">SUM(O5:O15)</f>
        <v>109.3</v>
      </c>
      <c r="P16" s="1037">
        <f t="shared" si="15"/>
        <v>25.819999999999997</v>
      </c>
      <c r="Q16" s="1037">
        <f t="shared" si="15"/>
        <v>412.15299999999996</v>
      </c>
      <c r="R16" s="1037">
        <f t="shared" si="15"/>
        <v>5.774</v>
      </c>
      <c r="S16" s="1037">
        <f t="shared" si="15"/>
        <v>3.8719999999999999</v>
      </c>
      <c r="T16" s="1037">
        <f t="shared" si="15"/>
        <v>22.711000000000006</v>
      </c>
      <c r="U16" s="1037">
        <f t="shared" si="15"/>
        <v>41.599999999999994</v>
      </c>
      <c r="V16" s="1037">
        <f t="shared" si="15"/>
        <v>44.947999999999993</v>
      </c>
      <c r="W16" s="1037">
        <f t="shared" si="15"/>
        <v>5</v>
      </c>
      <c r="X16" s="1037">
        <f t="shared" si="15"/>
        <v>1.4440000000000002</v>
      </c>
      <c r="Y16" s="1037">
        <f t="shared" si="15"/>
        <v>0.2</v>
      </c>
      <c r="Z16" s="1037">
        <f t="shared" si="15"/>
        <v>45.4</v>
      </c>
      <c r="AA16" s="1037">
        <f t="shared" si="15"/>
        <v>35.5</v>
      </c>
      <c r="AB16" s="1037">
        <f t="shared" si="15"/>
        <v>124.7</v>
      </c>
      <c r="AC16" s="1037">
        <f t="shared" si="15"/>
        <v>28</v>
      </c>
      <c r="AD16" s="1037">
        <f t="shared" si="15"/>
        <v>9.100000000000022E-2</v>
      </c>
      <c r="AE16" s="1037">
        <f t="shared" si="15"/>
        <v>22.810000000000002</v>
      </c>
      <c r="AF16" s="1037">
        <f t="shared" si="15"/>
        <v>1.42</v>
      </c>
      <c r="AG16" s="1037">
        <f t="shared" si="15"/>
        <v>20.662999999999997</v>
      </c>
      <c r="AH16" s="1037">
        <f t="shared" si="15"/>
        <v>0.86999999999999988</v>
      </c>
      <c r="AI16" s="1037">
        <f t="shared" si="15"/>
        <v>6.8000000000000005E-2</v>
      </c>
      <c r="AJ16" s="1037">
        <f t="shared" si="15"/>
        <v>362.04999999999995</v>
      </c>
      <c r="AK16" s="1037">
        <f t="shared" ref="AK16:AO16" si="16">SUM(AK5:AK15)</f>
        <v>8.5</v>
      </c>
      <c r="AL16" s="1037">
        <f t="shared" si="16"/>
        <v>169.16899999999998</v>
      </c>
      <c r="AM16" s="1018">
        <f t="shared" si="16"/>
        <v>0.79700000000000004</v>
      </c>
      <c r="AN16" s="1037">
        <f t="shared" si="16"/>
        <v>8.6</v>
      </c>
      <c r="AO16" s="1037">
        <f t="shared" si="16"/>
        <v>3.2000000000000006</v>
      </c>
      <c r="AP16" s="1037">
        <f t="shared" si="15"/>
        <v>2.8000000000000003</v>
      </c>
      <c r="AQ16" s="1021">
        <f>SUM(AQ5:AQ15)</f>
        <v>28</v>
      </c>
      <c r="AR16" s="1037">
        <f>SUM(AR5:AR15)</f>
        <v>14.899999999999999</v>
      </c>
      <c r="AS16" s="1037">
        <f>SUM(AS5:AS15)</f>
        <v>3.8730000000000002</v>
      </c>
      <c r="AT16" s="1037">
        <f t="shared" ref="AT16" si="17">SUM(AT5:AT15)</f>
        <v>50.54999999999999</v>
      </c>
      <c r="AU16" s="1037">
        <f t="shared" si="15"/>
        <v>-5.6779999999999999</v>
      </c>
      <c r="AV16" s="1037">
        <f t="shared" si="15"/>
        <v>8.177999999999999</v>
      </c>
      <c r="AW16" s="1037">
        <f t="shared" si="15"/>
        <v>16.667999999999999</v>
      </c>
      <c r="AX16" s="1037">
        <f t="shared" si="15"/>
        <v>9.9</v>
      </c>
      <c r="AY16" s="1037">
        <f t="shared" si="15"/>
        <v>-25.860000000000003</v>
      </c>
      <c r="AZ16" s="1037">
        <f t="shared" si="15"/>
        <v>81.99</v>
      </c>
      <c r="BA16" s="1037">
        <v>0</v>
      </c>
      <c r="BB16" s="1037">
        <f t="shared" si="15"/>
        <v>24</v>
      </c>
      <c r="BC16" s="1037">
        <f t="shared" si="15"/>
        <v>7.25</v>
      </c>
      <c r="BD16" s="1037">
        <f t="shared" si="15"/>
        <v>49.8</v>
      </c>
      <c r="BE16" s="1037">
        <f t="shared" si="15"/>
        <v>9.02</v>
      </c>
      <c r="BF16" s="1037">
        <f t="shared" si="15"/>
        <v>6.2439999999999998</v>
      </c>
      <c r="BG16" s="1037">
        <f t="shared" si="15"/>
        <v>10.218</v>
      </c>
      <c r="BH16" s="1037">
        <f t="shared" si="15"/>
        <v>50.203999999999979</v>
      </c>
      <c r="BI16" s="1037">
        <f t="shared" si="15"/>
        <v>24.684000000000005</v>
      </c>
      <c r="BJ16" s="1029">
        <f>SUM(BJ5:BJ15)</f>
        <v>9.5399999999999991</v>
      </c>
    </row>
    <row r="17" spans="2:61" x14ac:dyDescent="0.35">
      <c r="R17" s="997"/>
      <c r="S17" s="997"/>
      <c r="W17" s="997"/>
      <c r="X17" s="997"/>
      <c r="AE17" s="997"/>
      <c r="AF17" s="997"/>
      <c r="AV17" s="997"/>
      <c r="AW17" s="997"/>
      <c r="AX17" s="997"/>
      <c r="AY17" s="997"/>
      <c r="AZ17" s="997"/>
      <c r="BA17" s="997"/>
      <c r="BC17" s="997"/>
      <c r="BE17" s="997"/>
      <c r="BF17" s="997"/>
      <c r="BG17" s="997"/>
    </row>
    <row r="18" spans="2:61" x14ac:dyDescent="0.35">
      <c r="R18" s="997"/>
      <c r="S18" s="997"/>
      <c r="W18" s="997"/>
      <c r="X18" s="997"/>
      <c r="AE18" s="997"/>
      <c r="AF18" s="997"/>
      <c r="AV18" s="997"/>
      <c r="AW18" s="997"/>
      <c r="AX18" s="997"/>
      <c r="AY18" s="997"/>
      <c r="AZ18" s="997"/>
      <c r="BA18" s="997"/>
      <c r="BC18" s="997" t="s">
        <v>779</v>
      </c>
      <c r="BD18" s="997" t="s">
        <v>779</v>
      </c>
      <c r="BE18" s="997"/>
      <c r="BF18" s="997" t="s">
        <v>779</v>
      </c>
      <c r="BG18" s="997" t="s">
        <v>779</v>
      </c>
      <c r="BI18" s="997" t="s">
        <v>779</v>
      </c>
    </row>
    <row r="19" spans="2:61" x14ac:dyDescent="0.35">
      <c r="B19" s="1022"/>
      <c r="C19" s="1022"/>
      <c r="D19" s="1022"/>
      <c r="E19" s="1022"/>
      <c r="F19" s="1022"/>
      <c r="H19" s="1022"/>
      <c r="I19" s="1022"/>
      <c r="J19" s="1022"/>
      <c r="K19" s="1022"/>
      <c r="M19" s="1022"/>
      <c r="N19" s="1022"/>
      <c r="R19" s="997"/>
      <c r="S19" s="997"/>
      <c r="W19" s="997"/>
      <c r="X19" s="997"/>
      <c r="AE19" s="997"/>
      <c r="AF19" s="997"/>
      <c r="AV19" s="997"/>
      <c r="AW19" s="997"/>
      <c r="AX19" s="997"/>
      <c r="AY19" s="997"/>
      <c r="AZ19" s="997"/>
      <c r="BA19" s="997"/>
      <c r="BC19" s="997"/>
      <c r="BD19" t="s">
        <v>780</v>
      </c>
      <c r="BE19" s="997"/>
      <c r="BF19" s="997"/>
      <c r="BG19" s="997"/>
    </row>
    <row r="20" spans="2:61" x14ac:dyDescent="0.35">
      <c r="R20" s="997"/>
      <c r="S20" s="997"/>
      <c r="W20" s="997"/>
      <c r="X20" s="997"/>
      <c r="AE20" s="997"/>
      <c r="AF20" s="997"/>
      <c r="AV20" s="997"/>
      <c r="AW20" s="997"/>
      <c r="AX20" s="997"/>
      <c r="AY20" s="997"/>
      <c r="AZ20" s="997"/>
      <c r="BA20" s="997"/>
      <c r="BC20" s="997"/>
      <c r="BE20" s="997"/>
      <c r="BF20" s="997"/>
      <c r="BG20" s="997"/>
    </row>
    <row r="21" spans="2:61" x14ac:dyDescent="0.35">
      <c r="R21" s="997"/>
      <c r="S21" s="997"/>
      <c r="W21" s="997"/>
      <c r="X21" s="997"/>
      <c r="AE21" s="997"/>
      <c r="AF21" s="997"/>
      <c r="AV21" s="997"/>
      <c r="AW21" s="997"/>
      <c r="AX21" s="997"/>
      <c r="AY21" s="997"/>
      <c r="AZ21" s="997"/>
      <c r="BA21" s="997"/>
      <c r="BC21" s="997"/>
      <c r="BE21" s="997"/>
      <c r="BF21" s="997"/>
      <c r="BG21" s="997"/>
    </row>
    <row r="22" spans="2:61" x14ac:dyDescent="0.35">
      <c r="B22" s="1022"/>
      <c r="R22" s="997"/>
      <c r="S22" s="997"/>
      <c r="W22" s="997"/>
      <c r="X22" s="997"/>
      <c r="AE22" s="997"/>
      <c r="AF22" s="997"/>
      <c r="AV22" s="997"/>
      <c r="AW22" s="997"/>
      <c r="AX22" s="997"/>
      <c r="AY22" s="997"/>
      <c r="AZ22" s="997"/>
      <c r="BA22" s="997"/>
      <c r="BC22" s="997"/>
      <c r="BE22" s="997"/>
      <c r="BF22" s="997"/>
      <c r="BG22" s="997"/>
    </row>
    <row r="23" spans="2:61" x14ac:dyDescent="0.35">
      <c r="B23" s="1022"/>
      <c r="R23" s="997"/>
      <c r="S23" s="997"/>
      <c r="W23" s="997"/>
      <c r="X23" s="997"/>
      <c r="AE23" s="997"/>
      <c r="AF23" s="997"/>
      <c r="AV23" s="997"/>
      <c r="AW23" s="997"/>
      <c r="AX23" s="997"/>
      <c r="AY23" s="997"/>
      <c r="AZ23" s="997"/>
      <c r="BA23" s="997"/>
      <c r="BC23" s="997"/>
      <c r="BE23" s="997"/>
      <c r="BF23" s="997"/>
      <c r="BG23" s="997"/>
    </row>
    <row r="24" spans="2:61" x14ac:dyDescent="0.35">
      <c r="B24" s="1022"/>
      <c r="R24" s="997"/>
      <c r="S24" s="997"/>
      <c r="W24" s="997"/>
      <c r="X24" s="997"/>
      <c r="AE24" s="997"/>
      <c r="AF24" s="997"/>
      <c r="AV24" s="997"/>
      <c r="AW24" s="997"/>
      <c r="AX24" s="997"/>
      <c r="AY24" s="997"/>
      <c r="AZ24" s="997"/>
      <c r="BA24" s="997"/>
      <c r="BC24" s="997"/>
      <c r="BE24" s="997"/>
      <c r="BF24" s="997"/>
      <c r="BG24" s="997"/>
    </row>
    <row r="25" spans="2:61" x14ac:dyDescent="0.35">
      <c r="B25" s="1022"/>
      <c r="R25" s="997"/>
      <c r="S25" s="997"/>
      <c r="W25" s="997"/>
      <c r="X25" s="997"/>
      <c r="AE25" s="997"/>
      <c r="AF25" s="997"/>
      <c r="AV25" s="997"/>
      <c r="AW25" s="997"/>
      <c r="AX25" s="997"/>
      <c r="AY25" s="997"/>
      <c r="AZ25" s="997"/>
      <c r="BA25" s="997"/>
      <c r="BC25" s="997"/>
      <c r="BE25" s="997"/>
      <c r="BF25" s="997"/>
      <c r="BG25" s="997"/>
    </row>
    <row r="26" spans="2:61" x14ac:dyDescent="0.35">
      <c r="B26" s="1022"/>
      <c r="R26" s="997"/>
      <c r="S26" s="997"/>
      <c r="W26" s="997"/>
      <c r="X26" s="997"/>
      <c r="AE26" s="997"/>
      <c r="AF26" s="997"/>
      <c r="AV26" s="997"/>
      <c r="AW26" s="997"/>
      <c r="AX26" s="997"/>
      <c r="AY26" s="997"/>
      <c r="AZ26" s="997"/>
      <c r="BA26" s="997"/>
      <c r="BC26" s="997"/>
      <c r="BE26" s="997"/>
      <c r="BF26" s="997"/>
      <c r="BG26" s="997"/>
    </row>
    <row r="27" spans="2:61" x14ac:dyDescent="0.35">
      <c r="B27" s="1022"/>
      <c r="R27" s="997"/>
      <c r="S27" s="997"/>
      <c r="W27" s="997"/>
      <c r="X27" s="997"/>
      <c r="AE27" s="997"/>
      <c r="AF27" s="997"/>
      <c r="AV27" s="997"/>
      <c r="AW27" s="997"/>
      <c r="AX27" s="997"/>
      <c r="AY27" s="997"/>
      <c r="AZ27" s="997"/>
      <c r="BA27" s="997"/>
      <c r="BC27" s="997"/>
      <c r="BE27" s="997"/>
      <c r="BF27" s="997"/>
      <c r="BG27" s="997"/>
    </row>
    <row r="28" spans="2:61" x14ac:dyDescent="0.35">
      <c r="B28" s="1022"/>
      <c r="R28" s="997"/>
      <c r="S28" s="997"/>
      <c r="W28" s="997"/>
      <c r="X28" s="997"/>
      <c r="AE28" s="997"/>
      <c r="AF28" s="997"/>
      <c r="AV28" s="997"/>
      <c r="AW28" s="997"/>
      <c r="AX28" s="997"/>
      <c r="AY28" s="997"/>
      <c r="AZ28" s="997"/>
      <c r="BA28" s="997"/>
      <c r="BC28" s="997"/>
      <c r="BE28" s="997"/>
      <c r="BF28" s="997"/>
      <c r="BG28" s="997"/>
    </row>
    <row r="29" spans="2:61" x14ac:dyDescent="0.35">
      <c r="R29" s="997"/>
      <c r="S29" s="997"/>
      <c r="W29" s="997"/>
      <c r="X29" s="997"/>
      <c r="AE29" s="997"/>
      <c r="AF29" s="997"/>
      <c r="AV29" s="997"/>
      <c r="AW29" s="997"/>
      <c r="AX29" s="997"/>
      <c r="AY29" s="997"/>
      <c r="AZ29" s="997"/>
      <c r="BA29" s="997"/>
      <c r="BC29" s="997"/>
      <c r="BE29" s="997"/>
      <c r="BF29" s="997"/>
      <c r="BG29" s="997"/>
    </row>
    <row r="30" spans="2:61" x14ac:dyDescent="0.35">
      <c r="R30" s="997"/>
      <c r="S30" s="997"/>
      <c r="W30" s="997"/>
      <c r="X30" s="997"/>
      <c r="AE30" s="997"/>
      <c r="AF30" s="997"/>
      <c r="AV30" s="997"/>
      <c r="AW30" s="997"/>
      <c r="AX30" s="997"/>
      <c r="AY30" s="997"/>
      <c r="AZ30" s="997"/>
      <c r="BA30" s="997"/>
      <c r="BC30" s="997"/>
      <c r="BE30" s="997"/>
      <c r="BF30" s="997"/>
      <c r="BG30" s="997"/>
    </row>
    <row r="31" spans="2:61" x14ac:dyDescent="0.35">
      <c r="R31" s="997"/>
      <c r="S31" s="997"/>
      <c r="W31" s="997"/>
      <c r="X31" s="997"/>
      <c r="AE31" s="997"/>
      <c r="AF31" s="997"/>
      <c r="AV31" s="997"/>
      <c r="AW31" s="997"/>
      <c r="AX31" s="997"/>
      <c r="AY31" s="997"/>
      <c r="AZ31" s="997"/>
      <c r="BA31" s="997"/>
      <c r="BC31" s="997"/>
      <c r="BE31" s="997"/>
      <c r="BF31" s="997"/>
      <c r="BG31" s="997"/>
    </row>
    <row r="32" spans="2:61" x14ac:dyDescent="0.35">
      <c r="R32" s="997"/>
      <c r="S32" s="997"/>
      <c r="W32" s="997"/>
      <c r="X32" s="997"/>
      <c r="AE32" s="997"/>
      <c r="AF32" s="997"/>
      <c r="AV32" s="997"/>
      <c r="AW32" s="997"/>
      <c r="AX32" s="997"/>
      <c r="AY32" s="997"/>
      <c r="AZ32" s="997"/>
      <c r="BA32" s="997"/>
      <c r="BC32" s="997"/>
      <c r="BE32" s="997"/>
      <c r="BF32" s="997"/>
      <c r="BG32" s="997"/>
    </row>
    <row r="33" spans="18:59" x14ac:dyDescent="0.35">
      <c r="R33" s="997"/>
      <c r="S33" s="997"/>
      <c r="W33" s="997"/>
      <c r="X33" s="997"/>
      <c r="AE33" s="997"/>
      <c r="AF33" s="997"/>
      <c r="AV33" s="997"/>
      <c r="AW33" s="997"/>
      <c r="AX33" s="997"/>
      <c r="AY33" s="997"/>
      <c r="AZ33" s="997"/>
      <c r="BA33" s="997"/>
      <c r="BC33" s="997"/>
      <c r="BE33" s="997"/>
      <c r="BF33" s="997"/>
      <c r="BG33" s="997"/>
    </row>
    <row r="34" spans="18:59" x14ac:dyDescent="0.35">
      <c r="R34" s="997"/>
      <c r="S34" s="997"/>
      <c r="W34" s="997"/>
      <c r="X34" s="997"/>
      <c r="AE34" s="997"/>
      <c r="AF34" s="997"/>
      <c r="AV34" s="997"/>
      <c r="AW34" s="997"/>
      <c r="AX34" s="997"/>
      <c r="AY34" s="997"/>
      <c r="AZ34" s="997"/>
      <c r="BA34" s="997"/>
      <c r="BC34" s="997"/>
      <c r="BE34" s="997"/>
      <c r="BF34" s="997"/>
      <c r="BG34" s="997"/>
    </row>
    <row r="35" spans="18:59" x14ac:dyDescent="0.35">
      <c r="R35" s="997"/>
      <c r="S35" s="997"/>
      <c r="W35" s="997"/>
      <c r="X35" s="997"/>
      <c r="AE35" s="997"/>
      <c r="AF35" s="997"/>
      <c r="AV35" s="997"/>
      <c r="AW35" s="997"/>
      <c r="AX35" s="997"/>
      <c r="AY35" s="997"/>
      <c r="AZ35" s="997"/>
      <c r="BA35" s="997"/>
      <c r="BC35" s="997"/>
      <c r="BE35" s="997"/>
      <c r="BF35" s="997"/>
      <c r="BG35" s="997"/>
    </row>
    <row r="36" spans="18:59" x14ac:dyDescent="0.35">
      <c r="R36" s="997"/>
      <c r="S36" s="997"/>
      <c r="W36" s="997"/>
      <c r="X36" s="997"/>
      <c r="AE36" s="997"/>
      <c r="AF36" s="997"/>
      <c r="AV36" s="997"/>
      <c r="AW36" s="997"/>
      <c r="AX36" s="997"/>
      <c r="AY36" s="997"/>
      <c r="AZ36" s="997"/>
      <c r="BA36" s="997"/>
      <c r="BC36" s="997"/>
      <c r="BE36" s="997"/>
      <c r="BF36" s="997"/>
      <c r="BG36" s="997"/>
    </row>
    <row r="37" spans="18:59" x14ac:dyDescent="0.35">
      <c r="R37" s="997"/>
      <c r="S37" s="997"/>
      <c r="W37" s="997"/>
      <c r="X37" s="997"/>
      <c r="AE37" s="997"/>
      <c r="AF37" s="997"/>
      <c r="AV37" s="997"/>
      <c r="AW37" s="997"/>
      <c r="AX37" s="997"/>
      <c r="AY37" s="997"/>
      <c r="AZ37" s="997"/>
      <c r="BA37" s="997"/>
      <c r="BC37" s="997"/>
      <c r="BE37" s="997"/>
      <c r="BF37" s="997"/>
      <c r="BG37" s="997"/>
    </row>
    <row r="38" spans="18:59" x14ac:dyDescent="0.35">
      <c r="R38" s="997"/>
      <c r="S38" s="997"/>
      <c r="W38" s="997"/>
      <c r="X38" s="997"/>
      <c r="AE38" s="997"/>
      <c r="AF38" s="997"/>
      <c r="AV38" s="997"/>
      <c r="AW38" s="997"/>
      <c r="AX38" s="997"/>
      <c r="AY38" s="997"/>
      <c r="AZ38" s="997"/>
      <c r="BA38" s="997"/>
      <c r="BC38" s="997"/>
      <c r="BE38" s="997"/>
      <c r="BF38" s="997"/>
      <c r="BG38" s="997"/>
    </row>
    <row r="39" spans="18:59" x14ac:dyDescent="0.35">
      <c r="R39" s="997"/>
      <c r="S39" s="997"/>
      <c r="W39" s="997"/>
      <c r="X39" s="997"/>
      <c r="AE39" s="997"/>
      <c r="AF39" s="997"/>
      <c r="AV39" s="997"/>
      <c r="AW39" s="997"/>
      <c r="AX39" s="997"/>
      <c r="AY39" s="997"/>
      <c r="AZ39" s="997"/>
      <c r="BA39" s="997"/>
      <c r="BC39" s="997"/>
      <c r="BE39" s="997"/>
      <c r="BF39" s="997"/>
      <c r="BG39" s="997"/>
    </row>
    <row r="40" spans="18:59" x14ac:dyDescent="0.35">
      <c r="R40" s="997"/>
      <c r="S40" s="997"/>
      <c r="W40" s="997"/>
      <c r="X40" s="997"/>
      <c r="AE40" s="997"/>
      <c r="AF40" s="997"/>
      <c r="AV40" s="997"/>
      <c r="AW40" s="997"/>
      <c r="AX40" s="997"/>
      <c r="AY40" s="997"/>
      <c r="AZ40" s="997"/>
      <c r="BA40" s="997"/>
      <c r="BC40" s="997"/>
      <c r="BE40" s="997"/>
      <c r="BF40" s="997"/>
      <c r="BG40" s="997"/>
    </row>
    <row r="41" spans="18:59" x14ac:dyDescent="0.35">
      <c r="R41" s="997"/>
      <c r="S41" s="997"/>
      <c r="W41" s="997"/>
      <c r="X41" s="997"/>
      <c r="AE41" s="997"/>
      <c r="AF41" s="997"/>
      <c r="AV41" s="997"/>
      <c r="AW41" s="997"/>
      <c r="AX41" s="997"/>
      <c r="AY41" s="997"/>
      <c r="AZ41" s="997"/>
      <c r="BA41" s="997"/>
      <c r="BC41" s="997"/>
      <c r="BE41" s="997"/>
      <c r="BF41" s="997"/>
      <c r="BG41" s="997"/>
    </row>
    <row r="42" spans="18:59" x14ac:dyDescent="0.35">
      <c r="R42" s="997"/>
      <c r="S42" s="997"/>
      <c r="W42" s="997"/>
      <c r="X42" s="997"/>
      <c r="AE42" s="997"/>
      <c r="AF42" s="997"/>
      <c r="AV42" s="997"/>
      <c r="AW42" s="997"/>
      <c r="AX42" s="997"/>
      <c r="AY42" s="997"/>
      <c r="AZ42" s="997"/>
      <c r="BA42" s="997"/>
      <c r="BC42" s="997"/>
      <c r="BE42" s="997"/>
      <c r="BF42" s="997"/>
      <c r="BG42" s="997"/>
    </row>
    <row r="43" spans="18:59" x14ac:dyDescent="0.35">
      <c r="R43" s="997"/>
      <c r="S43" s="997"/>
      <c r="W43" s="997"/>
      <c r="X43" s="997"/>
      <c r="AE43" s="997"/>
      <c r="AF43" s="997"/>
      <c r="AV43" s="997"/>
      <c r="AW43" s="997"/>
      <c r="AX43" s="997"/>
      <c r="AY43" s="997"/>
      <c r="AZ43" s="997"/>
      <c r="BA43" s="997"/>
      <c r="BC43" s="997"/>
      <c r="BE43" s="997"/>
      <c r="BF43" s="997"/>
      <c r="BG43" s="997"/>
    </row>
    <row r="44" spans="18:59" x14ac:dyDescent="0.35">
      <c r="R44" s="997"/>
      <c r="S44" s="997"/>
      <c r="W44" s="997"/>
      <c r="X44" s="997"/>
      <c r="AE44" s="997"/>
      <c r="AF44" s="997"/>
      <c r="AV44" s="997"/>
      <c r="AW44" s="997"/>
      <c r="AX44" s="997"/>
      <c r="AY44" s="997"/>
      <c r="AZ44" s="997"/>
      <c r="BA44" s="997"/>
      <c r="BC44" s="997"/>
      <c r="BE44" s="997"/>
      <c r="BF44" s="997"/>
      <c r="BG44" s="997"/>
    </row>
    <row r="45" spans="18:59" x14ac:dyDescent="0.35">
      <c r="R45" s="997"/>
      <c r="S45" s="997"/>
      <c r="W45" s="997"/>
      <c r="X45" s="997"/>
      <c r="AE45" s="997"/>
      <c r="AF45" s="997"/>
      <c r="AV45" s="997"/>
      <c r="AW45" s="997"/>
      <c r="AX45" s="997"/>
      <c r="AY45" s="997"/>
      <c r="AZ45" s="997"/>
      <c r="BA45" s="997"/>
      <c r="BC45" s="997"/>
      <c r="BE45" s="997"/>
      <c r="BF45" s="997"/>
      <c r="BG45" s="997"/>
    </row>
    <row r="46" spans="18:59" x14ac:dyDescent="0.35">
      <c r="R46" s="997"/>
      <c r="S46" s="997"/>
      <c r="W46" s="997"/>
      <c r="X46" s="997"/>
      <c r="AE46" s="997"/>
      <c r="AF46" s="997"/>
      <c r="AV46" s="997"/>
      <c r="AW46" s="997"/>
      <c r="AX46" s="997"/>
      <c r="AY46" s="997"/>
      <c r="AZ46" s="997"/>
      <c r="BA46" s="997"/>
      <c r="BC46" s="997"/>
      <c r="BE46" s="997"/>
      <c r="BF46" s="997"/>
      <c r="BG46" s="997"/>
    </row>
    <row r="47" spans="18:59" x14ac:dyDescent="0.35">
      <c r="R47" s="997"/>
      <c r="S47" s="997"/>
      <c r="W47" s="997"/>
      <c r="X47" s="997"/>
      <c r="AE47" s="997"/>
      <c r="AF47" s="997"/>
      <c r="AV47" s="997"/>
      <c r="AW47" s="997"/>
      <c r="AX47" s="997"/>
      <c r="AY47" s="997"/>
      <c r="AZ47" s="997"/>
      <c r="BA47" s="997"/>
      <c r="BC47" s="997"/>
      <c r="BE47" s="997"/>
      <c r="BF47" s="997"/>
      <c r="BG47" s="997"/>
    </row>
    <row r="48" spans="18:59" x14ac:dyDescent="0.35">
      <c r="R48" s="997"/>
      <c r="S48" s="997"/>
      <c r="W48" s="997"/>
      <c r="X48" s="997"/>
      <c r="AE48" s="997"/>
      <c r="AF48" s="997"/>
      <c r="AV48" s="997"/>
      <c r="AW48" s="997"/>
      <c r="AX48" s="997"/>
      <c r="AY48" s="997"/>
      <c r="AZ48" s="997"/>
      <c r="BA48" s="997"/>
      <c r="BC48" s="997"/>
      <c r="BE48" s="997"/>
      <c r="BF48" s="997"/>
      <c r="BG48" s="997"/>
    </row>
    <row r="49" spans="18:59" x14ac:dyDescent="0.35">
      <c r="R49" s="997"/>
      <c r="S49" s="997"/>
      <c r="W49" s="997"/>
      <c r="X49" s="997"/>
      <c r="AE49" s="997"/>
      <c r="AF49" s="997"/>
      <c r="AV49" s="997"/>
      <c r="AW49" s="997"/>
      <c r="AX49" s="997"/>
      <c r="AY49" s="997"/>
      <c r="AZ49" s="997"/>
      <c r="BA49" s="997"/>
      <c r="BC49" s="997"/>
      <c r="BE49" s="997"/>
      <c r="BF49" s="997"/>
      <c r="BG49" s="997"/>
    </row>
    <row r="50" spans="18:59" x14ac:dyDescent="0.35">
      <c r="R50" s="997"/>
      <c r="S50" s="997"/>
      <c r="W50" s="997"/>
      <c r="X50" s="997"/>
      <c r="AE50" s="997"/>
      <c r="AF50" s="997"/>
      <c r="AV50" s="997"/>
      <c r="AW50" s="997"/>
      <c r="AX50" s="997"/>
      <c r="AY50" s="997"/>
      <c r="AZ50" s="997"/>
      <c r="BA50" s="997"/>
      <c r="BC50" s="997"/>
      <c r="BE50" s="997"/>
      <c r="BF50" s="997"/>
      <c r="BG50" s="997"/>
    </row>
    <row r="51" spans="18:59" x14ac:dyDescent="0.35">
      <c r="R51" s="997"/>
      <c r="S51" s="997"/>
      <c r="W51" s="997"/>
      <c r="X51" s="997"/>
      <c r="AE51" s="997"/>
      <c r="AF51" s="997"/>
      <c r="AV51" s="997"/>
      <c r="AW51" s="997"/>
      <c r="AX51" s="997"/>
      <c r="AY51" s="997"/>
      <c r="AZ51" s="997"/>
      <c r="BA51" s="997"/>
      <c r="BC51" s="997"/>
      <c r="BE51" s="997"/>
      <c r="BF51" s="997"/>
      <c r="BG51" s="997"/>
    </row>
    <row r="52" spans="18:59" x14ac:dyDescent="0.35">
      <c r="R52" s="997"/>
      <c r="S52" s="997"/>
      <c r="W52" s="997"/>
      <c r="X52" s="997"/>
      <c r="AE52" s="997"/>
      <c r="AF52" s="997"/>
      <c r="AV52" s="997"/>
      <c r="AW52" s="997"/>
      <c r="AX52" s="997"/>
      <c r="AY52" s="997"/>
      <c r="AZ52" s="997"/>
      <c r="BA52" s="997"/>
      <c r="BC52" s="997"/>
      <c r="BE52" s="997"/>
      <c r="BF52" s="997"/>
      <c r="BG52" s="997"/>
    </row>
    <row r="53" spans="18:59" x14ac:dyDescent="0.35">
      <c r="R53" s="997"/>
      <c r="S53" s="997"/>
      <c r="W53" s="997"/>
      <c r="X53" s="997"/>
      <c r="AE53" s="997"/>
      <c r="AF53" s="997"/>
      <c r="AV53" s="997"/>
      <c r="AW53" s="997"/>
      <c r="AX53" s="997"/>
      <c r="AY53" s="997"/>
      <c r="AZ53" s="997"/>
      <c r="BA53" s="997"/>
      <c r="BC53" s="997"/>
      <c r="BE53" s="997"/>
      <c r="BF53" s="997"/>
      <c r="BG53" s="997"/>
    </row>
    <row r="54" spans="18:59" x14ac:dyDescent="0.35">
      <c r="R54" s="997"/>
      <c r="S54" s="997"/>
      <c r="W54" s="997"/>
      <c r="X54" s="997"/>
      <c r="AE54" s="997"/>
      <c r="AF54" s="997"/>
      <c r="AV54" s="997"/>
      <c r="AW54" s="997"/>
      <c r="AX54" s="997"/>
      <c r="AY54" s="997"/>
      <c r="AZ54" s="997"/>
      <c r="BA54" s="997"/>
      <c r="BC54" s="997"/>
      <c r="BE54" s="997"/>
      <c r="BF54" s="997"/>
      <c r="BG54" s="997"/>
    </row>
    <row r="55" spans="18:59" x14ac:dyDescent="0.35">
      <c r="R55" s="997"/>
      <c r="S55" s="997"/>
      <c r="W55" s="997"/>
      <c r="X55" s="997"/>
      <c r="AE55" s="997"/>
      <c r="AF55" s="997"/>
      <c r="AV55" s="997"/>
      <c r="AW55" s="997"/>
      <c r="AX55" s="997"/>
      <c r="AY55" s="997"/>
      <c r="AZ55" s="997"/>
      <c r="BA55" s="997"/>
      <c r="BC55" s="997"/>
      <c r="BE55" s="997"/>
      <c r="BF55" s="997"/>
      <c r="BG55" s="997"/>
    </row>
    <row r="56" spans="18:59" x14ac:dyDescent="0.35">
      <c r="R56" s="997"/>
      <c r="S56" s="997"/>
      <c r="W56" s="997"/>
      <c r="X56" s="997"/>
      <c r="AE56" s="997"/>
      <c r="AF56" s="997"/>
      <c r="AV56" s="997"/>
      <c r="AW56" s="997"/>
      <c r="AX56" s="997"/>
      <c r="AY56" s="997"/>
      <c r="AZ56" s="997"/>
      <c r="BA56" s="997"/>
      <c r="BC56" s="997"/>
      <c r="BE56" s="997"/>
      <c r="BF56" s="997"/>
      <c r="BG56" s="997"/>
    </row>
    <row r="57" spans="18:59" x14ac:dyDescent="0.35">
      <c r="R57" s="997"/>
      <c r="S57" s="997"/>
      <c r="W57" s="997"/>
      <c r="X57" s="997"/>
      <c r="AE57" s="997"/>
      <c r="AF57" s="997"/>
      <c r="AV57" s="997"/>
      <c r="AW57" s="997"/>
      <c r="AX57" s="997"/>
      <c r="AY57" s="997"/>
      <c r="AZ57" s="997"/>
      <c r="BA57" s="997"/>
      <c r="BC57" s="997"/>
      <c r="BE57" s="997"/>
      <c r="BF57" s="997"/>
      <c r="BG57" s="997"/>
    </row>
    <row r="58" spans="18:59" x14ac:dyDescent="0.35">
      <c r="R58" s="997"/>
      <c r="S58" s="997"/>
      <c r="W58" s="997"/>
      <c r="X58" s="997"/>
      <c r="AE58" s="997"/>
      <c r="AF58" s="997"/>
      <c r="AV58" s="997"/>
      <c r="AW58" s="997"/>
      <c r="AX58" s="997"/>
      <c r="AY58" s="997"/>
      <c r="AZ58" s="997"/>
      <c r="BA58" s="997"/>
      <c r="BC58" s="997"/>
      <c r="BE58" s="997"/>
      <c r="BF58" s="997"/>
      <c r="BG58" s="997"/>
    </row>
    <row r="59" spans="18:59" x14ac:dyDescent="0.35">
      <c r="R59" s="997"/>
      <c r="S59" s="997"/>
      <c r="W59" s="997"/>
      <c r="X59" s="997"/>
      <c r="AE59" s="997"/>
      <c r="AF59" s="997"/>
      <c r="AV59" s="997"/>
      <c r="AW59" s="997"/>
      <c r="AX59" s="997"/>
      <c r="AY59" s="997"/>
      <c r="AZ59" s="997"/>
      <c r="BA59" s="997"/>
      <c r="BC59" s="997"/>
      <c r="BE59" s="997"/>
      <c r="BF59" s="997"/>
      <c r="BG59" s="997"/>
    </row>
    <row r="60" spans="18:59" x14ac:dyDescent="0.35">
      <c r="R60" s="997"/>
      <c r="S60" s="997"/>
      <c r="W60" s="997"/>
      <c r="X60" s="997"/>
      <c r="AE60" s="997"/>
      <c r="AF60" s="997"/>
      <c r="AV60" s="997"/>
      <c r="AW60" s="997"/>
      <c r="AX60" s="997"/>
      <c r="AY60" s="997"/>
      <c r="AZ60" s="997"/>
      <c r="BA60" s="997"/>
      <c r="BC60" s="997"/>
      <c r="BE60" s="997"/>
      <c r="BF60" s="997"/>
      <c r="BG60" s="997"/>
    </row>
    <row r="61" spans="18:59" x14ac:dyDescent="0.35">
      <c r="R61" s="997"/>
      <c r="S61" s="997"/>
      <c r="W61" s="997"/>
      <c r="X61" s="997"/>
      <c r="AE61" s="997"/>
      <c r="AF61" s="997"/>
      <c r="AV61" s="997"/>
      <c r="AW61" s="997"/>
      <c r="AX61" s="997"/>
      <c r="AY61" s="997"/>
      <c r="AZ61" s="997"/>
      <c r="BA61" s="997"/>
      <c r="BC61" s="997"/>
      <c r="BE61" s="997"/>
      <c r="BF61" s="997"/>
      <c r="BG61" s="997"/>
    </row>
    <row r="62" spans="18:59" x14ac:dyDescent="0.35">
      <c r="R62" s="997"/>
      <c r="S62" s="997"/>
      <c r="W62" s="997"/>
      <c r="X62" s="997"/>
      <c r="AE62" s="997"/>
      <c r="AF62" s="997"/>
      <c r="AV62" s="997"/>
      <c r="AW62" s="997"/>
      <c r="AX62" s="997"/>
      <c r="AY62" s="997"/>
      <c r="AZ62" s="997"/>
      <c r="BA62" s="997"/>
      <c r="BC62" s="997"/>
      <c r="BE62" s="997"/>
      <c r="BF62" s="997"/>
      <c r="BG62" s="997"/>
    </row>
    <row r="63" spans="18:59" x14ac:dyDescent="0.35">
      <c r="R63" s="997"/>
      <c r="S63" s="997"/>
      <c r="W63" s="997"/>
      <c r="X63" s="997"/>
      <c r="AE63" s="997"/>
      <c r="AF63" s="997"/>
      <c r="AV63" s="997"/>
      <c r="AW63" s="997"/>
      <c r="AX63" s="997"/>
      <c r="AY63" s="997"/>
      <c r="AZ63" s="997"/>
      <c r="BA63" s="997"/>
      <c r="BC63" s="997"/>
      <c r="BE63" s="997"/>
      <c r="BF63" s="997"/>
      <c r="BG63" s="997"/>
    </row>
    <row r="64" spans="18:59" x14ac:dyDescent="0.35">
      <c r="R64" s="997"/>
      <c r="S64" s="997"/>
      <c r="W64" s="997"/>
      <c r="X64" s="997"/>
      <c r="AE64" s="997"/>
      <c r="AF64" s="997"/>
      <c r="AV64" s="997"/>
      <c r="AW64" s="997"/>
      <c r="AX64" s="997"/>
      <c r="AY64" s="997"/>
      <c r="AZ64" s="997"/>
      <c r="BA64" s="997"/>
      <c r="BC64" s="997"/>
      <c r="BE64" s="997"/>
      <c r="BF64" s="997"/>
      <c r="BG64" s="997"/>
    </row>
    <row r="65" spans="18:59" x14ac:dyDescent="0.35">
      <c r="R65" s="997"/>
      <c r="S65" s="997"/>
      <c r="W65" s="997"/>
      <c r="X65" s="997"/>
      <c r="AE65" s="997"/>
      <c r="AF65" s="997"/>
      <c r="AV65" s="997"/>
      <c r="AW65" s="997"/>
      <c r="AX65" s="997"/>
      <c r="AY65" s="997"/>
      <c r="AZ65" s="997"/>
      <c r="BA65" s="997"/>
      <c r="BC65" s="997"/>
      <c r="BE65" s="997"/>
      <c r="BF65" s="997"/>
      <c r="BG65" s="997"/>
    </row>
    <row r="66" spans="18:59" x14ac:dyDescent="0.35">
      <c r="R66" s="997"/>
      <c r="S66" s="997"/>
      <c r="W66" s="997"/>
      <c r="X66" s="997"/>
      <c r="AE66" s="997"/>
      <c r="AF66" s="997"/>
      <c r="AV66" s="997"/>
      <c r="AW66" s="997"/>
      <c r="AX66" s="997"/>
      <c r="AY66" s="997"/>
      <c r="AZ66" s="997"/>
      <c r="BA66" s="997"/>
      <c r="BC66" s="997"/>
      <c r="BE66" s="997"/>
      <c r="BF66" s="997"/>
      <c r="BG66" s="997"/>
    </row>
    <row r="67" spans="18:59" x14ac:dyDescent="0.35">
      <c r="R67" s="997"/>
      <c r="S67" s="997"/>
      <c r="W67" s="997"/>
      <c r="X67" s="997"/>
      <c r="AE67" s="997"/>
      <c r="AF67" s="997"/>
      <c r="AV67" s="997"/>
      <c r="AW67" s="997"/>
      <c r="AX67" s="997"/>
      <c r="AY67" s="997"/>
      <c r="AZ67" s="997"/>
      <c r="BA67" s="997"/>
      <c r="BC67" s="997"/>
      <c r="BE67" s="997"/>
      <c r="BF67" s="997"/>
      <c r="BG67" s="997"/>
    </row>
    <row r="68" spans="18:59" x14ac:dyDescent="0.35">
      <c r="R68" s="997"/>
      <c r="S68" s="997"/>
      <c r="W68" s="997"/>
      <c r="X68" s="997"/>
      <c r="AE68" s="997"/>
      <c r="AF68" s="997"/>
      <c r="AV68" s="997"/>
      <c r="AW68" s="997"/>
      <c r="AX68" s="997"/>
      <c r="AY68" s="997"/>
      <c r="AZ68" s="997"/>
      <c r="BA68" s="997"/>
      <c r="BC68" s="997"/>
      <c r="BE68" s="997"/>
      <c r="BF68" s="997"/>
      <c r="BG68" s="997"/>
    </row>
    <row r="69" spans="18:59" x14ac:dyDescent="0.35">
      <c r="R69" s="997"/>
      <c r="S69" s="997"/>
      <c r="W69" s="997"/>
      <c r="X69" s="997"/>
      <c r="AE69" s="997"/>
      <c r="AF69" s="997"/>
      <c r="AV69" s="997"/>
      <c r="AW69" s="997"/>
      <c r="AX69" s="997"/>
      <c r="AY69" s="997"/>
      <c r="AZ69" s="997"/>
      <c r="BA69" s="997"/>
      <c r="BC69" s="997"/>
      <c r="BE69" s="997"/>
      <c r="BF69" s="997"/>
      <c r="BG69" s="997"/>
    </row>
    <row r="70" spans="18:59" x14ac:dyDescent="0.35">
      <c r="R70" s="997"/>
      <c r="S70" s="997"/>
      <c r="W70" s="997"/>
      <c r="X70" s="997"/>
      <c r="AE70" s="997"/>
      <c r="AF70" s="997"/>
      <c r="AV70" s="997"/>
      <c r="AW70" s="997"/>
      <c r="AX70" s="997"/>
      <c r="AY70" s="997"/>
      <c r="AZ70" s="997"/>
      <c r="BA70" s="997"/>
      <c r="BC70" s="997"/>
      <c r="BE70" s="997"/>
      <c r="BF70" s="997"/>
      <c r="BG70" s="997"/>
    </row>
    <row r="71" spans="18:59" x14ac:dyDescent="0.35">
      <c r="R71" s="997"/>
      <c r="S71" s="997"/>
      <c r="W71" s="997"/>
      <c r="X71" s="997"/>
      <c r="AE71" s="997"/>
      <c r="AF71" s="997"/>
      <c r="AV71" s="997"/>
      <c r="AW71" s="997"/>
      <c r="AX71" s="997"/>
      <c r="AY71" s="997"/>
      <c r="AZ71" s="997"/>
      <c r="BA71" s="997"/>
      <c r="BC71" s="997"/>
      <c r="BE71" s="997"/>
      <c r="BF71" s="997"/>
      <c r="BG71" s="997"/>
    </row>
    <row r="72" spans="18:59" x14ac:dyDescent="0.35">
      <c r="R72" s="997"/>
      <c r="S72" s="997"/>
      <c r="W72" s="997"/>
      <c r="X72" s="997"/>
      <c r="AE72" s="997"/>
      <c r="AF72" s="997"/>
      <c r="AV72" s="997"/>
      <c r="AW72" s="997"/>
      <c r="AX72" s="997"/>
      <c r="AY72" s="997"/>
      <c r="AZ72" s="997"/>
      <c r="BA72" s="997"/>
      <c r="BC72" s="997"/>
      <c r="BE72" s="997"/>
      <c r="BF72" s="997"/>
      <c r="BG72" s="997"/>
    </row>
    <row r="73" spans="18:59" x14ac:dyDescent="0.35">
      <c r="R73" s="997"/>
      <c r="S73" s="997"/>
      <c r="W73" s="997"/>
      <c r="X73" s="997"/>
      <c r="AE73" s="997"/>
      <c r="AF73" s="997"/>
      <c r="AV73" s="997"/>
      <c r="AW73" s="997"/>
      <c r="AX73" s="997"/>
      <c r="AY73" s="997"/>
      <c r="AZ73" s="997"/>
      <c r="BA73" s="997"/>
      <c r="BC73" s="997"/>
      <c r="BE73" s="997"/>
      <c r="BF73" s="997"/>
      <c r="BG73" s="997"/>
    </row>
    <row r="74" spans="18:59" x14ac:dyDescent="0.35">
      <c r="R74" s="997"/>
      <c r="S74" s="997"/>
      <c r="W74" s="997"/>
      <c r="X74" s="997"/>
      <c r="AE74" s="997"/>
      <c r="AF74" s="997"/>
      <c r="AV74" s="997"/>
      <c r="AW74" s="997"/>
      <c r="AX74" s="997"/>
      <c r="AY74" s="997"/>
      <c r="AZ74" s="997"/>
      <c r="BA74" s="997"/>
      <c r="BC74" s="997"/>
      <c r="BE74" s="997"/>
      <c r="BF74" s="997"/>
      <c r="BG74" s="997"/>
    </row>
    <row r="75" spans="18:59" x14ac:dyDescent="0.35">
      <c r="R75" s="997"/>
      <c r="S75" s="997"/>
      <c r="W75" s="997"/>
      <c r="X75" s="997"/>
      <c r="AE75" s="997"/>
      <c r="AF75" s="997"/>
      <c r="AV75" s="997"/>
      <c r="AW75" s="997"/>
      <c r="AX75" s="997"/>
      <c r="AY75" s="997"/>
      <c r="AZ75" s="997"/>
      <c r="BA75" s="997"/>
      <c r="BC75" s="997"/>
      <c r="BE75" s="997"/>
      <c r="BF75" s="997"/>
      <c r="BG75" s="997"/>
    </row>
    <row r="76" spans="18:59" x14ac:dyDescent="0.35">
      <c r="R76" s="997"/>
      <c r="S76" s="997"/>
      <c r="W76" s="997"/>
      <c r="X76" s="997"/>
      <c r="AE76" s="997"/>
      <c r="AF76" s="997"/>
      <c r="AV76" s="997"/>
      <c r="AW76" s="997"/>
      <c r="AX76" s="997"/>
      <c r="AY76" s="997"/>
      <c r="AZ76" s="997"/>
      <c r="BA76" s="997"/>
      <c r="BC76" s="997"/>
      <c r="BE76" s="997"/>
      <c r="BF76" s="997"/>
      <c r="BG76" s="997"/>
    </row>
    <row r="77" spans="18:59" x14ac:dyDescent="0.35">
      <c r="R77" s="997"/>
      <c r="S77" s="997"/>
      <c r="W77" s="997"/>
      <c r="X77" s="997"/>
      <c r="AE77" s="997"/>
      <c r="AF77" s="997"/>
      <c r="AV77" s="997"/>
      <c r="AW77" s="997"/>
      <c r="AX77" s="997"/>
      <c r="AY77" s="997"/>
      <c r="AZ77" s="997"/>
      <c r="BA77" s="997"/>
      <c r="BC77" s="997"/>
      <c r="BE77" s="997"/>
      <c r="BF77" s="997"/>
      <c r="BG77" s="997"/>
    </row>
    <row r="78" spans="18:59" x14ac:dyDescent="0.35">
      <c r="R78" s="997"/>
      <c r="S78" s="997"/>
      <c r="W78" s="997"/>
      <c r="X78" s="997"/>
      <c r="AE78" s="997"/>
      <c r="AF78" s="997"/>
      <c r="AV78" s="997"/>
      <c r="AW78" s="997"/>
      <c r="AX78" s="997"/>
      <c r="AY78" s="997"/>
      <c r="AZ78" s="997"/>
      <c r="BA78" s="997"/>
      <c r="BC78" s="997"/>
      <c r="BE78" s="997"/>
      <c r="BF78" s="997"/>
      <c r="BG78" s="997"/>
    </row>
    <row r="79" spans="18:59" x14ac:dyDescent="0.35">
      <c r="R79" s="997"/>
      <c r="S79" s="997"/>
      <c r="W79" s="997"/>
      <c r="X79" s="997"/>
      <c r="AE79" s="997"/>
      <c r="AF79" s="997"/>
      <c r="AV79" s="997"/>
      <c r="AW79" s="997"/>
      <c r="AX79" s="997"/>
      <c r="AY79" s="997"/>
      <c r="AZ79" s="997"/>
      <c r="BA79" s="997"/>
      <c r="BC79" s="997"/>
      <c r="BE79" s="997"/>
      <c r="BF79" s="997"/>
      <c r="BG79" s="997"/>
    </row>
    <row r="80" spans="18:59" x14ac:dyDescent="0.35">
      <c r="R80" s="997"/>
      <c r="S80" s="997"/>
      <c r="W80" s="997"/>
      <c r="X80" s="997"/>
      <c r="AE80" s="997"/>
      <c r="AF80" s="997"/>
      <c r="AV80" s="997"/>
      <c r="AW80" s="997"/>
      <c r="AX80" s="997"/>
      <c r="AY80" s="997"/>
      <c r="AZ80" s="997"/>
      <c r="BA80" s="997"/>
      <c r="BC80" s="997"/>
      <c r="BE80" s="997"/>
      <c r="BF80" s="997"/>
      <c r="BG80" s="997"/>
    </row>
    <row r="81" spans="18:59" x14ac:dyDescent="0.35">
      <c r="R81" s="997"/>
      <c r="S81" s="997"/>
      <c r="W81" s="997"/>
      <c r="X81" s="997"/>
      <c r="AE81" s="997"/>
      <c r="AF81" s="997"/>
      <c r="AV81" s="997"/>
      <c r="AW81" s="997"/>
      <c r="AX81" s="997"/>
      <c r="AY81" s="997"/>
      <c r="AZ81" s="997"/>
      <c r="BA81" s="997"/>
      <c r="BC81" s="997"/>
      <c r="BE81" s="997"/>
      <c r="BF81" s="997"/>
      <c r="BG81" s="997"/>
    </row>
    <row r="82" spans="18:59" x14ac:dyDescent="0.35">
      <c r="R82" s="997"/>
      <c r="S82" s="997"/>
      <c r="W82" s="997"/>
      <c r="X82" s="997"/>
      <c r="AE82" s="997"/>
      <c r="AF82" s="997"/>
      <c r="AV82" s="997"/>
      <c r="AW82" s="997"/>
      <c r="AX82" s="997"/>
      <c r="AY82" s="997"/>
      <c r="AZ82" s="997"/>
      <c r="BA82" s="997"/>
      <c r="BC82" s="997"/>
      <c r="BE82" s="997"/>
      <c r="BF82" s="997"/>
      <c r="BG82" s="997"/>
    </row>
    <row r="83" spans="18:59" x14ac:dyDescent="0.35">
      <c r="R83" s="997"/>
      <c r="S83" s="997"/>
      <c r="W83" s="997"/>
      <c r="X83" s="997"/>
      <c r="AE83" s="997"/>
      <c r="AF83" s="997"/>
      <c r="AV83" s="997"/>
      <c r="AW83" s="997"/>
      <c r="AX83" s="997"/>
      <c r="AY83" s="997"/>
      <c r="AZ83" s="997"/>
      <c r="BA83" s="997"/>
      <c r="BC83" s="997"/>
      <c r="BE83" s="997"/>
      <c r="BF83" s="997"/>
      <c r="BG83" s="997"/>
    </row>
    <row r="84" spans="18:59" x14ac:dyDescent="0.35">
      <c r="R84" s="997"/>
      <c r="S84" s="997"/>
      <c r="W84" s="997"/>
      <c r="X84" s="997"/>
      <c r="AE84" s="997"/>
      <c r="AF84" s="997"/>
      <c r="AV84" s="997"/>
      <c r="AW84" s="997"/>
      <c r="AX84" s="997"/>
      <c r="AY84" s="997"/>
      <c r="AZ84" s="997"/>
      <c r="BA84" s="997"/>
      <c r="BC84" s="997"/>
      <c r="BE84" s="997"/>
      <c r="BF84" s="997"/>
      <c r="BG84" s="997"/>
    </row>
    <row r="85" spans="18:59" x14ac:dyDescent="0.35">
      <c r="R85" s="997"/>
      <c r="S85" s="997"/>
      <c r="W85" s="997"/>
      <c r="X85" s="997"/>
      <c r="AE85" s="997"/>
      <c r="AF85" s="997"/>
      <c r="AV85" s="997"/>
      <c r="AW85" s="997"/>
      <c r="AX85" s="997"/>
      <c r="AY85" s="997"/>
      <c r="AZ85" s="997"/>
      <c r="BA85" s="997"/>
      <c r="BC85" s="997"/>
      <c r="BE85" s="997"/>
      <c r="BF85" s="997"/>
      <c r="BG85" s="997"/>
    </row>
    <row r="86" spans="18:59" x14ac:dyDescent="0.35">
      <c r="R86" s="997"/>
      <c r="S86" s="997"/>
      <c r="W86" s="997"/>
      <c r="X86" s="997"/>
      <c r="AE86" s="997"/>
      <c r="AF86" s="997"/>
      <c r="AV86" s="997"/>
      <c r="AW86" s="997"/>
      <c r="AX86" s="997"/>
      <c r="AY86" s="997"/>
      <c r="AZ86" s="997"/>
      <c r="BA86" s="997"/>
      <c r="BC86" s="997"/>
      <c r="BE86" s="997"/>
      <c r="BF86" s="997"/>
      <c r="BG86" s="997"/>
    </row>
    <row r="87" spans="18:59" x14ac:dyDescent="0.35">
      <c r="R87" s="997"/>
      <c r="S87" s="997"/>
      <c r="W87" s="997"/>
      <c r="X87" s="997"/>
      <c r="AE87" s="997"/>
      <c r="AF87" s="997"/>
      <c r="AV87" s="997"/>
      <c r="AW87" s="997"/>
      <c r="AX87" s="997"/>
      <c r="AY87" s="997"/>
      <c r="AZ87" s="997"/>
      <c r="BA87" s="997"/>
      <c r="BC87" s="997"/>
      <c r="BE87" s="997"/>
      <c r="BF87" s="997"/>
      <c r="BG87" s="997"/>
    </row>
    <row r="88" spans="18:59" x14ac:dyDescent="0.35">
      <c r="R88" s="997"/>
      <c r="S88" s="997"/>
      <c r="W88" s="997"/>
      <c r="X88" s="997"/>
      <c r="AE88" s="997"/>
      <c r="AF88" s="997"/>
      <c r="AV88" s="997"/>
      <c r="AW88" s="997"/>
      <c r="AX88" s="997"/>
      <c r="AY88" s="997"/>
      <c r="AZ88" s="997"/>
      <c r="BA88" s="997"/>
      <c r="BC88" s="997"/>
      <c r="BE88" s="997"/>
      <c r="BF88" s="997"/>
      <c r="BG88" s="997"/>
    </row>
    <row r="89" spans="18:59" x14ac:dyDescent="0.35">
      <c r="R89" s="997"/>
      <c r="S89" s="997"/>
      <c r="W89" s="997"/>
      <c r="X89" s="997"/>
      <c r="AE89" s="997"/>
      <c r="AF89" s="997"/>
      <c r="AV89" s="997"/>
      <c r="AW89" s="997"/>
      <c r="AX89" s="997"/>
      <c r="AY89" s="997"/>
      <c r="AZ89" s="997"/>
      <c r="BA89" s="997"/>
      <c r="BC89" s="997"/>
      <c r="BE89" s="997"/>
      <c r="BF89" s="997"/>
      <c r="BG89" s="997"/>
    </row>
    <row r="90" spans="18:59" x14ac:dyDescent="0.35">
      <c r="R90" s="997"/>
      <c r="S90" s="997"/>
      <c r="W90" s="997"/>
      <c r="X90" s="997"/>
      <c r="AE90" s="997"/>
      <c r="AF90" s="997"/>
      <c r="AV90" s="997"/>
      <c r="AW90" s="997"/>
      <c r="AX90" s="997"/>
      <c r="AY90" s="997"/>
      <c r="AZ90" s="997"/>
      <c r="BA90" s="997"/>
      <c r="BC90" s="997"/>
      <c r="BE90" s="997"/>
      <c r="BF90" s="997"/>
      <c r="BG90" s="997"/>
    </row>
    <row r="91" spans="18:59" x14ac:dyDescent="0.35">
      <c r="R91" s="997"/>
      <c r="S91" s="997"/>
      <c r="W91" s="997"/>
      <c r="X91" s="997"/>
      <c r="AE91" s="997"/>
      <c r="AF91" s="997"/>
      <c r="AV91" s="997"/>
      <c r="AW91" s="997"/>
      <c r="AX91" s="997"/>
      <c r="AY91" s="997"/>
      <c r="AZ91" s="997"/>
      <c r="BA91" s="997"/>
      <c r="BC91" s="997"/>
      <c r="BE91" s="997"/>
      <c r="BF91" s="997"/>
      <c r="BG91" s="997"/>
    </row>
    <row r="92" spans="18:59" x14ac:dyDescent="0.35">
      <c r="R92" s="997"/>
      <c r="S92" s="997"/>
      <c r="W92" s="997"/>
      <c r="X92" s="997"/>
      <c r="AE92" s="997"/>
      <c r="AF92" s="997"/>
      <c r="AV92" s="997"/>
      <c r="AW92" s="997"/>
      <c r="AX92" s="997"/>
      <c r="AY92" s="997"/>
      <c r="AZ92" s="997"/>
      <c r="BA92" s="997"/>
      <c r="BC92" s="997"/>
      <c r="BE92" s="997"/>
      <c r="BF92" s="997"/>
      <c r="BG92" s="997"/>
    </row>
    <row r="93" spans="18:59" x14ac:dyDescent="0.35">
      <c r="R93" s="997"/>
      <c r="S93" s="997"/>
      <c r="W93" s="997"/>
      <c r="X93" s="997"/>
      <c r="AE93" s="997"/>
      <c r="AF93" s="997"/>
      <c r="AV93" s="997"/>
      <c r="AW93" s="997"/>
      <c r="AX93" s="997"/>
      <c r="AY93" s="997"/>
      <c r="AZ93" s="997"/>
      <c r="BA93" s="997"/>
      <c r="BC93" s="997"/>
      <c r="BE93" s="997"/>
      <c r="BF93" s="997"/>
      <c r="BG93" s="997"/>
    </row>
    <row r="94" spans="18:59" x14ac:dyDescent="0.35">
      <c r="R94" s="997"/>
      <c r="S94" s="997"/>
      <c r="W94" s="997"/>
      <c r="X94" s="997"/>
      <c r="AE94" s="997"/>
      <c r="AF94" s="997"/>
      <c r="AV94" s="997"/>
      <c r="AW94" s="997"/>
      <c r="AX94" s="997"/>
      <c r="AY94" s="997"/>
      <c r="AZ94" s="997"/>
      <c r="BA94" s="997"/>
      <c r="BC94" s="997"/>
      <c r="BE94" s="997"/>
      <c r="BF94" s="997"/>
      <c r="BG94" s="997"/>
    </row>
    <row r="95" spans="18:59" x14ac:dyDescent="0.35">
      <c r="R95" s="997"/>
      <c r="S95" s="997"/>
      <c r="W95" s="997"/>
      <c r="X95" s="997"/>
      <c r="AE95" s="997"/>
      <c r="AF95" s="997"/>
      <c r="AV95" s="997"/>
      <c r="AW95" s="997"/>
      <c r="AX95" s="997"/>
      <c r="AY95" s="997"/>
      <c r="AZ95" s="997"/>
      <c r="BA95" s="997"/>
      <c r="BC95" s="997"/>
      <c r="BE95" s="997"/>
      <c r="BF95" s="997"/>
      <c r="BG95" s="997"/>
    </row>
    <row r="96" spans="18:59" x14ac:dyDescent="0.35">
      <c r="R96" s="997"/>
      <c r="S96" s="997"/>
      <c r="W96" s="997"/>
      <c r="X96" s="997"/>
      <c r="AE96" s="997"/>
      <c r="AF96" s="997"/>
      <c r="AV96" s="997"/>
      <c r="AW96" s="997"/>
      <c r="AX96" s="997"/>
      <c r="AY96" s="997"/>
      <c r="AZ96" s="997"/>
      <c r="BA96" s="997"/>
      <c r="BC96" s="997"/>
      <c r="BE96" s="997"/>
      <c r="BF96" s="997"/>
      <c r="BG96" s="997"/>
    </row>
    <row r="97" spans="18:59" x14ac:dyDescent="0.35">
      <c r="R97" s="997"/>
      <c r="S97" s="997"/>
      <c r="W97" s="997"/>
      <c r="X97" s="997"/>
      <c r="AE97" s="997"/>
      <c r="AF97" s="997"/>
      <c r="AV97" s="997"/>
      <c r="AW97" s="997"/>
      <c r="AX97" s="997"/>
      <c r="AY97" s="997"/>
      <c r="AZ97" s="997"/>
      <c r="BA97" s="997"/>
      <c r="BC97" s="997"/>
      <c r="BE97" s="997"/>
      <c r="BF97" s="997"/>
      <c r="BG97" s="997"/>
    </row>
    <row r="98" spans="18:59" x14ac:dyDescent="0.35">
      <c r="R98" s="997"/>
      <c r="S98" s="997"/>
      <c r="W98" s="997"/>
      <c r="X98" s="997"/>
      <c r="AE98" s="997"/>
      <c r="AF98" s="997"/>
      <c r="AV98" s="997"/>
      <c r="AW98" s="997"/>
      <c r="AX98" s="997"/>
      <c r="AY98" s="997"/>
      <c r="AZ98" s="997"/>
      <c r="BA98" s="997"/>
      <c r="BC98" s="997"/>
      <c r="BE98" s="997"/>
      <c r="BF98" s="997"/>
      <c r="BG98" s="997"/>
    </row>
    <row r="99" spans="18:59" x14ac:dyDescent="0.35">
      <c r="R99" s="997"/>
      <c r="S99" s="997"/>
      <c r="W99" s="997"/>
      <c r="X99" s="997"/>
      <c r="AE99" s="997"/>
      <c r="AF99" s="997"/>
      <c r="AV99" s="997"/>
      <c r="AW99" s="997"/>
      <c r="AX99" s="997"/>
      <c r="AY99" s="997"/>
      <c r="AZ99" s="997"/>
      <c r="BA99" s="997"/>
      <c r="BC99" s="997"/>
      <c r="BE99" s="997"/>
      <c r="BF99" s="997"/>
      <c r="BG99" s="997"/>
    </row>
    <row r="100" spans="18:59" x14ac:dyDescent="0.35">
      <c r="R100" s="997"/>
      <c r="S100" s="997"/>
      <c r="W100" s="997"/>
      <c r="X100" s="997"/>
      <c r="AE100" s="997"/>
      <c r="AF100" s="997"/>
      <c r="AV100" s="997"/>
      <c r="AW100" s="997"/>
      <c r="AX100" s="997"/>
      <c r="AY100" s="997"/>
      <c r="AZ100" s="997"/>
      <c r="BA100" s="997"/>
      <c r="BC100" s="997"/>
      <c r="BE100" s="997"/>
      <c r="BF100" s="997"/>
      <c r="BG100" s="997"/>
    </row>
    <row r="101" spans="18:59" x14ac:dyDescent="0.35">
      <c r="R101" s="997"/>
      <c r="S101" s="997"/>
      <c r="W101" s="997"/>
      <c r="X101" s="997"/>
      <c r="AE101" s="997"/>
      <c r="AF101" s="997"/>
      <c r="AV101" s="997"/>
      <c r="AW101" s="997"/>
      <c r="AX101" s="997"/>
      <c r="AY101" s="997"/>
      <c r="AZ101" s="997"/>
      <c r="BA101" s="997"/>
      <c r="BC101" s="997"/>
      <c r="BE101" s="997"/>
      <c r="BF101" s="997"/>
      <c r="BG101" s="997"/>
    </row>
    <row r="102" spans="18:59" x14ac:dyDescent="0.35">
      <c r="R102" s="997"/>
      <c r="S102" s="997"/>
      <c r="W102" s="997"/>
      <c r="X102" s="997"/>
      <c r="AE102" s="997"/>
      <c r="AF102" s="997"/>
      <c r="AV102" s="997"/>
      <c r="AW102" s="997"/>
      <c r="AX102" s="997"/>
      <c r="AY102" s="997"/>
      <c r="AZ102" s="997"/>
      <c r="BA102" s="997"/>
      <c r="BC102" s="997"/>
      <c r="BE102" s="997"/>
      <c r="BF102" s="997"/>
      <c r="BG102" s="997"/>
    </row>
    <row r="103" spans="18:59" x14ac:dyDescent="0.35">
      <c r="R103" s="997"/>
      <c r="S103" s="997"/>
      <c r="W103" s="997"/>
      <c r="X103" s="997"/>
      <c r="AE103" s="997"/>
      <c r="AF103" s="997"/>
      <c r="AV103" s="997"/>
      <c r="AW103" s="997"/>
      <c r="AX103" s="997"/>
      <c r="AY103" s="997"/>
      <c r="AZ103" s="997"/>
      <c r="BA103" s="997"/>
      <c r="BC103" s="997"/>
      <c r="BE103" s="997"/>
      <c r="BF103" s="997"/>
      <c r="BG103" s="997"/>
    </row>
    <row r="104" spans="18:59" x14ac:dyDescent="0.35">
      <c r="R104" s="997"/>
      <c r="S104" s="997"/>
      <c r="W104" s="997"/>
      <c r="X104" s="997"/>
      <c r="AE104" s="997"/>
      <c r="AF104" s="997"/>
      <c r="AV104" s="997"/>
      <c r="AW104" s="997"/>
      <c r="AX104" s="997"/>
      <c r="AY104" s="997"/>
      <c r="AZ104" s="997"/>
      <c r="BA104" s="997"/>
      <c r="BC104" s="997"/>
      <c r="BE104" s="997"/>
      <c r="BF104" s="997"/>
      <c r="BG104" s="997"/>
    </row>
    <row r="105" spans="18:59" x14ac:dyDescent="0.35">
      <c r="R105" s="997"/>
      <c r="S105" s="997"/>
      <c r="W105" s="997"/>
      <c r="X105" s="997"/>
      <c r="AE105" s="997"/>
      <c r="AF105" s="997"/>
      <c r="AV105" s="997"/>
      <c r="AW105" s="997"/>
      <c r="AX105" s="997"/>
      <c r="AY105" s="997"/>
      <c r="AZ105" s="997"/>
      <c r="BA105" s="997"/>
      <c r="BC105" s="997"/>
      <c r="BE105" s="997"/>
      <c r="BF105" s="997"/>
      <c r="BG105" s="997"/>
    </row>
    <row r="106" spans="18:59" x14ac:dyDescent="0.35">
      <c r="R106" s="997"/>
      <c r="S106" s="997"/>
      <c r="W106" s="997"/>
      <c r="X106" s="997"/>
      <c r="AE106" s="997"/>
      <c r="AF106" s="997"/>
      <c r="AV106" s="997"/>
      <c r="AW106" s="997"/>
      <c r="AX106" s="997"/>
      <c r="AY106" s="997"/>
      <c r="AZ106" s="997"/>
      <c r="BA106" s="997"/>
      <c r="BC106" s="997"/>
      <c r="BE106" s="997"/>
      <c r="BF106" s="997"/>
      <c r="BG106" s="997"/>
    </row>
    <row r="107" spans="18:59" x14ac:dyDescent="0.35">
      <c r="R107" s="997"/>
      <c r="S107" s="997"/>
      <c r="W107" s="997"/>
      <c r="X107" s="997"/>
      <c r="AE107" s="997"/>
      <c r="AF107" s="997"/>
      <c r="AV107" s="997"/>
      <c r="AW107" s="997"/>
      <c r="AX107" s="997"/>
      <c r="AY107" s="997"/>
      <c r="AZ107" s="997"/>
      <c r="BA107" s="997"/>
      <c r="BC107" s="997"/>
      <c r="BE107" s="997"/>
      <c r="BF107" s="997"/>
      <c r="BG107" s="997"/>
    </row>
    <row r="108" spans="18:59" x14ac:dyDescent="0.35">
      <c r="R108" s="997"/>
      <c r="S108" s="997"/>
      <c r="W108" s="997"/>
      <c r="X108" s="997"/>
      <c r="AE108" s="997"/>
      <c r="AF108" s="997"/>
      <c r="AV108" s="997"/>
      <c r="AW108" s="997"/>
      <c r="AX108" s="997"/>
      <c r="AY108" s="997"/>
      <c r="AZ108" s="997"/>
      <c r="BA108" s="997"/>
      <c r="BC108" s="997"/>
      <c r="BE108" s="997"/>
      <c r="BF108" s="997"/>
      <c r="BG108" s="997"/>
    </row>
    <row r="109" spans="18:59" x14ac:dyDescent="0.35">
      <c r="R109" s="997"/>
      <c r="S109" s="997"/>
      <c r="W109" s="997"/>
      <c r="X109" s="997"/>
      <c r="AE109" s="997"/>
      <c r="AF109" s="997"/>
      <c r="AV109" s="997"/>
      <c r="AW109" s="997"/>
      <c r="AX109" s="997"/>
      <c r="AY109" s="997"/>
      <c r="AZ109" s="997"/>
      <c r="BA109" s="997"/>
      <c r="BC109" s="997"/>
      <c r="BE109" s="997"/>
      <c r="BF109" s="997"/>
      <c r="BG109" s="997"/>
    </row>
    <row r="110" spans="18:59" x14ac:dyDescent="0.35">
      <c r="R110" s="997"/>
      <c r="S110" s="997"/>
      <c r="W110" s="997"/>
      <c r="X110" s="997"/>
      <c r="AE110" s="997"/>
      <c r="AF110" s="997"/>
      <c r="AV110" s="997"/>
      <c r="AW110" s="997"/>
      <c r="AX110" s="997"/>
      <c r="AY110" s="997"/>
      <c r="AZ110" s="997"/>
      <c r="BA110" s="997"/>
      <c r="BC110" s="997"/>
      <c r="BE110" s="997"/>
      <c r="BF110" s="997"/>
      <c r="BG110" s="997"/>
    </row>
    <row r="111" spans="18:59" x14ac:dyDescent="0.35">
      <c r="R111" s="997"/>
      <c r="S111" s="997"/>
      <c r="W111" s="997"/>
      <c r="X111" s="997"/>
      <c r="AE111" s="997"/>
      <c r="AF111" s="997"/>
      <c r="AV111" s="997"/>
      <c r="AW111" s="997"/>
      <c r="AX111" s="997"/>
      <c r="AY111" s="997"/>
      <c r="AZ111" s="997"/>
      <c r="BA111" s="997"/>
      <c r="BC111" s="997"/>
      <c r="BE111" s="997"/>
      <c r="BF111" s="997"/>
      <c r="BG111" s="997"/>
    </row>
    <row r="112" spans="18:59" x14ac:dyDescent="0.35">
      <c r="R112" s="997"/>
      <c r="S112" s="997"/>
      <c r="W112" s="997"/>
      <c r="X112" s="997"/>
      <c r="AE112" s="997"/>
      <c r="AF112" s="997"/>
      <c r="AV112" s="997"/>
      <c r="AW112" s="997"/>
      <c r="AX112" s="997"/>
      <c r="AY112" s="997"/>
      <c r="AZ112" s="997"/>
      <c r="BA112" s="997"/>
      <c r="BC112" s="997"/>
      <c r="BE112" s="997"/>
      <c r="BF112" s="997"/>
      <c r="BG112" s="997"/>
    </row>
    <row r="113" spans="18:59" x14ac:dyDescent="0.35">
      <c r="R113" s="997"/>
      <c r="S113" s="997"/>
      <c r="W113" s="997"/>
      <c r="X113" s="997"/>
      <c r="AE113" s="997"/>
      <c r="AF113" s="997"/>
      <c r="AV113" s="997"/>
      <c r="AW113" s="997"/>
      <c r="AX113" s="997"/>
      <c r="AY113" s="997"/>
      <c r="AZ113" s="997"/>
      <c r="BA113" s="997"/>
      <c r="BC113" s="997"/>
      <c r="BE113" s="997"/>
      <c r="BF113" s="997"/>
      <c r="BG113" s="997"/>
    </row>
    <row r="114" spans="18:59" x14ac:dyDescent="0.35">
      <c r="R114" s="997"/>
      <c r="S114" s="997"/>
      <c r="W114" s="997"/>
      <c r="X114" s="997"/>
      <c r="AE114" s="997"/>
      <c r="AF114" s="997"/>
      <c r="AV114" s="997"/>
      <c r="AW114" s="997"/>
      <c r="AX114" s="997"/>
      <c r="AY114" s="997"/>
      <c r="AZ114" s="997"/>
      <c r="BA114" s="997"/>
      <c r="BC114" s="997"/>
      <c r="BE114" s="997"/>
      <c r="BF114" s="997"/>
      <c r="BG114" s="997"/>
    </row>
    <row r="115" spans="18:59" x14ac:dyDescent="0.35">
      <c r="R115" s="997"/>
      <c r="S115" s="997"/>
      <c r="W115" s="997"/>
      <c r="X115" s="997"/>
      <c r="AE115" s="997"/>
      <c r="AF115" s="997"/>
      <c r="AV115" s="997"/>
      <c r="AW115" s="997"/>
      <c r="AX115" s="997"/>
      <c r="AY115" s="997"/>
      <c r="AZ115" s="997"/>
      <c r="BA115" s="997"/>
      <c r="BC115" s="997"/>
      <c r="BE115" s="997"/>
      <c r="BF115" s="997"/>
      <c r="BG115" s="997"/>
    </row>
    <row r="116" spans="18:59" x14ac:dyDescent="0.35">
      <c r="R116" s="997"/>
      <c r="S116" s="997"/>
      <c r="W116" s="997"/>
      <c r="X116" s="997"/>
      <c r="AE116" s="997"/>
      <c r="AF116" s="997"/>
      <c r="AV116" s="997"/>
      <c r="AW116" s="997"/>
      <c r="AX116" s="997"/>
      <c r="AY116" s="997"/>
      <c r="AZ116" s="997"/>
      <c r="BA116" s="997"/>
      <c r="BC116" s="997"/>
      <c r="BE116" s="997"/>
      <c r="BF116" s="997"/>
      <c r="BG116" s="997"/>
    </row>
    <row r="117" spans="18:59" x14ac:dyDescent="0.35">
      <c r="R117" s="997"/>
      <c r="S117" s="997"/>
      <c r="W117" s="997"/>
      <c r="X117" s="997"/>
      <c r="AE117" s="997"/>
      <c r="AF117" s="997"/>
      <c r="AV117" s="997"/>
      <c r="AW117" s="997"/>
      <c r="AX117" s="997"/>
      <c r="AY117" s="997"/>
      <c r="AZ117" s="997"/>
      <c r="BA117" s="997"/>
      <c r="BC117" s="997"/>
      <c r="BE117" s="997"/>
      <c r="BF117" s="997"/>
      <c r="BG117" s="997"/>
    </row>
    <row r="118" spans="18:59" x14ac:dyDescent="0.35">
      <c r="R118" s="997"/>
      <c r="S118" s="997"/>
      <c r="W118" s="997"/>
      <c r="X118" s="997"/>
      <c r="AE118" s="997"/>
      <c r="AF118" s="997"/>
      <c r="AV118" s="997"/>
      <c r="AW118" s="997"/>
      <c r="AX118" s="997"/>
      <c r="AY118" s="997"/>
      <c r="AZ118" s="997"/>
      <c r="BA118" s="997"/>
      <c r="BC118" s="997"/>
      <c r="BE118" s="997"/>
      <c r="BF118" s="997"/>
      <c r="BG118" s="997"/>
    </row>
    <row r="119" spans="18:59" x14ac:dyDescent="0.35">
      <c r="R119" s="997"/>
      <c r="S119" s="997"/>
      <c r="W119" s="997"/>
      <c r="X119" s="997"/>
      <c r="AE119" s="997"/>
      <c r="AF119" s="997"/>
      <c r="AV119" s="997"/>
      <c r="AW119" s="997"/>
      <c r="AX119" s="997"/>
      <c r="AY119" s="997"/>
      <c r="AZ119" s="997"/>
      <c r="BA119" s="997"/>
      <c r="BC119" s="997"/>
      <c r="BE119" s="997"/>
      <c r="BF119" s="997"/>
      <c r="BG119" s="997"/>
    </row>
    <row r="120" spans="18:59" x14ac:dyDescent="0.35">
      <c r="R120" s="997"/>
      <c r="S120" s="997"/>
      <c r="W120" s="997"/>
      <c r="X120" s="997"/>
      <c r="AE120" s="997"/>
      <c r="AF120" s="997"/>
      <c r="AV120" s="997"/>
      <c r="AW120" s="997"/>
      <c r="AX120" s="997"/>
      <c r="AY120" s="997"/>
      <c r="AZ120" s="997"/>
      <c r="BA120" s="997"/>
      <c r="BC120" s="997"/>
      <c r="BE120" s="997"/>
      <c r="BF120" s="997"/>
      <c r="BG120" s="997"/>
    </row>
    <row r="121" spans="18:59" x14ac:dyDescent="0.35">
      <c r="R121" s="997"/>
      <c r="S121" s="997"/>
      <c r="W121" s="997"/>
      <c r="X121" s="997"/>
      <c r="AE121" s="997"/>
      <c r="AF121" s="997"/>
      <c r="AV121" s="997"/>
      <c r="AW121" s="997"/>
      <c r="AX121" s="997"/>
      <c r="AY121" s="997"/>
      <c r="AZ121" s="997"/>
      <c r="BA121" s="997"/>
      <c r="BC121" s="997"/>
      <c r="BE121" s="997"/>
      <c r="BF121" s="997"/>
      <c r="BG121" s="997"/>
    </row>
    <row r="122" spans="18:59" x14ac:dyDescent="0.35">
      <c r="R122" s="997"/>
      <c r="S122" s="997"/>
      <c r="W122" s="997"/>
      <c r="X122" s="997"/>
      <c r="AE122" s="997"/>
      <c r="AF122" s="997"/>
      <c r="AV122" s="997"/>
      <c r="AW122" s="997"/>
      <c r="AX122" s="997"/>
      <c r="AY122" s="997"/>
      <c r="AZ122" s="997"/>
      <c r="BA122" s="997"/>
      <c r="BC122" s="997"/>
      <c r="BE122" s="997"/>
      <c r="BF122" s="997"/>
      <c r="BG122" s="997"/>
    </row>
    <row r="123" spans="18:59" x14ac:dyDescent="0.35">
      <c r="R123" s="997"/>
      <c r="S123" s="997"/>
      <c r="W123" s="997"/>
      <c r="X123" s="997"/>
      <c r="AE123" s="997"/>
      <c r="AF123" s="997"/>
      <c r="AV123" s="997"/>
      <c r="AW123" s="997"/>
      <c r="AX123" s="997"/>
      <c r="AY123" s="997"/>
      <c r="AZ123" s="997"/>
      <c r="BA123" s="997"/>
      <c r="BC123" s="997"/>
      <c r="BE123" s="997"/>
      <c r="BF123" s="997"/>
      <c r="BG123" s="997"/>
    </row>
    <row r="124" spans="18:59" x14ac:dyDescent="0.35">
      <c r="R124" s="997"/>
      <c r="S124" s="997"/>
      <c r="W124" s="997"/>
      <c r="X124" s="997"/>
      <c r="AE124" s="997"/>
      <c r="AF124" s="997"/>
      <c r="AV124" s="997"/>
      <c r="AW124" s="997"/>
      <c r="AX124" s="997"/>
      <c r="AY124" s="997"/>
      <c r="AZ124" s="997"/>
      <c r="BA124" s="997"/>
      <c r="BC124" s="997"/>
      <c r="BE124" s="997"/>
      <c r="BF124" s="997"/>
      <c r="BG124" s="997"/>
    </row>
    <row r="125" spans="18:59" x14ac:dyDescent="0.35">
      <c r="R125" s="997"/>
      <c r="S125" s="997"/>
      <c r="W125" s="997"/>
      <c r="X125" s="997"/>
      <c r="AE125" s="997"/>
      <c r="AF125" s="997"/>
      <c r="AV125" s="997"/>
      <c r="AW125" s="997"/>
      <c r="AX125" s="997"/>
      <c r="AY125" s="997"/>
      <c r="AZ125" s="997"/>
      <c r="BA125" s="997"/>
      <c r="BC125" s="997"/>
      <c r="BE125" s="997"/>
      <c r="BF125" s="997"/>
      <c r="BG125" s="997"/>
    </row>
    <row r="126" spans="18:59" x14ac:dyDescent="0.35">
      <c r="R126" s="997"/>
      <c r="S126" s="997"/>
      <c r="W126" s="997"/>
      <c r="X126" s="997"/>
      <c r="AE126" s="997"/>
      <c r="AF126" s="997"/>
      <c r="AV126" s="997"/>
      <c r="AW126" s="997"/>
      <c r="AX126" s="997"/>
      <c r="AY126" s="997"/>
      <c r="AZ126" s="997"/>
      <c r="BA126" s="997"/>
      <c r="BC126" s="997"/>
      <c r="BE126" s="997"/>
      <c r="BF126" s="997"/>
      <c r="BG126" s="997"/>
    </row>
    <row r="127" spans="18:59" x14ac:dyDescent="0.35">
      <c r="R127" s="997"/>
      <c r="S127" s="997"/>
      <c r="W127" s="997"/>
      <c r="X127" s="997"/>
      <c r="AE127" s="997"/>
      <c r="AF127" s="997"/>
      <c r="AV127" s="997"/>
      <c r="AW127" s="997"/>
      <c r="AX127" s="997"/>
      <c r="AY127" s="997"/>
      <c r="AZ127" s="997"/>
      <c r="BA127" s="997"/>
      <c r="BC127" s="997"/>
      <c r="BE127" s="997"/>
      <c r="BF127" s="997"/>
      <c r="BG127" s="997"/>
    </row>
    <row r="128" spans="18:59" x14ac:dyDescent="0.35">
      <c r="R128" s="997"/>
      <c r="S128" s="997"/>
      <c r="W128" s="997"/>
      <c r="X128" s="997"/>
      <c r="AE128" s="997"/>
      <c r="AF128" s="997"/>
      <c r="AV128" s="997"/>
      <c r="AW128" s="997"/>
      <c r="AX128" s="997"/>
      <c r="AY128" s="997"/>
      <c r="AZ128" s="997"/>
      <c r="BA128" s="997"/>
      <c r="BC128" s="997"/>
      <c r="BE128" s="997"/>
      <c r="BF128" s="997"/>
      <c r="BG128" s="997"/>
    </row>
    <row r="129" spans="18:59" x14ac:dyDescent="0.35">
      <c r="R129" s="997"/>
      <c r="S129" s="997"/>
      <c r="W129" s="997"/>
      <c r="X129" s="997"/>
      <c r="AE129" s="997"/>
      <c r="AF129" s="997"/>
      <c r="AV129" s="997"/>
      <c r="AW129" s="997"/>
      <c r="AX129" s="997"/>
      <c r="AY129" s="997"/>
      <c r="AZ129" s="997"/>
      <c r="BA129" s="997"/>
      <c r="BC129" s="997"/>
      <c r="BE129" s="997"/>
      <c r="BF129" s="997"/>
      <c r="BG129" s="997"/>
    </row>
    <row r="130" spans="18:59" x14ac:dyDescent="0.35">
      <c r="R130" s="997"/>
      <c r="S130" s="997"/>
      <c r="W130" s="997"/>
      <c r="X130" s="997"/>
      <c r="AE130" s="997"/>
      <c r="AF130" s="997"/>
      <c r="AV130" s="997"/>
      <c r="AW130" s="997"/>
      <c r="AX130" s="997"/>
      <c r="AY130" s="997"/>
      <c r="AZ130" s="997"/>
      <c r="BA130" s="997"/>
      <c r="BC130" s="997"/>
      <c r="BE130" s="997"/>
      <c r="BF130" s="997"/>
      <c r="BG130" s="997"/>
    </row>
    <row r="131" spans="18:59" x14ac:dyDescent="0.35">
      <c r="R131" s="997"/>
      <c r="S131" s="997"/>
      <c r="W131" s="997"/>
      <c r="X131" s="997"/>
      <c r="AE131" s="997"/>
      <c r="AF131" s="997"/>
      <c r="AV131" s="997"/>
      <c r="AW131" s="997"/>
      <c r="AX131" s="997"/>
      <c r="AY131" s="997"/>
      <c r="AZ131" s="997"/>
      <c r="BA131" s="997"/>
      <c r="BC131" s="997"/>
      <c r="BE131" s="997"/>
      <c r="BF131" s="997"/>
      <c r="BG131" s="997"/>
    </row>
    <row r="132" spans="18:59" x14ac:dyDescent="0.35">
      <c r="R132" s="997"/>
      <c r="S132" s="997"/>
      <c r="W132" s="997"/>
      <c r="X132" s="997"/>
      <c r="AE132" s="997"/>
      <c r="AF132" s="997"/>
      <c r="AV132" s="997"/>
      <c r="AW132" s="997"/>
      <c r="AX132" s="997"/>
      <c r="AY132" s="997"/>
      <c r="AZ132" s="997"/>
      <c r="BA132" s="997"/>
      <c r="BC132" s="997"/>
      <c r="BE132" s="997"/>
      <c r="BF132" s="997"/>
      <c r="BG132" s="997"/>
    </row>
    <row r="133" spans="18:59" x14ac:dyDescent="0.35">
      <c r="R133" s="997"/>
      <c r="S133" s="997"/>
      <c r="W133" s="997"/>
      <c r="X133" s="997"/>
      <c r="AE133" s="997"/>
      <c r="AF133" s="997"/>
      <c r="AV133" s="997"/>
      <c r="AW133" s="997"/>
      <c r="AX133" s="997"/>
      <c r="AY133" s="997"/>
      <c r="AZ133" s="997"/>
      <c r="BA133" s="997"/>
      <c r="BC133" s="997"/>
      <c r="BE133" s="997"/>
      <c r="BF133" s="997"/>
      <c r="BG133" s="997"/>
    </row>
    <row r="134" spans="18:59" x14ac:dyDescent="0.35">
      <c r="R134" s="997"/>
      <c r="S134" s="997"/>
      <c r="W134" s="997"/>
      <c r="X134" s="997"/>
      <c r="AE134" s="997"/>
      <c r="AF134" s="997"/>
      <c r="AV134" s="997"/>
      <c r="AW134" s="997"/>
      <c r="AX134" s="997"/>
      <c r="AY134" s="997"/>
      <c r="AZ134" s="997"/>
      <c r="BA134" s="997"/>
      <c r="BC134" s="997"/>
      <c r="BE134" s="997"/>
      <c r="BF134" s="997"/>
      <c r="BG134" s="997"/>
    </row>
    <row r="135" spans="18:59" x14ac:dyDescent="0.35">
      <c r="R135" s="997"/>
      <c r="S135" s="997"/>
      <c r="W135" s="997"/>
      <c r="X135" s="997"/>
      <c r="AE135" s="997"/>
      <c r="AF135" s="997"/>
      <c r="AV135" s="997"/>
      <c r="AW135" s="997"/>
      <c r="AX135" s="997"/>
      <c r="AY135" s="997"/>
      <c r="AZ135" s="997"/>
      <c r="BA135" s="997"/>
      <c r="BC135" s="997"/>
      <c r="BE135" s="997"/>
      <c r="BF135" s="997"/>
      <c r="BG135" s="997"/>
    </row>
    <row r="136" spans="18:59" x14ac:dyDescent="0.35">
      <c r="R136" s="997"/>
      <c r="S136" s="997"/>
      <c r="W136" s="997"/>
      <c r="X136" s="997"/>
      <c r="AE136" s="997"/>
      <c r="AF136" s="997"/>
      <c r="AV136" s="997"/>
      <c r="AW136" s="997"/>
      <c r="AX136" s="997"/>
      <c r="AY136" s="997"/>
      <c r="AZ136" s="997"/>
      <c r="BA136" s="997"/>
      <c r="BC136" s="997"/>
      <c r="BE136" s="997"/>
      <c r="BF136" s="997"/>
      <c r="BG136" s="997"/>
    </row>
    <row r="137" spans="18:59" x14ac:dyDescent="0.35">
      <c r="R137" s="997"/>
      <c r="S137" s="997"/>
      <c r="W137" s="997"/>
      <c r="X137" s="997"/>
      <c r="AE137" s="997"/>
      <c r="AF137" s="997"/>
      <c r="AV137" s="997"/>
      <c r="AW137" s="997"/>
      <c r="AX137" s="997"/>
      <c r="AY137" s="997"/>
      <c r="AZ137" s="997"/>
      <c r="BA137" s="997"/>
      <c r="BC137" s="997"/>
      <c r="BE137" s="997"/>
      <c r="BF137" s="997"/>
      <c r="BG137" s="997"/>
    </row>
    <row r="138" spans="18:59" x14ac:dyDescent="0.35">
      <c r="R138" s="997"/>
      <c r="S138" s="997"/>
      <c r="W138" s="997"/>
      <c r="X138" s="997"/>
      <c r="AE138" s="997"/>
      <c r="AF138" s="997"/>
      <c r="AV138" s="997"/>
      <c r="AW138" s="997"/>
      <c r="AX138" s="997"/>
      <c r="AY138" s="997"/>
      <c r="AZ138" s="997"/>
      <c r="BA138" s="997"/>
      <c r="BC138" s="997"/>
      <c r="BE138" s="997"/>
      <c r="BF138" s="997"/>
      <c r="BG138" s="997"/>
    </row>
    <row r="139" spans="18:59" x14ac:dyDescent="0.35">
      <c r="R139" s="997"/>
      <c r="S139" s="997"/>
      <c r="W139" s="997"/>
      <c r="X139" s="997"/>
      <c r="AE139" s="997"/>
      <c r="AF139" s="997"/>
      <c r="AV139" s="997"/>
      <c r="AW139" s="997"/>
      <c r="AX139" s="997"/>
      <c r="AY139" s="997"/>
      <c r="AZ139" s="997"/>
      <c r="BA139" s="997"/>
      <c r="BC139" s="997"/>
      <c r="BE139" s="997"/>
      <c r="BF139" s="997"/>
      <c r="BG139" s="997"/>
    </row>
    <row r="140" spans="18:59" x14ac:dyDescent="0.35">
      <c r="R140" s="997"/>
      <c r="S140" s="997"/>
      <c r="W140" s="997"/>
      <c r="X140" s="997"/>
      <c r="AE140" s="997"/>
      <c r="AF140" s="997"/>
      <c r="AV140" s="997"/>
      <c r="AW140" s="997"/>
      <c r="AX140" s="997"/>
      <c r="AY140" s="997"/>
      <c r="AZ140" s="997"/>
      <c r="BA140" s="997"/>
      <c r="BC140" s="997"/>
      <c r="BE140" s="997"/>
      <c r="BF140" s="997"/>
      <c r="BG140" s="997"/>
    </row>
    <row r="141" spans="18:59" x14ac:dyDescent="0.35">
      <c r="R141" s="997"/>
      <c r="S141" s="997"/>
      <c r="W141" s="997"/>
      <c r="X141" s="997"/>
      <c r="AE141" s="997"/>
      <c r="AF141" s="997"/>
      <c r="AV141" s="997"/>
      <c r="AW141" s="997"/>
      <c r="AX141" s="997"/>
      <c r="AY141" s="997"/>
      <c r="AZ141" s="997"/>
      <c r="BA141" s="997"/>
      <c r="BC141" s="997"/>
      <c r="BE141" s="997"/>
      <c r="BF141" s="997"/>
      <c r="BG141" s="997"/>
    </row>
    <row r="142" spans="18:59" x14ac:dyDescent="0.35">
      <c r="R142" s="997"/>
      <c r="S142" s="997"/>
      <c r="W142" s="997"/>
      <c r="X142" s="997"/>
      <c r="AE142" s="997"/>
      <c r="AF142" s="997"/>
      <c r="AV142" s="997"/>
      <c r="AW142" s="997"/>
      <c r="AX142" s="997"/>
      <c r="AY142" s="997"/>
      <c r="AZ142" s="997"/>
      <c r="BA142" s="997"/>
      <c r="BC142" s="997"/>
      <c r="BE142" s="997"/>
      <c r="BF142" s="997"/>
      <c r="BG142" s="997"/>
    </row>
    <row r="143" spans="18:59" x14ac:dyDescent="0.35">
      <c r="R143" s="997"/>
      <c r="S143" s="997"/>
      <c r="W143" s="997"/>
      <c r="X143" s="997"/>
      <c r="AE143" s="997"/>
      <c r="AF143" s="997"/>
      <c r="AV143" s="997"/>
      <c r="AW143" s="997"/>
      <c r="AX143" s="997"/>
      <c r="AY143" s="997"/>
      <c r="AZ143" s="997"/>
      <c r="BA143" s="997"/>
      <c r="BC143" s="997"/>
      <c r="BE143" s="997"/>
      <c r="BF143" s="997"/>
      <c r="BG143" s="997"/>
    </row>
    <row r="144" spans="18:59" x14ac:dyDescent="0.35">
      <c r="R144" s="997"/>
      <c r="S144" s="997"/>
      <c r="W144" s="997"/>
      <c r="X144" s="997"/>
      <c r="AE144" s="997"/>
      <c r="AF144" s="997"/>
      <c r="AV144" s="997"/>
      <c r="AW144" s="997"/>
      <c r="AX144" s="997"/>
      <c r="AY144" s="997"/>
      <c r="AZ144" s="997"/>
      <c r="BA144" s="997"/>
      <c r="BC144" s="997"/>
      <c r="BE144" s="997"/>
      <c r="BF144" s="997"/>
      <c r="BG144" s="997"/>
    </row>
    <row r="145" spans="18:59" x14ac:dyDescent="0.35">
      <c r="R145" s="997"/>
      <c r="S145" s="997"/>
      <c r="W145" s="997"/>
      <c r="X145" s="997"/>
      <c r="AE145" s="997"/>
      <c r="AF145" s="997"/>
      <c r="AV145" s="997"/>
      <c r="AW145" s="997"/>
      <c r="AX145" s="997"/>
      <c r="AY145" s="997"/>
      <c r="AZ145" s="997"/>
      <c r="BA145" s="997"/>
      <c r="BC145" s="997"/>
      <c r="BE145" s="997"/>
      <c r="BF145" s="997"/>
      <c r="BG145" s="997"/>
    </row>
    <row r="146" spans="18:59" x14ac:dyDescent="0.35">
      <c r="R146" s="997"/>
      <c r="S146" s="997"/>
      <c r="W146" s="997"/>
      <c r="X146" s="997"/>
      <c r="AE146" s="997"/>
      <c r="AF146" s="997"/>
      <c r="AV146" s="997"/>
      <c r="AW146" s="997"/>
      <c r="AX146" s="997"/>
      <c r="AY146" s="997"/>
      <c r="AZ146" s="997"/>
      <c r="BA146" s="997"/>
      <c r="BC146" s="997"/>
      <c r="BE146" s="997"/>
      <c r="BF146" s="997"/>
      <c r="BG146" s="997"/>
    </row>
    <row r="147" spans="18:59" x14ac:dyDescent="0.35">
      <c r="R147" s="997"/>
      <c r="S147" s="997"/>
      <c r="W147" s="997"/>
      <c r="X147" s="997"/>
      <c r="AE147" s="997"/>
      <c r="AF147" s="997"/>
      <c r="AV147" s="997"/>
      <c r="AW147" s="997"/>
      <c r="AX147" s="997"/>
      <c r="AY147" s="997"/>
      <c r="AZ147" s="997"/>
      <c r="BA147" s="997"/>
      <c r="BC147" s="997"/>
      <c r="BE147" s="997"/>
      <c r="BF147" s="997"/>
      <c r="BG147" s="997"/>
    </row>
    <row r="148" spans="18:59" x14ac:dyDescent="0.35">
      <c r="R148" s="997"/>
      <c r="S148" s="997"/>
      <c r="W148" s="997"/>
      <c r="X148" s="997"/>
      <c r="AE148" s="997"/>
      <c r="AF148" s="997"/>
      <c r="AV148" s="997"/>
      <c r="AW148" s="997"/>
      <c r="AX148" s="997"/>
      <c r="AY148" s="997"/>
      <c r="AZ148" s="997"/>
      <c r="BA148" s="997"/>
      <c r="BC148" s="997"/>
      <c r="BE148" s="997"/>
      <c r="BF148" s="997"/>
      <c r="BG148" s="997"/>
    </row>
    <row r="149" spans="18:59" x14ac:dyDescent="0.35">
      <c r="R149" s="997"/>
      <c r="S149" s="997"/>
      <c r="W149" s="997"/>
      <c r="X149" s="997"/>
      <c r="AE149" s="997"/>
      <c r="AF149" s="997"/>
      <c r="AV149" s="997"/>
      <c r="AW149" s="997"/>
      <c r="AX149" s="997"/>
      <c r="AY149" s="997"/>
      <c r="AZ149" s="997"/>
      <c r="BA149" s="997"/>
      <c r="BC149" s="997"/>
      <c r="BE149" s="997"/>
      <c r="BF149" s="997"/>
      <c r="BG149" s="997"/>
    </row>
    <row r="150" spans="18:59" x14ac:dyDescent="0.35">
      <c r="R150" s="997"/>
      <c r="S150" s="997"/>
      <c r="W150" s="997"/>
      <c r="X150" s="997"/>
      <c r="AE150" s="997"/>
      <c r="AF150" s="997"/>
      <c r="AV150" s="997"/>
      <c r="AW150" s="997"/>
      <c r="AX150" s="997"/>
      <c r="AY150" s="997"/>
      <c r="AZ150" s="997"/>
      <c r="BA150" s="997"/>
      <c r="BC150" s="997"/>
      <c r="BE150" s="997"/>
      <c r="BF150" s="997"/>
      <c r="BG150" s="997"/>
    </row>
    <row r="151" spans="18:59" x14ac:dyDescent="0.35">
      <c r="R151" s="997"/>
      <c r="S151" s="997"/>
      <c r="W151" s="997"/>
      <c r="X151" s="997"/>
      <c r="AE151" s="997"/>
      <c r="AF151" s="997"/>
      <c r="AV151" s="997"/>
      <c r="AW151" s="997"/>
      <c r="AX151" s="997"/>
      <c r="AY151" s="997"/>
      <c r="AZ151" s="997"/>
      <c r="BA151" s="997"/>
      <c r="BC151" s="997"/>
      <c r="BE151" s="997"/>
      <c r="BF151" s="997"/>
      <c r="BG151" s="997"/>
    </row>
    <row r="152" spans="18:59" x14ac:dyDescent="0.35">
      <c r="R152" s="997"/>
      <c r="S152" s="997"/>
      <c r="W152" s="997"/>
      <c r="X152" s="997"/>
      <c r="AE152" s="997"/>
      <c r="AF152" s="997"/>
      <c r="AV152" s="997"/>
      <c r="AW152" s="997"/>
      <c r="AX152" s="997"/>
      <c r="AY152" s="997"/>
      <c r="AZ152" s="997"/>
      <c r="BA152" s="997"/>
      <c r="BC152" s="997"/>
      <c r="BE152" s="997"/>
      <c r="BF152" s="997"/>
      <c r="BG152" s="997"/>
    </row>
    <row r="153" spans="18:59" x14ac:dyDescent="0.35">
      <c r="R153" s="997"/>
      <c r="S153" s="997"/>
      <c r="W153" s="997"/>
      <c r="X153" s="997"/>
      <c r="AE153" s="997"/>
      <c r="AF153" s="997"/>
      <c r="AV153" s="997"/>
      <c r="AW153" s="997"/>
      <c r="AX153" s="997"/>
      <c r="AY153" s="997"/>
      <c r="AZ153" s="997"/>
      <c r="BA153" s="997"/>
      <c r="BC153" s="997"/>
      <c r="BE153" s="997"/>
      <c r="BF153" s="997"/>
      <c r="BG153" s="997"/>
    </row>
    <row r="154" spans="18:59" x14ac:dyDescent="0.35">
      <c r="R154" s="997"/>
      <c r="S154" s="997"/>
      <c r="W154" s="997"/>
      <c r="X154" s="997"/>
      <c r="AE154" s="997"/>
      <c r="AF154" s="997"/>
      <c r="AV154" s="997"/>
      <c r="AW154" s="997"/>
      <c r="AX154" s="997"/>
      <c r="AY154" s="997"/>
      <c r="AZ154" s="997"/>
      <c r="BA154" s="997"/>
      <c r="BC154" s="997"/>
      <c r="BE154" s="997"/>
      <c r="BF154" s="997"/>
      <c r="BG154" s="997"/>
    </row>
    <row r="155" spans="18:59" x14ac:dyDescent="0.35">
      <c r="R155" s="997"/>
      <c r="S155" s="997"/>
      <c r="W155" s="997"/>
      <c r="X155" s="997"/>
      <c r="AE155" s="997"/>
      <c r="AF155" s="997"/>
      <c r="AV155" s="997"/>
      <c r="AW155" s="997"/>
      <c r="AX155" s="997"/>
      <c r="AY155" s="997"/>
      <c r="AZ155" s="997"/>
      <c r="BA155" s="997"/>
      <c r="BC155" s="997"/>
      <c r="BE155" s="997"/>
      <c r="BF155" s="997"/>
      <c r="BG155" s="997"/>
    </row>
    <row r="156" spans="18:59" x14ac:dyDescent="0.35">
      <c r="R156" s="997"/>
      <c r="S156" s="997"/>
      <c r="W156" s="997"/>
      <c r="X156" s="997"/>
      <c r="AE156" s="997"/>
      <c r="AF156" s="997"/>
      <c r="AV156" s="997"/>
      <c r="AW156" s="997"/>
      <c r="AX156" s="997"/>
      <c r="AY156" s="997"/>
      <c r="AZ156" s="997"/>
      <c r="BA156" s="997"/>
      <c r="BC156" s="997"/>
      <c r="BE156" s="997"/>
      <c r="BF156" s="997"/>
      <c r="BG156" s="997"/>
    </row>
    <row r="157" spans="18:59" x14ac:dyDescent="0.35">
      <c r="R157" s="997"/>
      <c r="S157" s="997"/>
      <c r="W157" s="997"/>
      <c r="X157" s="997"/>
      <c r="AE157" s="997"/>
      <c r="AF157" s="997"/>
      <c r="AV157" s="997"/>
      <c r="AW157" s="997"/>
      <c r="AX157" s="997"/>
      <c r="AY157" s="997"/>
      <c r="AZ157" s="997"/>
      <c r="BA157" s="997"/>
      <c r="BC157" s="997"/>
      <c r="BE157" s="997"/>
      <c r="BF157" s="997"/>
      <c r="BG157" s="997"/>
    </row>
    <row r="158" spans="18:59" x14ac:dyDescent="0.35">
      <c r="R158" s="997"/>
      <c r="S158" s="997"/>
      <c r="W158" s="997"/>
      <c r="X158" s="997"/>
      <c r="AE158" s="997"/>
      <c r="AF158" s="997"/>
      <c r="AV158" s="997"/>
      <c r="AW158" s="997"/>
      <c r="AX158" s="997"/>
      <c r="AY158" s="997"/>
      <c r="AZ158" s="997"/>
      <c r="BA158" s="997"/>
      <c r="BC158" s="997"/>
      <c r="BE158" s="997"/>
      <c r="BF158" s="997"/>
      <c r="BG158" s="997"/>
    </row>
    <row r="159" spans="18:59" x14ac:dyDescent="0.35">
      <c r="R159" s="997"/>
      <c r="S159" s="997"/>
      <c r="W159" s="997"/>
      <c r="X159" s="997"/>
      <c r="AE159" s="997"/>
      <c r="AF159" s="997"/>
      <c r="AV159" s="997"/>
      <c r="AW159" s="997"/>
      <c r="AX159" s="997"/>
      <c r="AY159" s="997"/>
      <c r="AZ159" s="997"/>
      <c r="BA159" s="997"/>
      <c r="BC159" s="997"/>
      <c r="BE159" s="997"/>
      <c r="BF159" s="997"/>
      <c r="BG159" s="997"/>
    </row>
    <row r="160" spans="18:59" x14ac:dyDescent="0.35">
      <c r="R160" s="997"/>
      <c r="S160" s="997"/>
      <c r="W160" s="997"/>
      <c r="X160" s="997"/>
      <c r="AE160" s="997"/>
      <c r="AF160" s="997"/>
      <c r="AV160" s="997"/>
      <c r="AW160" s="997"/>
      <c r="AX160" s="997"/>
      <c r="AY160" s="997"/>
      <c r="AZ160" s="997"/>
      <c r="BA160" s="997"/>
      <c r="BC160" s="997"/>
      <c r="BE160" s="997"/>
      <c r="BF160" s="997"/>
      <c r="BG160" s="997"/>
    </row>
    <row r="161" spans="18:59" x14ac:dyDescent="0.35">
      <c r="R161" s="997"/>
      <c r="S161" s="997"/>
      <c r="W161" s="997"/>
      <c r="X161" s="997"/>
      <c r="AE161" s="997"/>
      <c r="AF161" s="997"/>
      <c r="AV161" s="997"/>
      <c r="AW161" s="997"/>
      <c r="AX161" s="997"/>
      <c r="AY161" s="997"/>
      <c r="AZ161" s="997"/>
      <c r="BA161" s="997"/>
      <c r="BC161" s="997"/>
      <c r="BE161" s="997"/>
      <c r="BF161" s="997"/>
      <c r="BG161" s="997"/>
    </row>
    <row r="162" spans="18:59" x14ac:dyDescent="0.35">
      <c r="R162" s="997"/>
      <c r="S162" s="997"/>
      <c r="W162" s="997"/>
      <c r="X162" s="997"/>
      <c r="AE162" s="997"/>
      <c r="AF162" s="997"/>
      <c r="AV162" s="997"/>
      <c r="AW162" s="997"/>
      <c r="AX162" s="997"/>
      <c r="AY162" s="997"/>
      <c r="AZ162" s="997"/>
      <c r="BA162" s="997"/>
      <c r="BC162" s="997"/>
      <c r="BE162" s="997"/>
      <c r="BF162" s="997"/>
      <c r="BG162" s="997"/>
    </row>
    <row r="163" spans="18:59" x14ac:dyDescent="0.35">
      <c r="R163" s="997"/>
      <c r="S163" s="997"/>
      <c r="W163" s="997"/>
      <c r="X163" s="997"/>
      <c r="AE163" s="997"/>
      <c r="AF163" s="997"/>
      <c r="AV163" s="997"/>
      <c r="AW163" s="997"/>
      <c r="AX163" s="997"/>
      <c r="AY163" s="997"/>
      <c r="AZ163" s="997"/>
      <c r="BA163" s="997"/>
      <c r="BC163" s="997"/>
      <c r="BE163" s="997"/>
      <c r="BF163" s="997"/>
      <c r="BG163" s="997"/>
    </row>
    <row r="164" spans="18:59" x14ac:dyDescent="0.35">
      <c r="R164" s="997"/>
      <c r="S164" s="997"/>
      <c r="W164" s="997"/>
      <c r="X164" s="997"/>
      <c r="AE164" s="997"/>
      <c r="AF164" s="997"/>
      <c r="AV164" s="997"/>
      <c r="AW164" s="997"/>
      <c r="AX164" s="997"/>
      <c r="AY164" s="997"/>
      <c r="AZ164" s="997"/>
      <c r="BA164" s="997"/>
      <c r="BC164" s="997"/>
      <c r="BE164" s="997"/>
      <c r="BF164" s="997"/>
      <c r="BG164" s="997"/>
    </row>
    <row r="165" spans="18:59" x14ac:dyDescent="0.35">
      <c r="R165" s="997"/>
      <c r="S165" s="997"/>
      <c r="W165" s="997"/>
      <c r="X165" s="997"/>
      <c r="AE165" s="997"/>
      <c r="AF165" s="997"/>
      <c r="AV165" s="997"/>
      <c r="AW165" s="997"/>
      <c r="AX165" s="997"/>
      <c r="AY165" s="997"/>
      <c r="AZ165" s="997"/>
      <c r="BA165" s="997"/>
      <c r="BC165" s="997"/>
      <c r="BE165" s="997"/>
      <c r="BF165" s="997"/>
      <c r="BG165" s="997"/>
    </row>
    <row r="166" spans="18:59" x14ac:dyDescent="0.35">
      <c r="R166" s="997"/>
      <c r="S166" s="997"/>
      <c r="W166" s="997"/>
      <c r="X166" s="997"/>
      <c r="AE166" s="997"/>
      <c r="AF166" s="997"/>
      <c r="AV166" s="997"/>
      <c r="AW166" s="997"/>
      <c r="AX166" s="997"/>
      <c r="AY166" s="997"/>
      <c r="AZ166" s="997"/>
      <c r="BA166" s="997"/>
      <c r="BC166" s="997"/>
      <c r="BE166" s="997"/>
      <c r="BF166" s="997"/>
      <c r="BG166" s="997"/>
    </row>
    <row r="167" spans="18:59" x14ac:dyDescent="0.35">
      <c r="R167" s="997"/>
      <c r="S167" s="997"/>
      <c r="W167" s="997"/>
      <c r="X167" s="997"/>
      <c r="AE167" s="997"/>
      <c r="AF167" s="997"/>
      <c r="AV167" s="997"/>
      <c r="AW167" s="997"/>
      <c r="AX167" s="997"/>
      <c r="AY167" s="997"/>
      <c r="AZ167" s="997"/>
      <c r="BA167" s="997"/>
      <c r="BC167" s="997"/>
      <c r="BE167" s="997"/>
      <c r="BF167" s="997"/>
      <c r="BG167" s="997"/>
    </row>
    <row r="168" spans="18:59" x14ac:dyDescent="0.35">
      <c r="R168" s="997"/>
      <c r="S168" s="997"/>
      <c r="W168" s="997"/>
      <c r="X168" s="997"/>
      <c r="AE168" s="997"/>
      <c r="AF168" s="997"/>
      <c r="AV168" s="997"/>
      <c r="AW168" s="997"/>
      <c r="AX168" s="997"/>
      <c r="AY168" s="997"/>
      <c r="AZ168" s="997"/>
      <c r="BA168" s="997"/>
      <c r="BC168" s="997"/>
      <c r="BE168" s="997"/>
      <c r="BF168" s="997"/>
      <c r="BG168" s="997"/>
    </row>
    <row r="169" spans="18:59" x14ac:dyDescent="0.35">
      <c r="R169" s="997"/>
      <c r="S169" s="997"/>
      <c r="W169" s="997"/>
      <c r="X169" s="997"/>
      <c r="AE169" s="997"/>
      <c r="AF169" s="997"/>
      <c r="AV169" s="997"/>
      <c r="AW169" s="997"/>
      <c r="AX169" s="997"/>
      <c r="AY169" s="997"/>
      <c r="AZ169" s="997"/>
      <c r="BA169" s="997"/>
      <c r="BC169" s="997"/>
      <c r="BE169" s="997"/>
      <c r="BF169" s="997"/>
      <c r="BG169" s="997"/>
    </row>
    <row r="170" spans="18:59" x14ac:dyDescent="0.35">
      <c r="R170" s="997"/>
      <c r="S170" s="997"/>
      <c r="W170" s="997"/>
      <c r="X170" s="997"/>
      <c r="AE170" s="997"/>
      <c r="AF170" s="997"/>
      <c r="AV170" s="997"/>
      <c r="AW170" s="997"/>
      <c r="AX170" s="997"/>
      <c r="AY170" s="997"/>
      <c r="AZ170" s="997"/>
      <c r="BA170" s="997"/>
      <c r="BC170" s="997"/>
      <c r="BE170" s="997"/>
      <c r="BF170" s="997"/>
      <c r="BG170" s="997"/>
    </row>
    <row r="171" spans="18:59" x14ac:dyDescent="0.35">
      <c r="R171" s="997"/>
      <c r="S171" s="997"/>
      <c r="W171" s="997"/>
      <c r="X171" s="997"/>
      <c r="AE171" s="997"/>
      <c r="AF171" s="997"/>
      <c r="AV171" s="997"/>
      <c r="AW171" s="997"/>
      <c r="AX171" s="997"/>
      <c r="AY171" s="997"/>
      <c r="AZ171" s="997"/>
      <c r="BA171" s="997"/>
      <c r="BC171" s="997"/>
      <c r="BE171" s="997"/>
      <c r="BF171" s="997"/>
      <c r="BG171" s="997"/>
    </row>
    <row r="172" spans="18:59" x14ac:dyDescent="0.35">
      <c r="R172" s="997"/>
      <c r="S172" s="997"/>
      <c r="W172" s="997"/>
      <c r="X172" s="997"/>
      <c r="AE172" s="997"/>
      <c r="AF172" s="997"/>
      <c r="AV172" s="997"/>
      <c r="AW172" s="997"/>
      <c r="AX172" s="997"/>
      <c r="AY172" s="997"/>
      <c r="AZ172" s="997"/>
      <c r="BA172" s="997"/>
      <c r="BC172" s="997"/>
      <c r="BE172" s="997"/>
      <c r="BF172" s="997"/>
      <c r="BG172" s="997"/>
    </row>
    <row r="173" spans="18:59" x14ac:dyDescent="0.35">
      <c r="R173" s="997"/>
      <c r="S173" s="997"/>
      <c r="W173" s="997"/>
      <c r="X173" s="997"/>
      <c r="AE173" s="997"/>
      <c r="AF173" s="997"/>
      <c r="AV173" s="997"/>
      <c r="AW173" s="997"/>
      <c r="AX173" s="997"/>
      <c r="AY173" s="997"/>
      <c r="AZ173" s="997"/>
      <c r="BA173" s="997"/>
      <c r="BC173" s="997"/>
      <c r="BE173" s="997"/>
      <c r="BF173" s="997"/>
      <c r="BG173" s="997"/>
    </row>
    <row r="174" spans="18:59" x14ac:dyDescent="0.35">
      <c r="R174" s="997"/>
      <c r="S174" s="997"/>
      <c r="W174" s="997"/>
      <c r="X174" s="997"/>
      <c r="AE174" s="997"/>
      <c r="AF174" s="997"/>
      <c r="AV174" s="997"/>
      <c r="AW174" s="997"/>
      <c r="AX174" s="997"/>
      <c r="AY174" s="997"/>
      <c r="AZ174" s="997"/>
      <c r="BA174" s="997"/>
      <c r="BC174" s="997"/>
      <c r="BE174" s="997"/>
      <c r="BF174" s="997"/>
      <c r="BG174" s="997"/>
    </row>
    <row r="175" spans="18:59" x14ac:dyDescent="0.35">
      <c r="R175" s="997"/>
      <c r="S175" s="997"/>
      <c r="W175" s="997"/>
      <c r="X175" s="997"/>
      <c r="AE175" s="997"/>
      <c r="AF175" s="997"/>
      <c r="AV175" s="997"/>
      <c r="AW175" s="997"/>
      <c r="AX175" s="997"/>
      <c r="AY175" s="997"/>
      <c r="AZ175" s="997"/>
      <c r="BA175" s="997"/>
      <c r="BC175" s="997"/>
      <c r="BE175" s="997"/>
      <c r="BF175" s="997"/>
      <c r="BG175" s="997"/>
    </row>
    <row r="176" spans="18:59" x14ac:dyDescent="0.35">
      <c r="R176" s="997"/>
      <c r="S176" s="997"/>
      <c r="W176" s="997"/>
      <c r="X176" s="997"/>
      <c r="AE176" s="997"/>
      <c r="AF176" s="997"/>
      <c r="AV176" s="997"/>
      <c r="AW176" s="997"/>
      <c r="AX176" s="997"/>
      <c r="AY176" s="997"/>
      <c r="AZ176" s="997"/>
      <c r="BA176" s="997"/>
      <c r="BC176" s="997"/>
      <c r="BE176" s="997"/>
      <c r="BF176" s="997"/>
      <c r="BG176" s="997"/>
    </row>
    <row r="177" spans="18:59" x14ac:dyDescent="0.35">
      <c r="R177" s="997"/>
      <c r="S177" s="997"/>
      <c r="W177" s="997"/>
      <c r="X177" s="997"/>
      <c r="AE177" s="997"/>
      <c r="AF177" s="997"/>
      <c r="AV177" s="997"/>
      <c r="AW177" s="997"/>
      <c r="AX177" s="997"/>
      <c r="AY177" s="997"/>
      <c r="AZ177" s="997"/>
      <c r="BA177" s="997"/>
      <c r="BC177" s="997"/>
      <c r="BE177" s="997"/>
      <c r="BF177" s="997"/>
      <c r="BG177" s="997"/>
    </row>
    <row r="178" spans="18:59" x14ac:dyDescent="0.35">
      <c r="R178" s="997"/>
      <c r="S178" s="997"/>
      <c r="W178" s="997"/>
      <c r="X178" s="997"/>
      <c r="AE178" s="997"/>
      <c r="AF178" s="997"/>
      <c r="AV178" s="997"/>
      <c r="AW178" s="997"/>
      <c r="AX178" s="997"/>
      <c r="AY178" s="997"/>
      <c r="AZ178" s="997"/>
      <c r="BA178" s="997"/>
      <c r="BC178" s="997"/>
      <c r="BE178" s="997"/>
      <c r="BF178" s="997"/>
      <c r="BG178" s="997"/>
    </row>
    <row r="179" spans="18:59" x14ac:dyDescent="0.35">
      <c r="R179" s="997"/>
      <c r="S179" s="997"/>
      <c r="W179" s="997"/>
      <c r="X179" s="997"/>
      <c r="AE179" s="997"/>
      <c r="AF179" s="997"/>
      <c r="AV179" s="997"/>
      <c r="AW179" s="997"/>
      <c r="AX179" s="997"/>
      <c r="AY179" s="997"/>
      <c r="AZ179" s="997"/>
      <c r="BA179" s="997"/>
      <c r="BC179" s="997"/>
      <c r="BE179" s="997"/>
      <c r="BF179" s="997"/>
      <c r="BG179" s="997"/>
    </row>
    <row r="180" spans="18:59" x14ac:dyDescent="0.35">
      <c r="R180" s="997"/>
      <c r="S180" s="997"/>
      <c r="W180" s="997"/>
      <c r="X180" s="997"/>
      <c r="AE180" s="997"/>
      <c r="AF180" s="997"/>
      <c r="AV180" s="997"/>
      <c r="AW180" s="997"/>
      <c r="AX180" s="997"/>
      <c r="AY180" s="997"/>
      <c r="AZ180" s="997"/>
      <c r="BA180" s="997"/>
      <c r="BC180" s="997"/>
      <c r="BE180" s="997"/>
      <c r="BF180" s="997"/>
      <c r="BG180" s="997"/>
    </row>
    <row r="181" spans="18:59" x14ac:dyDescent="0.35">
      <c r="R181" s="997"/>
      <c r="S181" s="997"/>
      <c r="W181" s="997"/>
      <c r="X181" s="997"/>
      <c r="AE181" s="997"/>
      <c r="AF181" s="997"/>
      <c r="AV181" s="997"/>
      <c r="AW181" s="997"/>
      <c r="AX181" s="997"/>
      <c r="AY181" s="997"/>
      <c r="AZ181" s="997"/>
      <c r="BA181" s="997"/>
      <c r="BC181" s="997"/>
      <c r="BE181" s="997"/>
      <c r="BF181" s="997"/>
      <c r="BG181" s="997"/>
    </row>
    <row r="182" spans="18:59" x14ac:dyDescent="0.35">
      <c r="R182" s="997"/>
      <c r="S182" s="997"/>
      <c r="W182" s="997"/>
      <c r="X182" s="997"/>
      <c r="AE182" s="997"/>
      <c r="AF182" s="997"/>
      <c r="AV182" s="997"/>
      <c r="AW182" s="997"/>
      <c r="AX182" s="997"/>
      <c r="AY182" s="997"/>
      <c r="AZ182" s="997"/>
      <c r="BA182" s="997"/>
      <c r="BC182" s="997"/>
      <c r="BE182" s="997"/>
      <c r="BF182" s="997"/>
      <c r="BG182" s="997"/>
    </row>
    <row r="183" spans="18:59" x14ac:dyDescent="0.35">
      <c r="R183" s="997"/>
      <c r="S183" s="997"/>
      <c r="W183" s="997"/>
      <c r="X183" s="997"/>
      <c r="AE183" s="997"/>
      <c r="AF183" s="997"/>
      <c r="AV183" s="997"/>
      <c r="AW183" s="997"/>
      <c r="AX183" s="997"/>
      <c r="AY183" s="997"/>
      <c r="AZ183" s="997"/>
      <c r="BA183" s="997"/>
      <c r="BC183" s="997"/>
      <c r="BE183" s="997"/>
      <c r="BF183" s="997"/>
      <c r="BG183" s="997"/>
    </row>
    <row r="184" spans="18:59" x14ac:dyDescent="0.35">
      <c r="R184" s="997"/>
      <c r="S184" s="997"/>
      <c r="W184" s="997"/>
      <c r="X184" s="997"/>
      <c r="AE184" s="997"/>
      <c r="AF184" s="997"/>
      <c r="AV184" s="997"/>
      <c r="AW184" s="997"/>
      <c r="AX184" s="997"/>
      <c r="AY184" s="997"/>
      <c r="AZ184" s="997"/>
      <c r="BA184" s="997"/>
      <c r="BC184" s="997"/>
      <c r="BE184" s="997"/>
      <c r="BF184" s="997"/>
      <c r="BG184" s="997"/>
    </row>
    <row r="185" spans="18:59" x14ac:dyDescent="0.35">
      <c r="R185" s="997"/>
      <c r="S185" s="997"/>
      <c r="W185" s="997"/>
      <c r="X185" s="997"/>
      <c r="AE185" s="997"/>
      <c r="AF185" s="997"/>
      <c r="AV185" s="997"/>
      <c r="AW185" s="997"/>
      <c r="AX185" s="997"/>
      <c r="AY185" s="997"/>
      <c r="AZ185" s="997"/>
      <c r="BA185" s="997"/>
      <c r="BC185" s="997"/>
      <c r="BE185" s="997"/>
      <c r="BF185" s="997"/>
      <c r="BG185" s="997"/>
    </row>
    <row r="186" spans="18:59" x14ac:dyDescent="0.35">
      <c r="R186" s="997"/>
      <c r="S186" s="997"/>
      <c r="W186" s="997"/>
      <c r="X186" s="997"/>
      <c r="AE186" s="997"/>
      <c r="AF186" s="997"/>
      <c r="AV186" s="997"/>
      <c r="AW186" s="997"/>
      <c r="AX186" s="997"/>
      <c r="AY186" s="997"/>
      <c r="AZ186" s="997"/>
      <c r="BA186" s="997"/>
      <c r="BC186" s="997"/>
      <c r="BE186" s="997"/>
      <c r="BF186" s="997"/>
      <c r="BG186" s="997"/>
    </row>
    <row r="187" spans="18:59" x14ac:dyDescent="0.35">
      <c r="R187" s="997"/>
      <c r="S187" s="997"/>
      <c r="W187" s="997"/>
      <c r="X187" s="997"/>
      <c r="AE187" s="997"/>
      <c r="AF187" s="997"/>
      <c r="AV187" s="997"/>
      <c r="AW187" s="997"/>
      <c r="AX187" s="997"/>
      <c r="AY187" s="997"/>
      <c r="AZ187" s="997"/>
      <c r="BA187" s="997"/>
      <c r="BC187" s="997"/>
      <c r="BE187" s="997"/>
      <c r="BF187" s="997"/>
      <c r="BG187" s="997"/>
    </row>
    <row r="188" spans="18:59" x14ac:dyDescent="0.35">
      <c r="R188" s="997"/>
      <c r="S188" s="997"/>
      <c r="W188" s="997"/>
      <c r="X188" s="997"/>
      <c r="AE188" s="997"/>
      <c r="AF188" s="997"/>
      <c r="AV188" s="997"/>
      <c r="AW188" s="997"/>
      <c r="AX188" s="997"/>
      <c r="AY188" s="997"/>
      <c r="AZ188" s="997"/>
      <c r="BA188" s="997"/>
      <c r="BC188" s="997"/>
      <c r="BE188" s="997"/>
      <c r="BF188" s="997"/>
      <c r="BG188" s="997"/>
    </row>
    <row r="189" spans="18:59" x14ac:dyDescent="0.35">
      <c r="R189" s="997"/>
      <c r="S189" s="997"/>
      <c r="W189" s="997"/>
      <c r="X189" s="997"/>
      <c r="AE189" s="997"/>
      <c r="AF189" s="997"/>
      <c r="AV189" s="997"/>
      <c r="AW189" s="997"/>
      <c r="AX189" s="997"/>
      <c r="AY189" s="997"/>
      <c r="AZ189" s="997"/>
      <c r="BA189" s="997"/>
      <c r="BC189" s="997"/>
      <c r="BE189" s="997"/>
      <c r="BF189" s="997"/>
      <c r="BG189" s="997"/>
    </row>
    <row r="190" spans="18:59" x14ac:dyDescent="0.35">
      <c r="R190" s="997"/>
      <c r="S190" s="997"/>
      <c r="W190" s="997"/>
      <c r="X190" s="997"/>
      <c r="AE190" s="997"/>
      <c r="AF190" s="997"/>
      <c r="AV190" s="997"/>
      <c r="AW190" s="997"/>
      <c r="AX190" s="997"/>
      <c r="AY190" s="997"/>
      <c r="AZ190" s="997"/>
      <c r="BA190" s="997"/>
      <c r="BC190" s="997"/>
      <c r="BE190" s="997"/>
      <c r="BF190" s="997"/>
      <c r="BG190" s="997"/>
    </row>
    <row r="191" spans="18:59" x14ac:dyDescent="0.35">
      <c r="R191" s="997"/>
      <c r="S191" s="997"/>
      <c r="W191" s="997"/>
      <c r="X191" s="997"/>
      <c r="AE191" s="997"/>
      <c r="AF191" s="997"/>
      <c r="AV191" s="997"/>
      <c r="AW191" s="997"/>
      <c r="AX191" s="997"/>
      <c r="AY191" s="997"/>
      <c r="AZ191" s="997"/>
      <c r="BA191" s="997"/>
      <c r="BC191" s="997"/>
      <c r="BE191" s="997"/>
      <c r="BF191" s="997"/>
      <c r="BG191" s="997"/>
    </row>
    <row r="192" spans="18:59" x14ac:dyDescent="0.35">
      <c r="R192" s="997"/>
      <c r="S192" s="997"/>
      <c r="W192" s="997"/>
      <c r="X192" s="997"/>
      <c r="AE192" s="997"/>
      <c r="AF192" s="997"/>
      <c r="AV192" s="997"/>
      <c r="AW192" s="997"/>
      <c r="AX192" s="997"/>
      <c r="AY192" s="997"/>
      <c r="AZ192" s="997"/>
      <c r="BA192" s="997"/>
      <c r="BC192" s="997"/>
      <c r="BE192" s="997"/>
      <c r="BF192" s="997"/>
      <c r="BG192" s="997"/>
    </row>
    <row r="193" spans="18:59" x14ac:dyDescent="0.35">
      <c r="R193" s="997"/>
      <c r="S193" s="997"/>
      <c r="W193" s="997"/>
      <c r="X193" s="997"/>
      <c r="AE193" s="997"/>
      <c r="AF193" s="997"/>
      <c r="AV193" s="997"/>
      <c r="AW193" s="997"/>
      <c r="AX193" s="997"/>
      <c r="AY193" s="997"/>
      <c r="AZ193" s="997"/>
      <c r="BA193" s="997"/>
      <c r="BC193" s="997"/>
      <c r="BE193" s="997"/>
      <c r="BF193" s="997"/>
      <c r="BG193" s="997"/>
    </row>
    <row r="194" spans="18:59" x14ac:dyDescent="0.35">
      <c r="R194" s="997"/>
      <c r="S194" s="997"/>
      <c r="W194" s="997"/>
      <c r="X194" s="997"/>
      <c r="AE194" s="997"/>
      <c r="AF194" s="997"/>
      <c r="AV194" s="997"/>
      <c r="AW194" s="997"/>
      <c r="AX194" s="997"/>
      <c r="AY194" s="997"/>
      <c r="AZ194" s="997"/>
      <c r="BA194" s="997"/>
      <c r="BC194" s="997"/>
      <c r="BE194" s="997"/>
      <c r="BF194" s="997"/>
      <c r="BG194" s="997"/>
    </row>
    <row r="195" spans="18:59" x14ac:dyDescent="0.35">
      <c r="R195" s="997"/>
      <c r="S195" s="997"/>
      <c r="W195" s="997"/>
      <c r="X195" s="997"/>
      <c r="AE195" s="997"/>
      <c r="AF195" s="997"/>
      <c r="AV195" s="997"/>
      <c r="AW195" s="997"/>
      <c r="AX195" s="997"/>
      <c r="AY195" s="997"/>
      <c r="AZ195" s="997"/>
      <c r="BA195" s="997"/>
      <c r="BC195" s="997"/>
      <c r="BE195" s="997"/>
      <c r="BF195" s="997"/>
      <c r="BG195" s="997"/>
    </row>
    <row r="196" spans="18:59" x14ac:dyDescent="0.35">
      <c r="R196" s="997"/>
      <c r="S196" s="997"/>
      <c r="W196" s="997"/>
      <c r="X196" s="997"/>
      <c r="AE196" s="997"/>
      <c r="AF196" s="997"/>
      <c r="AV196" s="997"/>
      <c r="AW196" s="997"/>
      <c r="AX196" s="997"/>
      <c r="AY196" s="997"/>
      <c r="AZ196" s="997"/>
      <c r="BA196" s="997"/>
      <c r="BC196" s="997"/>
      <c r="BE196" s="997"/>
      <c r="BF196" s="997"/>
      <c r="BG196" s="997"/>
    </row>
    <row r="197" spans="18:59" x14ac:dyDescent="0.35">
      <c r="R197" s="997"/>
      <c r="S197" s="997"/>
      <c r="W197" s="997"/>
      <c r="X197" s="997"/>
      <c r="AE197" s="997"/>
      <c r="AF197" s="997"/>
      <c r="AV197" s="997"/>
      <c r="AW197" s="997"/>
      <c r="AX197" s="997"/>
      <c r="AY197" s="997"/>
      <c r="AZ197" s="997"/>
      <c r="BA197" s="997"/>
      <c r="BC197" s="997"/>
      <c r="BE197" s="997"/>
      <c r="BF197" s="997"/>
      <c r="BG197" s="997"/>
    </row>
    <row r="198" spans="18:59" x14ac:dyDescent="0.35">
      <c r="R198" s="997"/>
      <c r="S198" s="997"/>
      <c r="W198" s="997"/>
      <c r="X198" s="997"/>
      <c r="AE198" s="997"/>
      <c r="AF198" s="997"/>
      <c r="AV198" s="997"/>
      <c r="AW198" s="997"/>
      <c r="AX198" s="997"/>
      <c r="AY198" s="997"/>
      <c r="AZ198" s="997"/>
      <c r="BA198" s="997"/>
      <c r="BC198" s="997"/>
      <c r="BE198" s="997"/>
      <c r="BF198" s="997"/>
      <c r="BG198" s="997"/>
    </row>
    <row r="199" spans="18:59" x14ac:dyDescent="0.35">
      <c r="R199" s="997"/>
      <c r="S199" s="997"/>
      <c r="W199" s="997"/>
      <c r="X199" s="997"/>
      <c r="AE199" s="997"/>
      <c r="AF199" s="997"/>
      <c r="AV199" s="997"/>
      <c r="AW199" s="997"/>
      <c r="AX199" s="997"/>
      <c r="AY199" s="997"/>
      <c r="AZ199" s="997"/>
      <c r="BA199" s="997"/>
      <c r="BC199" s="997"/>
      <c r="BE199" s="997"/>
      <c r="BF199" s="997"/>
      <c r="BG199" s="997"/>
    </row>
    <row r="200" spans="18:59" x14ac:dyDescent="0.35">
      <c r="R200" s="997"/>
      <c r="S200" s="997"/>
      <c r="W200" s="997"/>
      <c r="X200" s="997"/>
      <c r="AE200" s="997"/>
      <c r="AF200" s="997"/>
      <c r="AV200" s="997"/>
      <c r="AW200" s="997"/>
      <c r="AX200" s="997"/>
      <c r="AY200" s="997"/>
      <c r="AZ200" s="997"/>
      <c r="BA200" s="997"/>
      <c r="BC200" s="997"/>
      <c r="BE200" s="997"/>
      <c r="BF200" s="997"/>
      <c r="BG200" s="997"/>
    </row>
    <row r="201" spans="18:59" x14ac:dyDescent="0.35">
      <c r="R201" s="997"/>
      <c r="S201" s="997"/>
      <c r="W201" s="997"/>
      <c r="X201" s="997"/>
      <c r="AE201" s="997"/>
      <c r="AF201" s="997"/>
      <c r="AV201" s="997"/>
      <c r="AW201" s="997"/>
      <c r="AX201" s="997"/>
      <c r="AY201" s="997"/>
      <c r="AZ201" s="997"/>
      <c r="BA201" s="997"/>
      <c r="BC201" s="997"/>
      <c r="BE201" s="997"/>
      <c r="BF201" s="997"/>
      <c r="BG201" s="997"/>
    </row>
    <row r="202" spans="18:59" x14ac:dyDescent="0.35">
      <c r="R202" s="997"/>
      <c r="S202" s="997"/>
      <c r="W202" s="997"/>
      <c r="X202" s="997"/>
      <c r="AE202" s="997"/>
      <c r="AF202" s="997"/>
      <c r="AV202" s="997"/>
      <c r="AW202" s="997"/>
      <c r="AX202" s="997"/>
      <c r="AY202" s="997"/>
      <c r="AZ202" s="997"/>
      <c r="BA202" s="997"/>
      <c r="BC202" s="997"/>
      <c r="BE202" s="997"/>
      <c r="BF202" s="997"/>
      <c r="BG202" s="997"/>
    </row>
    <row r="203" spans="18:59" x14ac:dyDescent="0.35">
      <c r="R203" s="997"/>
      <c r="S203" s="997"/>
      <c r="W203" s="997"/>
      <c r="X203" s="997"/>
      <c r="AE203" s="997"/>
      <c r="AF203" s="997"/>
      <c r="AV203" s="997"/>
      <c r="AW203" s="997"/>
      <c r="AX203" s="997"/>
      <c r="AY203" s="997"/>
      <c r="AZ203" s="997"/>
      <c r="BA203" s="997"/>
      <c r="BC203" s="997"/>
      <c r="BE203" s="997"/>
      <c r="BF203" s="997"/>
      <c r="BG203" s="997"/>
    </row>
    <row r="204" spans="18:59" x14ac:dyDescent="0.35">
      <c r="R204" s="997"/>
      <c r="S204" s="997"/>
      <c r="W204" s="997"/>
      <c r="X204" s="997"/>
      <c r="AE204" s="997"/>
      <c r="AF204" s="997"/>
      <c r="AV204" s="997"/>
      <c r="AW204" s="997"/>
      <c r="AX204" s="997"/>
      <c r="AY204" s="997"/>
      <c r="AZ204" s="997"/>
      <c r="BA204" s="997"/>
      <c r="BC204" s="997"/>
      <c r="BE204" s="997"/>
      <c r="BF204" s="997"/>
      <c r="BG204" s="997"/>
    </row>
    <row r="205" spans="18:59" x14ac:dyDescent="0.35">
      <c r="R205" s="997"/>
      <c r="S205" s="997"/>
      <c r="W205" s="997"/>
      <c r="X205" s="997"/>
      <c r="AE205" s="997"/>
      <c r="AF205" s="997"/>
      <c r="AV205" s="997"/>
      <c r="AW205" s="997"/>
      <c r="AX205" s="997"/>
      <c r="AY205" s="997"/>
      <c r="AZ205" s="997"/>
      <c r="BA205" s="997"/>
      <c r="BC205" s="997"/>
      <c r="BE205" s="997"/>
      <c r="BF205" s="997"/>
      <c r="BG205" s="997"/>
    </row>
    <row r="206" spans="18:59" x14ac:dyDescent="0.35">
      <c r="R206" s="997"/>
      <c r="S206" s="997"/>
      <c r="W206" s="997"/>
      <c r="X206" s="997"/>
      <c r="AE206" s="997"/>
      <c r="AF206" s="997"/>
      <c r="AV206" s="997"/>
      <c r="AW206" s="997"/>
      <c r="AX206" s="997"/>
      <c r="AY206" s="997"/>
      <c r="AZ206" s="997"/>
      <c r="BA206" s="997"/>
      <c r="BC206" s="997"/>
      <c r="BE206" s="997"/>
      <c r="BF206" s="997"/>
      <c r="BG206" s="997"/>
    </row>
    <row r="207" spans="18:59" x14ac:dyDescent="0.35">
      <c r="R207" s="997"/>
      <c r="S207" s="997"/>
      <c r="W207" s="997"/>
      <c r="X207" s="997"/>
      <c r="AE207" s="997"/>
      <c r="AF207" s="997"/>
      <c r="AV207" s="997"/>
      <c r="AW207" s="997"/>
      <c r="AX207" s="997"/>
      <c r="AY207" s="997"/>
      <c r="AZ207" s="997"/>
      <c r="BA207" s="997"/>
      <c r="BC207" s="997"/>
      <c r="BE207" s="997"/>
      <c r="BF207" s="997"/>
      <c r="BG207" s="997"/>
    </row>
    <row r="208" spans="18:59" x14ac:dyDescent="0.35">
      <c r="R208" s="997"/>
      <c r="S208" s="997"/>
      <c r="W208" s="997"/>
      <c r="X208" s="997"/>
      <c r="AE208" s="997"/>
      <c r="AF208" s="997"/>
      <c r="AV208" s="997"/>
      <c r="AW208" s="997"/>
      <c r="AX208" s="997"/>
      <c r="AY208" s="997"/>
      <c r="AZ208" s="997"/>
      <c r="BA208" s="997"/>
      <c r="BC208" s="997"/>
      <c r="BE208" s="997"/>
      <c r="BF208" s="997"/>
      <c r="BG208" s="997"/>
    </row>
    <row r="209" spans="18:59" x14ac:dyDescent="0.35">
      <c r="R209" s="997"/>
      <c r="S209" s="997"/>
      <c r="W209" s="997"/>
      <c r="X209" s="997"/>
      <c r="AE209" s="997"/>
      <c r="AF209" s="997"/>
      <c r="AV209" s="997"/>
      <c r="AW209" s="997"/>
      <c r="AX209" s="997"/>
      <c r="AY209" s="997"/>
      <c r="AZ209" s="997"/>
      <c r="BA209" s="997"/>
      <c r="BC209" s="997"/>
      <c r="BE209" s="997"/>
      <c r="BF209" s="997"/>
      <c r="BG209" s="997"/>
    </row>
    <row r="210" spans="18:59" x14ac:dyDescent="0.35">
      <c r="R210" s="997"/>
      <c r="S210" s="997"/>
      <c r="W210" s="997"/>
      <c r="X210" s="997"/>
      <c r="AE210" s="997"/>
      <c r="AF210" s="997"/>
      <c r="AV210" s="997"/>
      <c r="AW210" s="997"/>
      <c r="AX210" s="997"/>
      <c r="AY210" s="997"/>
      <c r="AZ210" s="997"/>
      <c r="BA210" s="997"/>
      <c r="BC210" s="997"/>
      <c r="BE210" s="997"/>
      <c r="BF210" s="997"/>
      <c r="BG210" s="997"/>
    </row>
    <row r="211" spans="18:59" x14ac:dyDescent="0.35">
      <c r="R211" s="997"/>
      <c r="S211" s="997"/>
      <c r="W211" s="997"/>
      <c r="X211" s="997"/>
      <c r="AE211" s="997"/>
      <c r="AF211" s="997"/>
      <c r="AV211" s="997"/>
      <c r="AW211" s="997"/>
      <c r="AX211" s="997"/>
      <c r="AY211" s="997"/>
      <c r="AZ211" s="997"/>
      <c r="BA211" s="997"/>
      <c r="BC211" s="997"/>
      <c r="BE211" s="997"/>
      <c r="BF211" s="997"/>
      <c r="BG211" s="997"/>
    </row>
    <row r="212" spans="18:59" x14ac:dyDescent="0.35">
      <c r="R212" s="997"/>
      <c r="S212" s="997"/>
      <c r="W212" s="997"/>
      <c r="X212" s="997"/>
      <c r="AE212" s="997"/>
      <c r="AF212" s="997"/>
      <c r="AV212" s="997"/>
      <c r="AW212" s="997"/>
      <c r="AX212" s="997"/>
      <c r="AY212" s="997"/>
      <c r="AZ212" s="997"/>
      <c r="BA212" s="997"/>
      <c r="BC212" s="997"/>
      <c r="BE212" s="997"/>
      <c r="BF212" s="997"/>
      <c r="BG212" s="997"/>
    </row>
    <row r="213" spans="18:59" x14ac:dyDescent="0.35">
      <c r="R213" s="997"/>
      <c r="S213" s="997"/>
      <c r="W213" s="997"/>
      <c r="X213" s="997"/>
      <c r="AE213" s="997"/>
      <c r="AF213" s="997"/>
      <c r="AV213" s="997"/>
      <c r="AW213" s="997"/>
      <c r="AX213" s="997"/>
      <c r="AY213" s="997"/>
      <c r="AZ213" s="997"/>
      <c r="BA213" s="997"/>
      <c r="BC213" s="997"/>
      <c r="BE213" s="997"/>
      <c r="BF213" s="997"/>
      <c r="BG213" s="997"/>
    </row>
    <row r="214" spans="18:59" x14ac:dyDescent="0.35">
      <c r="R214" s="997"/>
      <c r="S214" s="997"/>
      <c r="W214" s="997"/>
      <c r="X214" s="997"/>
      <c r="AE214" s="997"/>
      <c r="AF214" s="997"/>
      <c r="AV214" s="997"/>
      <c r="AW214" s="997"/>
      <c r="AX214" s="997"/>
      <c r="AY214" s="997"/>
      <c r="AZ214" s="997"/>
      <c r="BA214" s="997"/>
      <c r="BC214" s="997"/>
      <c r="BE214" s="997"/>
      <c r="BF214" s="997"/>
      <c r="BG214" s="997"/>
    </row>
    <row r="215" spans="18:59" x14ac:dyDescent="0.35">
      <c r="R215" s="997"/>
      <c r="S215" s="997"/>
      <c r="W215" s="997"/>
      <c r="X215" s="997"/>
      <c r="AE215" s="997"/>
      <c r="AF215" s="997"/>
      <c r="AV215" s="997"/>
      <c r="AW215" s="997"/>
      <c r="AX215" s="997"/>
      <c r="AY215" s="997"/>
      <c r="AZ215" s="997"/>
      <c r="BA215" s="997"/>
      <c r="BC215" s="997"/>
      <c r="BE215" s="997"/>
      <c r="BF215" s="997"/>
      <c r="BG215" s="997"/>
    </row>
    <row r="216" spans="18:59" x14ac:dyDescent="0.35">
      <c r="R216" s="997"/>
      <c r="S216" s="997"/>
      <c r="W216" s="997"/>
      <c r="X216" s="997"/>
      <c r="AE216" s="997"/>
      <c r="AF216" s="997"/>
      <c r="AV216" s="997"/>
      <c r="AW216" s="997"/>
      <c r="AX216" s="997"/>
      <c r="AY216" s="997"/>
      <c r="AZ216" s="997"/>
      <c r="BA216" s="997"/>
      <c r="BC216" s="997"/>
      <c r="BE216" s="997"/>
      <c r="BF216" s="997"/>
      <c r="BG216" s="997"/>
    </row>
    <row r="217" spans="18:59" x14ac:dyDescent="0.35">
      <c r="R217" s="997"/>
      <c r="S217" s="997"/>
      <c r="W217" s="997"/>
      <c r="X217" s="997"/>
      <c r="AE217" s="997"/>
      <c r="AF217" s="997"/>
      <c r="AV217" s="997"/>
      <c r="AW217" s="997"/>
      <c r="AX217" s="997"/>
      <c r="AY217" s="997"/>
      <c r="AZ217" s="997"/>
      <c r="BA217" s="997"/>
      <c r="BC217" s="997"/>
      <c r="BE217" s="997"/>
      <c r="BF217" s="997"/>
      <c r="BG217" s="997"/>
    </row>
    <row r="218" spans="18:59" x14ac:dyDescent="0.35">
      <c r="R218" s="997"/>
      <c r="S218" s="997"/>
      <c r="W218" s="997"/>
      <c r="X218" s="997"/>
      <c r="AE218" s="997"/>
      <c r="AF218" s="997"/>
      <c r="AV218" s="997"/>
      <c r="AW218" s="997"/>
      <c r="AX218" s="997"/>
      <c r="AY218" s="997"/>
      <c r="AZ218" s="997"/>
      <c r="BA218" s="997"/>
      <c r="BC218" s="997"/>
      <c r="BE218" s="997"/>
      <c r="BF218" s="997"/>
      <c r="BG218" s="997"/>
    </row>
    <row r="219" spans="18:59" x14ac:dyDescent="0.35">
      <c r="R219" s="997"/>
      <c r="S219" s="997"/>
      <c r="W219" s="997"/>
      <c r="X219" s="997"/>
      <c r="AE219" s="997"/>
      <c r="AF219" s="997"/>
      <c r="AV219" s="997"/>
      <c r="AW219" s="997"/>
      <c r="AX219" s="997"/>
      <c r="AY219" s="997"/>
      <c r="AZ219" s="997"/>
      <c r="BA219" s="997"/>
      <c r="BC219" s="997"/>
      <c r="BE219" s="997"/>
      <c r="BF219" s="997"/>
      <c r="BG219" s="997"/>
    </row>
    <row r="220" spans="18:59" x14ac:dyDescent="0.35">
      <c r="R220" s="997"/>
      <c r="S220" s="997"/>
      <c r="W220" s="997"/>
      <c r="X220" s="997"/>
      <c r="AE220" s="997"/>
      <c r="AF220" s="997"/>
      <c r="AV220" s="997"/>
      <c r="AW220" s="997"/>
      <c r="AX220" s="997"/>
      <c r="AY220" s="997"/>
      <c r="AZ220" s="997"/>
      <c r="BA220" s="997"/>
      <c r="BC220" s="997"/>
      <c r="BE220" s="997"/>
      <c r="BF220" s="997"/>
      <c r="BG220" s="997"/>
    </row>
    <row r="221" spans="18:59" x14ac:dyDescent="0.35">
      <c r="R221" s="997"/>
      <c r="S221" s="997"/>
      <c r="W221" s="997"/>
      <c r="X221" s="997"/>
      <c r="AE221" s="997"/>
      <c r="AF221" s="997"/>
      <c r="AV221" s="997"/>
      <c r="AW221" s="997"/>
      <c r="AX221" s="997"/>
      <c r="AY221" s="997"/>
      <c r="AZ221" s="997"/>
      <c r="BA221" s="997"/>
      <c r="BC221" s="997"/>
      <c r="BE221" s="997"/>
      <c r="BF221" s="997"/>
      <c r="BG221" s="997"/>
    </row>
    <row r="222" spans="18:59" x14ac:dyDescent="0.35">
      <c r="R222" s="997"/>
      <c r="S222" s="997"/>
      <c r="W222" s="997"/>
      <c r="X222" s="997"/>
      <c r="AE222" s="997"/>
      <c r="AF222" s="997"/>
      <c r="AV222" s="997"/>
      <c r="AW222" s="997"/>
      <c r="AX222" s="997"/>
      <c r="AY222" s="997"/>
      <c r="AZ222" s="997"/>
      <c r="BA222" s="997"/>
      <c r="BC222" s="997"/>
      <c r="BE222" s="997"/>
      <c r="BF222" s="997"/>
      <c r="BG222" s="997"/>
    </row>
    <row r="223" spans="18:59" x14ac:dyDescent="0.35">
      <c r="R223" s="997"/>
      <c r="S223" s="997"/>
      <c r="W223" s="997"/>
      <c r="X223" s="997"/>
      <c r="AE223" s="997"/>
      <c r="AF223" s="997"/>
      <c r="AV223" s="997"/>
      <c r="AW223" s="997"/>
      <c r="AX223" s="997"/>
      <c r="AY223" s="997"/>
      <c r="AZ223" s="997"/>
      <c r="BA223" s="997"/>
      <c r="BC223" s="997"/>
      <c r="BE223" s="997"/>
      <c r="BF223" s="997"/>
      <c r="BG223" s="997"/>
    </row>
    <row r="224" spans="18:59" x14ac:dyDescent="0.35">
      <c r="R224" s="997"/>
      <c r="S224" s="997"/>
      <c r="W224" s="997"/>
      <c r="X224" s="997"/>
      <c r="AE224" s="997"/>
      <c r="AF224" s="997"/>
      <c r="AV224" s="997"/>
      <c r="AW224" s="997"/>
      <c r="AX224" s="997"/>
      <c r="AY224" s="997"/>
      <c r="AZ224" s="997"/>
      <c r="BA224" s="997"/>
      <c r="BC224" s="997"/>
      <c r="BE224" s="997"/>
      <c r="BF224" s="997"/>
      <c r="BG224" s="997"/>
    </row>
    <row r="225" spans="18:59" x14ac:dyDescent="0.35">
      <c r="R225" s="997"/>
      <c r="S225" s="997"/>
      <c r="W225" s="997"/>
      <c r="X225" s="997"/>
      <c r="AE225" s="997"/>
      <c r="AF225" s="997"/>
      <c r="AV225" s="997"/>
      <c r="AW225" s="997"/>
      <c r="AX225" s="997"/>
      <c r="AY225" s="997"/>
      <c r="AZ225" s="997"/>
      <c r="BA225" s="997"/>
      <c r="BC225" s="997"/>
      <c r="BE225" s="997"/>
      <c r="BF225" s="997"/>
      <c r="BG225" s="997"/>
    </row>
    <row r="226" spans="18:59" x14ac:dyDescent="0.35">
      <c r="R226" s="997"/>
      <c r="S226" s="997"/>
      <c r="W226" s="997"/>
      <c r="X226" s="997"/>
      <c r="AE226" s="997"/>
      <c r="AF226" s="997"/>
      <c r="AV226" s="997"/>
      <c r="AW226" s="997"/>
      <c r="AX226" s="997"/>
      <c r="AY226" s="997"/>
      <c r="AZ226" s="997"/>
      <c r="BA226" s="997"/>
      <c r="BC226" s="997"/>
      <c r="BE226" s="997"/>
      <c r="BF226" s="997"/>
      <c r="BG226" s="997"/>
    </row>
    <row r="227" spans="18:59" x14ac:dyDescent="0.35">
      <c r="R227" s="997"/>
      <c r="S227" s="997"/>
      <c r="W227" s="997"/>
      <c r="X227" s="997"/>
      <c r="AE227" s="997"/>
      <c r="AF227" s="997"/>
      <c r="AV227" s="997"/>
      <c r="AW227" s="997"/>
      <c r="AX227" s="997"/>
      <c r="AY227" s="997"/>
      <c r="AZ227" s="997"/>
      <c r="BA227" s="997"/>
      <c r="BC227" s="997"/>
      <c r="BE227" s="997"/>
      <c r="BF227" s="997"/>
      <c r="BG227" s="997"/>
    </row>
    <row r="228" spans="18:59" x14ac:dyDescent="0.35">
      <c r="R228" s="997"/>
      <c r="S228" s="997"/>
      <c r="W228" s="997"/>
      <c r="X228" s="997"/>
      <c r="AE228" s="997"/>
      <c r="AF228" s="997"/>
      <c r="AV228" s="997"/>
      <c r="AW228" s="997"/>
      <c r="AX228" s="997"/>
      <c r="AY228" s="997"/>
      <c r="AZ228" s="997"/>
      <c r="BA228" s="997"/>
      <c r="BC228" s="997"/>
      <c r="BE228" s="997"/>
      <c r="BF228" s="997"/>
      <c r="BG228" s="997"/>
    </row>
    <row r="229" spans="18:59" x14ac:dyDescent="0.35">
      <c r="R229" s="997"/>
      <c r="S229" s="997"/>
      <c r="W229" s="997"/>
      <c r="X229" s="997"/>
      <c r="AE229" s="997"/>
      <c r="AF229" s="997"/>
      <c r="AV229" s="997"/>
      <c r="AW229" s="997"/>
      <c r="AX229" s="997"/>
      <c r="AY229" s="997"/>
      <c r="AZ229" s="997"/>
      <c r="BA229" s="997"/>
      <c r="BC229" s="997"/>
      <c r="BE229" s="997"/>
      <c r="BF229" s="997"/>
      <c r="BG229" s="997"/>
    </row>
    <row r="230" spans="18:59" x14ac:dyDescent="0.35">
      <c r="R230" s="997"/>
      <c r="S230" s="997"/>
      <c r="W230" s="997"/>
      <c r="X230" s="997"/>
      <c r="AE230" s="997"/>
      <c r="AF230" s="997"/>
      <c r="AV230" s="997"/>
      <c r="AW230" s="997"/>
      <c r="AX230" s="997"/>
      <c r="AY230" s="997"/>
      <c r="AZ230" s="997"/>
      <c r="BA230" s="997"/>
      <c r="BC230" s="997"/>
      <c r="BE230" s="997"/>
      <c r="BF230" s="997"/>
      <c r="BG230" s="997"/>
    </row>
    <row r="231" spans="18:59" x14ac:dyDescent="0.35">
      <c r="R231" s="997"/>
      <c r="S231" s="997"/>
      <c r="W231" s="997"/>
      <c r="X231" s="997"/>
      <c r="AE231" s="997"/>
      <c r="AF231" s="997"/>
      <c r="AV231" s="997"/>
      <c r="AW231" s="997"/>
      <c r="AX231" s="997"/>
      <c r="AY231" s="997"/>
      <c r="AZ231" s="997"/>
      <c r="BA231" s="997"/>
      <c r="BC231" s="997"/>
      <c r="BE231" s="997"/>
      <c r="BF231" s="997"/>
      <c r="BG231" s="997"/>
    </row>
    <row r="232" spans="18:59" x14ac:dyDescent="0.35">
      <c r="R232" s="997"/>
      <c r="S232" s="997"/>
      <c r="W232" s="997"/>
      <c r="X232" s="997"/>
      <c r="AE232" s="997"/>
      <c r="AF232" s="997"/>
      <c r="AV232" s="997"/>
      <c r="AW232" s="997"/>
      <c r="AX232" s="997"/>
      <c r="AY232" s="997"/>
      <c r="AZ232" s="997"/>
      <c r="BA232" s="997"/>
      <c r="BC232" s="997"/>
      <c r="BE232" s="997"/>
      <c r="BF232" s="997"/>
      <c r="BG232" s="997"/>
    </row>
    <row r="233" spans="18:59" x14ac:dyDescent="0.35">
      <c r="R233" s="997"/>
      <c r="S233" s="997"/>
      <c r="W233" s="997"/>
      <c r="X233" s="997"/>
      <c r="AE233" s="997"/>
      <c r="AF233" s="997"/>
      <c r="AV233" s="997"/>
      <c r="AW233" s="997"/>
      <c r="AX233" s="997"/>
      <c r="AY233" s="997"/>
      <c r="AZ233" s="997"/>
      <c r="BA233" s="997"/>
      <c r="BC233" s="997"/>
      <c r="BE233" s="997"/>
      <c r="BF233" s="997"/>
      <c r="BG233" s="997"/>
    </row>
    <row r="234" spans="18:59" x14ac:dyDescent="0.35">
      <c r="R234" s="997"/>
      <c r="S234" s="997"/>
      <c r="W234" s="997"/>
      <c r="X234" s="997"/>
      <c r="AE234" s="997"/>
      <c r="AF234" s="997"/>
      <c r="AV234" s="997"/>
      <c r="AW234" s="997"/>
      <c r="AX234" s="997"/>
      <c r="AY234" s="997"/>
      <c r="AZ234" s="997"/>
      <c r="BA234" s="997"/>
      <c r="BC234" s="997"/>
      <c r="BE234" s="997"/>
      <c r="BF234" s="997"/>
      <c r="BG234" s="997"/>
    </row>
    <row r="235" spans="18:59" x14ac:dyDescent="0.35">
      <c r="R235" s="997"/>
      <c r="S235" s="997"/>
      <c r="W235" s="997"/>
      <c r="X235" s="997"/>
      <c r="AE235" s="997"/>
      <c r="AF235" s="997"/>
      <c r="AV235" s="997"/>
      <c r="AW235" s="997"/>
      <c r="AX235" s="997"/>
      <c r="AY235" s="997"/>
      <c r="AZ235" s="997"/>
      <c r="BA235" s="997"/>
      <c r="BC235" s="997"/>
      <c r="BE235" s="997"/>
      <c r="BF235" s="997"/>
      <c r="BG235" s="997"/>
    </row>
    <row r="236" spans="18:59" x14ac:dyDescent="0.35">
      <c r="R236" s="997"/>
      <c r="S236" s="997"/>
      <c r="W236" s="997"/>
      <c r="X236" s="997"/>
      <c r="AE236" s="997"/>
      <c r="AF236" s="997"/>
      <c r="AV236" s="997"/>
      <c r="AW236" s="997"/>
      <c r="AX236" s="997"/>
      <c r="AY236" s="997"/>
      <c r="AZ236" s="997"/>
      <c r="BA236" s="997"/>
      <c r="BC236" s="997"/>
      <c r="BE236" s="997"/>
      <c r="BF236" s="997"/>
      <c r="BG236" s="997"/>
    </row>
    <row r="237" spans="18:59" x14ac:dyDescent="0.35">
      <c r="R237" s="997"/>
      <c r="S237" s="997"/>
      <c r="W237" s="997"/>
      <c r="X237" s="997"/>
      <c r="AE237" s="997"/>
      <c r="AF237" s="997"/>
      <c r="AV237" s="997"/>
      <c r="AW237" s="997"/>
      <c r="AX237" s="997"/>
      <c r="AY237" s="997"/>
      <c r="AZ237" s="997"/>
      <c r="BA237" s="997"/>
      <c r="BC237" s="997"/>
      <c r="BE237" s="997"/>
      <c r="BF237" s="997"/>
      <c r="BG237" s="997"/>
    </row>
    <row r="238" spans="18:59" x14ac:dyDescent="0.35">
      <c r="R238" s="997"/>
      <c r="S238" s="997"/>
      <c r="W238" s="997"/>
      <c r="X238" s="997"/>
      <c r="AE238" s="997"/>
      <c r="AF238" s="997"/>
      <c r="AV238" s="997"/>
      <c r="AW238" s="997"/>
      <c r="AX238" s="997"/>
      <c r="AY238" s="997"/>
      <c r="AZ238" s="997"/>
      <c r="BA238" s="997"/>
      <c r="BC238" s="997"/>
      <c r="BE238" s="997"/>
      <c r="BF238" s="997"/>
      <c r="BG238" s="997"/>
    </row>
    <row r="239" spans="18:59" x14ac:dyDescent="0.35">
      <c r="R239" s="997"/>
      <c r="S239" s="997"/>
      <c r="W239" s="997"/>
      <c r="X239" s="997"/>
      <c r="AE239" s="997"/>
      <c r="AF239" s="997"/>
      <c r="AV239" s="997"/>
      <c r="AW239" s="997"/>
      <c r="AX239" s="997"/>
      <c r="AY239" s="997"/>
      <c r="AZ239" s="997"/>
      <c r="BA239" s="997"/>
      <c r="BC239" s="997"/>
      <c r="BE239" s="997"/>
      <c r="BF239" s="997"/>
      <c r="BG239" s="997"/>
    </row>
    <row r="240" spans="18:59" x14ac:dyDescent="0.35">
      <c r="R240" s="997"/>
      <c r="S240" s="997"/>
      <c r="W240" s="997"/>
      <c r="X240" s="997"/>
      <c r="AE240" s="997"/>
      <c r="AF240" s="997"/>
      <c r="AV240" s="997"/>
      <c r="AW240" s="997"/>
      <c r="AX240" s="997"/>
      <c r="AY240" s="997"/>
      <c r="AZ240" s="997"/>
      <c r="BA240" s="997"/>
      <c r="BC240" s="997"/>
      <c r="BE240" s="997"/>
      <c r="BF240" s="997"/>
      <c r="BG240" s="997"/>
    </row>
    <row r="241" spans="18:59" x14ac:dyDescent="0.35">
      <c r="R241" s="997"/>
      <c r="S241" s="997"/>
      <c r="W241" s="997"/>
      <c r="X241" s="997"/>
      <c r="AE241" s="997"/>
      <c r="AF241" s="997"/>
      <c r="AV241" s="997"/>
      <c r="AW241" s="997"/>
      <c r="AX241" s="997"/>
      <c r="AY241" s="997"/>
      <c r="AZ241" s="997"/>
      <c r="BA241" s="997"/>
      <c r="BC241" s="997"/>
      <c r="BE241" s="997"/>
      <c r="BF241" s="997"/>
      <c r="BG241" s="997"/>
    </row>
    <row r="242" spans="18:59" x14ac:dyDescent="0.35">
      <c r="R242" s="997"/>
      <c r="S242" s="997"/>
      <c r="W242" s="997"/>
      <c r="X242" s="997"/>
      <c r="AE242" s="997"/>
      <c r="AF242" s="997"/>
      <c r="AV242" s="997"/>
      <c r="AW242" s="997"/>
      <c r="AX242" s="997"/>
      <c r="AY242" s="997"/>
      <c r="AZ242" s="997"/>
      <c r="BA242" s="997"/>
      <c r="BC242" s="997"/>
      <c r="BE242" s="997"/>
      <c r="BF242" s="997"/>
      <c r="BG242" s="997"/>
    </row>
    <row r="243" spans="18:59" x14ac:dyDescent="0.35">
      <c r="R243" s="997"/>
      <c r="S243" s="997"/>
      <c r="W243" s="997"/>
      <c r="X243" s="997"/>
      <c r="AE243" s="997"/>
      <c r="AF243" s="997"/>
      <c r="AV243" s="997"/>
      <c r="AW243" s="997"/>
      <c r="AX243" s="997"/>
      <c r="AY243" s="997"/>
      <c r="AZ243" s="997"/>
      <c r="BA243" s="997"/>
      <c r="BC243" s="997"/>
      <c r="BE243" s="997"/>
      <c r="BF243" s="997"/>
      <c r="BG243" s="997"/>
    </row>
    <row r="244" spans="18:59" x14ac:dyDescent="0.35">
      <c r="R244" s="997"/>
      <c r="S244" s="997"/>
      <c r="W244" s="997"/>
      <c r="X244" s="997"/>
      <c r="AE244" s="997"/>
      <c r="AF244" s="997"/>
      <c r="AV244" s="997"/>
      <c r="AW244" s="997"/>
      <c r="AX244" s="997"/>
      <c r="AY244" s="997"/>
      <c r="AZ244" s="997"/>
      <c r="BA244" s="997"/>
      <c r="BC244" s="997"/>
      <c r="BE244" s="997"/>
      <c r="BF244" s="997"/>
      <c r="BG244" s="997"/>
    </row>
    <row r="245" spans="18:59" x14ac:dyDescent="0.35">
      <c r="R245" s="997"/>
      <c r="S245" s="997"/>
      <c r="W245" s="997"/>
      <c r="X245" s="997"/>
      <c r="AE245" s="997"/>
      <c r="AF245" s="997"/>
      <c r="AV245" s="997"/>
      <c r="AW245" s="997"/>
      <c r="AX245" s="997"/>
      <c r="AY245" s="997"/>
      <c r="AZ245" s="997"/>
      <c r="BA245" s="997"/>
      <c r="BC245" s="997"/>
      <c r="BE245" s="997"/>
      <c r="BF245" s="997"/>
      <c r="BG245" s="997"/>
    </row>
    <row r="246" spans="18:59" x14ac:dyDescent="0.35">
      <c r="R246" s="997"/>
      <c r="S246" s="997"/>
      <c r="W246" s="997"/>
      <c r="X246" s="997"/>
      <c r="AE246" s="997"/>
      <c r="AF246" s="997"/>
      <c r="AV246" s="997"/>
      <c r="AW246" s="997"/>
      <c r="AX246" s="997"/>
      <c r="AY246" s="997"/>
      <c r="AZ246" s="997"/>
      <c r="BA246" s="997"/>
      <c r="BC246" s="997"/>
      <c r="BE246" s="997"/>
      <c r="BF246" s="997"/>
      <c r="BG246" s="997"/>
    </row>
    <row r="247" spans="18:59" x14ac:dyDescent="0.35">
      <c r="R247" s="997"/>
      <c r="S247" s="997"/>
      <c r="W247" s="997"/>
      <c r="X247" s="997"/>
      <c r="AE247" s="997"/>
      <c r="AF247" s="997"/>
      <c r="AV247" s="997"/>
      <c r="AW247" s="997"/>
      <c r="AX247" s="997"/>
      <c r="AY247" s="997"/>
      <c r="AZ247" s="997"/>
      <c r="BA247" s="997"/>
      <c r="BC247" s="997"/>
      <c r="BE247" s="997"/>
      <c r="BF247" s="997"/>
      <c r="BG247" s="997"/>
    </row>
    <row r="248" spans="18:59" x14ac:dyDescent="0.35">
      <c r="R248" s="997"/>
      <c r="S248" s="997"/>
      <c r="W248" s="997"/>
      <c r="X248" s="997"/>
      <c r="AE248" s="997"/>
      <c r="AF248" s="997"/>
      <c r="AV248" s="997"/>
      <c r="AW248" s="997"/>
      <c r="AX248" s="997"/>
      <c r="AY248" s="997"/>
      <c r="AZ248" s="997"/>
      <c r="BA248" s="997"/>
      <c r="BC248" s="997"/>
      <c r="BE248" s="997"/>
      <c r="BF248" s="997"/>
      <c r="BG248" s="997"/>
    </row>
    <row r="249" spans="18:59" x14ac:dyDescent="0.35">
      <c r="R249" s="997"/>
      <c r="S249" s="997"/>
      <c r="W249" s="997"/>
      <c r="X249" s="997"/>
      <c r="AE249" s="997"/>
      <c r="AF249" s="997"/>
      <c r="AV249" s="997"/>
      <c r="AW249" s="997"/>
      <c r="AX249" s="997"/>
      <c r="AY249" s="997"/>
      <c r="AZ249" s="997"/>
      <c r="BA249" s="997"/>
      <c r="BC249" s="997"/>
      <c r="BE249" s="997"/>
      <c r="BF249" s="997"/>
      <c r="BG249" s="997"/>
    </row>
    <row r="250" spans="18:59" x14ac:dyDescent="0.35">
      <c r="R250" s="997"/>
      <c r="S250" s="997"/>
      <c r="W250" s="997"/>
      <c r="X250" s="997"/>
      <c r="AE250" s="997"/>
      <c r="AF250" s="997"/>
      <c r="AV250" s="997"/>
      <c r="AW250" s="997"/>
      <c r="AX250" s="997"/>
      <c r="AY250" s="997"/>
      <c r="AZ250" s="997"/>
      <c r="BA250" s="997"/>
      <c r="BC250" s="997"/>
      <c r="BE250" s="997"/>
      <c r="BF250" s="997"/>
      <c r="BG250" s="997"/>
    </row>
    <row r="251" spans="18:59" x14ac:dyDescent="0.35">
      <c r="R251" s="997"/>
      <c r="S251" s="997"/>
      <c r="W251" s="997"/>
      <c r="X251" s="997"/>
      <c r="AE251" s="997"/>
      <c r="AF251" s="997"/>
      <c r="AV251" s="997"/>
      <c r="AW251" s="997"/>
      <c r="AX251" s="997"/>
      <c r="AY251" s="997"/>
      <c r="AZ251" s="997"/>
      <c r="BA251" s="997"/>
      <c r="BC251" s="997"/>
      <c r="BE251" s="997"/>
      <c r="BF251" s="997"/>
      <c r="BG251" s="997"/>
    </row>
    <row r="252" spans="18:59" x14ac:dyDescent="0.35">
      <c r="R252" s="997"/>
      <c r="S252" s="997"/>
      <c r="W252" s="997"/>
      <c r="X252" s="997"/>
      <c r="AE252" s="997"/>
      <c r="AF252" s="997"/>
      <c r="AV252" s="997"/>
      <c r="AW252" s="997"/>
      <c r="AX252" s="997"/>
      <c r="AY252" s="997"/>
      <c r="AZ252" s="997"/>
      <c r="BA252" s="997"/>
      <c r="BC252" s="997"/>
      <c r="BE252" s="997"/>
      <c r="BF252" s="997"/>
      <c r="BG252" s="997"/>
    </row>
    <row r="253" spans="18:59" x14ac:dyDescent="0.35">
      <c r="R253" s="997"/>
      <c r="S253" s="997"/>
      <c r="W253" s="997"/>
      <c r="X253" s="997"/>
      <c r="AE253" s="997"/>
      <c r="AF253" s="997"/>
      <c r="AV253" s="997"/>
      <c r="AW253" s="997"/>
      <c r="AX253" s="997"/>
      <c r="AY253" s="997"/>
      <c r="AZ253" s="997"/>
      <c r="BA253" s="997"/>
      <c r="BC253" s="997"/>
      <c r="BE253" s="997"/>
      <c r="BF253" s="997"/>
      <c r="BG253" s="997"/>
    </row>
    <row r="254" spans="18:59" x14ac:dyDescent="0.35">
      <c r="R254" s="997"/>
      <c r="S254" s="997"/>
      <c r="W254" s="997"/>
      <c r="X254" s="997"/>
      <c r="AE254" s="997"/>
      <c r="AF254" s="997"/>
      <c r="AV254" s="997"/>
      <c r="AW254" s="997"/>
      <c r="AX254" s="997"/>
      <c r="AY254" s="997"/>
      <c r="AZ254" s="997"/>
      <c r="BA254" s="997"/>
      <c r="BC254" s="997"/>
      <c r="BE254" s="997"/>
      <c r="BF254" s="997"/>
      <c r="BG254" s="997"/>
    </row>
    <row r="255" spans="18:59" x14ac:dyDescent="0.35">
      <c r="R255" s="997"/>
      <c r="S255" s="997"/>
      <c r="W255" s="997"/>
      <c r="X255" s="997"/>
      <c r="AE255" s="997"/>
      <c r="AF255" s="997"/>
      <c r="AV255" s="997"/>
      <c r="AW255" s="997"/>
      <c r="AX255" s="997"/>
      <c r="AY255" s="997"/>
      <c r="AZ255" s="997"/>
      <c r="BA255" s="997"/>
      <c r="BC255" s="997"/>
      <c r="BE255" s="997"/>
      <c r="BF255" s="997"/>
      <c r="BG255" s="997"/>
    </row>
    <row r="256" spans="18:59" x14ac:dyDescent="0.35">
      <c r="R256" s="997"/>
      <c r="S256" s="997"/>
      <c r="W256" s="997"/>
      <c r="X256" s="997"/>
      <c r="AE256" s="997"/>
      <c r="AF256" s="997"/>
      <c r="AV256" s="997"/>
      <c r="AW256" s="997"/>
      <c r="AX256" s="997"/>
      <c r="AY256" s="997"/>
      <c r="AZ256" s="997"/>
      <c r="BA256" s="997"/>
      <c r="BC256" s="997"/>
      <c r="BE256" s="997"/>
      <c r="BF256" s="997"/>
      <c r="BG256" s="997"/>
    </row>
    <row r="257" spans="18:59" x14ac:dyDescent="0.35">
      <c r="R257" s="997"/>
      <c r="S257" s="997"/>
      <c r="W257" s="997"/>
      <c r="X257" s="997"/>
      <c r="AE257" s="997"/>
      <c r="AF257" s="997"/>
      <c r="AV257" s="997"/>
      <c r="AW257" s="997"/>
      <c r="AX257" s="997"/>
      <c r="AY257" s="997"/>
      <c r="AZ257" s="997"/>
      <c r="BA257" s="997"/>
      <c r="BC257" s="997"/>
      <c r="BE257" s="997"/>
      <c r="BF257" s="997"/>
      <c r="BG257" s="997"/>
    </row>
    <row r="258" spans="18:59" x14ac:dyDescent="0.35">
      <c r="R258" s="997"/>
      <c r="S258" s="997"/>
      <c r="W258" s="997"/>
      <c r="X258" s="997"/>
      <c r="AE258" s="997"/>
      <c r="AF258" s="997"/>
      <c r="AV258" s="997"/>
      <c r="AW258" s="997"/>
      <c r="AX258" s="997"/>
      <c r="AY258" s="997"/>
      <c r="AZ258" s="997"/>
      <c r="BA258" s="997"/>
      <c r="BC258" s="997"/>
      <c r="BE258" s="997"/>
      <c r="BF258" s="997"/>
      <c r="BG258" s="997"/>
    </row>
    <row r="259" spans="18:59" x14ac:dyDescent="0.35">
      <c r="R259" s="997"/>
      <c r="S259" s="997"/>
      <c r="W259" s="997"/>
      <c r="X259" s="997"/>
      <c r="AE259" s="997"/>
      <c r="AF259" s="997"/>
      <c r="AV259" s="997"/>
      <c r="AW259" s="997"/>
      <c r="AX259" s="997"/>
      <c r="AY259" s="997"/>
      <c r="AZ259" s="997"/>
      <c r="BA259" s="997"/>
      <c r="BC259" s="997"/>
      <c r="BE259" s="997"/>
      <c r="BF259" s="997"/>
      <c r="BG259" s="997"/>
    </row>
    <row r="260" spans="18:59" x14ac:dyDescent="0.35">
      <c r="R260" s="997"/>
      <c r="S260" s="997"/>
      <c r="W260" s="997"/>
      <c r="X260" s="997"/>
      <c r="AE260" s="997"/>
      <c r="AF260" s="997"/>
      <c r="AV260" s="997"/>
      <c r="AW260" s="997"/>
      <c r="AX260" s="997"/>
      <c r="AY260" s="997"/>
      <c r="AZ260" s="997"/>
      <c r="BA260" s="997"/>
      <c r="BC260" s="997"/>
      <c r="BE260" s="997"/>
      <c r="BF260" s="997"/>
      <c r="BG260" s="997"/>
    </row>
    <row r="261" spans="18:59" x14ac:dyDescent="0.35">
      <c r="R261" s="997"/>
      <c r="S261" s="997"/>
      <c r="W261" s="997"/>
      <c r="X261" s="997"/>
      <c r="AE261" s="997"/>
      <c r="AF261" s="997"/>
      <c r="AV261" s="997"/>
      <c r="AW261" s="997"/>
      <c r="AX261" s="997"/>
      <c r="AY261" s="997"/>
      <c r="AZ261" s="997"/>
      <c r="BA261" s="997"/>
      <c r="BC261" s="997"/>
      <c r="BE261" s="997"/>
      <c r="BF261" s="997"/>
      <c r="BG261" s="997"/>
    </row>
    <row r="262" spans="18:59" x14ac:dyDescent="0.35">
      <c r="R262" s="997"/>
      <c r="S262" s="997"/>
      <c r="W262" s="997"/>
      <c r="X262" s="997"/>
      <c r="AE262" s="997"/>
      <c r="AF262" s="997"/>
      <c r="AV262" s="997"/>
      <c r="AW262" s="997"/>
      <c r="AX262" s="997"/>
      <c r="AY262" s="997"/>
      <c r="AZ262" s="997"/>
      <c r="BA262" s="997"/>
      <c r="BC262" s="997"/>
      <c r="BE262" s="997"/>
      <c r="BF262" s="997"/>
      <c r="BG262" s="997"/>
    </row>
    <row r="263" spans="18:59" x14ac:dyDescent="0.35">
      <c r="R263" s="997"/>
      <c r="S263" s="997"/>
      <c r="W263" s="997"/>
      <c r="X263" s="997"/>
      <c r="AE263" s="997"/>
      <c r="AF263" s="997"/>
      <c r="AV263" s="997"/>
      <c r="AW263" s="997"/>
      <c r="AX263" s="997"/>
      <c r="AY263" s="997"/>
      <c r="AZ263" s="997"/>
      <c r="BA263" s="997"/>
      <c r="BC263" s="997"/>
      <c r="BE263" s="997"/>
      <c r="BF263" s="997"/>
      <c r="BG263" s="997"/>
    </row>
    <row r="264" spans="18:59" x14ac:dyDescent="0.35">
      <c r="R264" s="997"/>
      <c r="S264" s="997"/>
      <c r="W264" s="997"/>
      <c r="X264" s="997"/>
      <c r="AE264" s="997"/>
      <c r="AF264" s="997"/>
      <c r="AV264" s="997"/>
      <c r="AW264" s="997"/>
      <c r="AX264" s="997"/>
      <c r="AY264" s="997"/>
      <c r="AZ264" s="997"/>
      <c r="BA264" s="997"/>
      <c r="BC264" s="997"/>
      <c r="BE264" s="997"/>
      <c r="BF264" s="997"/>
      <c r="BG264" s="997"/>
    </row>
    <row r="265" spans="18:59" x14ac:dyDescent="0.35">
      <c r="R265" s="997"/>
      <c r="S265" s="997"/>
      <c r="W265" s="997"/>
      <c r="X265" s="997"/>
      <c r="AE265" s="997"/>
      <c r="AF265" s="997"/>
      <c r="AV265" s="997"/>
      <c r="AW265" s="997"/>
      <c r="AX265" s="997"/>
      <c r="AY265" s="997"/>
      <c r="AZ265" s="997"/>
      <c r="BA265" s="997"/>
      <c r="BC265" s="997"/>
      <c r="BE265" s="997"/>
      <c r="BF265" s="997"/>
      <c r="BG265" s="997"/>
    </row>
    <row r="266" spans="18:59" x14ac:dyDescent="0.35">
      <c r="R266" s="997"/>
      <c r="S266" s="997"/>
      <c r="W266" s="997"/>
      <c r="X266" s="997"/>
      <c r="AE266" s="997"/>
      <c r="AF266" s="997"/>
      <c r="AV266" s="997"/>
      <c r="AW266" s="997"/>
      <c r="AX266" s="997"/>
      <c r="AY266" s="997"/>
      <c r="AZ266" s="997"/>
      <c r="BA266" s="997"/>
      <c r="BC266" s="997"/>
      <c r="BE266" s="997"/>
      <c r="BF266" s="997"/>
      <c r="BG266" s="997"/>
    </row>
    <row r="267" spans="18:59" x14ac:dyDescent="0.35">
      <c r="R267" s="997"/>
      <c r="S267" s="997"/>
      <c r="W267" s="997"/>
      <c r="X267" s="997"/>
      <c r="AE267" s="997"/>
      <c r="AF267" s="997"/>
      <c r="AV267" s="997"/>
      <c r="AW267" s="997"/>
      <c r="AX267" s="997"/>
      <c r="AY267" s="997"/>
      <c r="AZ267" s="997"/>
      <c r="BA267" s="997"/>
      <c r="BC267" s="997"/>
      <c r="BE267" s="997"/>
      <c r="BF267" s="997"/>
      <c r="BG267" s="997"/>
    </row>
    <row r="268" spans="18:59" x14ac:dyDescent="0.35">
      <c r="R268" s="997"/>
      <c r="S268" s="997"/>
      <c r="W268" s="997"/>
      <c r="X268" s="997"/>
      <c r="AE268" s="997"/>
      <c r="AF268" s="997"/>
      <c r="AV268" s="997"/>
      <c r="AW268" s="997"/>
      <c r="AX268" s="997"/>
      <c r="AY268" s="997"/>
      <c r="AZ268" s="997"/>
      <c r="BA268" s="997"/>
      <c r="BC268" s="997"/>
      <c r="BE268" s="997"/>
      <c r="BF268" s="997"/>
      <c r="BG268" s="997"/>
    </row>
    <row r="269" spans="18:59" x14ac:dyDescent="0.35">
      <c r="R269" s="997"/>
      <c r="S269" s="997"/>
      <c r="W269" s="997"/>
      <c r="X269" s="997"/>
      <c r="AE269" s="997"/>
      <c r="AF269" s="997"/>
      <c r="AV269" s="997"/>
      <c r="AW269" s="997"/>
      <c r="AX269" s="997"/>
      <c r="AY269" s="997"/>
      <c r="AZ269" s="997"/>
      <c r="BA269" s="997"/>
      <c r="BC269" s="997"/>
      <c r="BE269" s="997"/>
      <c r="BF269" s="997"/>
      <c r="BG269" s="997"/>
    </row>
    <row r="270" spans="18:59" x14ac:dyDescent="0.35">
      <c r="R270" s="997"/>
      <c r="S270" s="997"/>
      <c r="W270" s="997"/>
      <c r="X270" s="997"/>
      <c r="AE270" s="997"/>
      <c r="AF270" s="997"/>
      <c r="AV270" s="997"/>
      <c r="AW270" s="997"/>
      <c r="AX270" s="997"/>
      <c r="AY270" s="997"/>
      <c r="AZ270" s="997"/>
      <c r="BA270" s="997"/>
      <c r="BC270" s="997"/>
      <c r="BE270" s="997"/>
      <c r="BF270" s="997"/>
      <c r="BG270" s="997"/>
    </row>
    <row r="271" spans="18:59" x14ac:dyDescent="0.35">
      <c r="R271" s="997"/>
      <c r="S271" s="997"/>
      <c r="W271" s="997"/>
      <c r="X271" s="997"/>
      <c r="AE271" s="997"/>
      <c r="AF271" s="997"/>
      <c r="AV271" s="997"/>
      <c r="AW271" s="997"/>
      <c r="AX271" s="997"/>
      <c r="AY271" s="997"/>
      <c r="AZ271" s="997"/>
      <c r="BA271" s="997"/>
      <c r="BC271" s="997"/>
      <c r="BE271" s="997"/>
      <c r="BF271" s="997"/>
      <c r="BG271" s="997"/>
    </row>
    <row r="272" spans="18:59" x14ac:dyDescent="0.35">
      <c r="R272" s="997"/>
      <c r="S272" s="997"/>
      <c r="W272" s="997"/>
      <c r="X272" s="997"/>
      <c r="AE272" s="997"/>
      <c r="AF272" s="997"/>
      <c r="AV272" s="997"/>
      <c r="AW272" s="997"/>
      <c r="AX272" s="997"/>
      <c r="AY272" s="997"/>
      <c r="AZ272" s="997"/>
      <c r="BA272" s="997"/>
      <c r="BC272" s="997"/>
      <c r="BE272" s="997"/>
      <c r="BF272" s="997"/>
      <c r="BG272" s="997"/>
    </row>
    <row r="273" spans="18:59" x14ac:dyDescent="0.35">
      <c r="R273" s="997"/>
      <c r="S273" s="997"/>
      <c r="W273" s="997"/>
      <c r="X273" s="997"/>
      <c r="AE273" s="997"/>
      <c r="AF273" s="997"/>
      <c r="AV273" s="997"/>
      <c r="AW273" s="997"/>
      <c r="AX273" s="997"/>
      <c r="AY273" s="997"/>
      <c r="AZ273" s="997"/>
      <c r="BA273" s="997"/>
      <c r="BC273" s="997"/>
      <c r="BE273" s="997"/>
      <c r="BF273" s="997"/>
      <c r="BG273" s="997"/>
    </row>
    <row r="274" spans="18:59" x14ac:dyDescent="0.35">
      <c r="R274" s="997"/>
      <c r="S274" s="997"/>
      <c r="W274" s="997"/>
      <c r="X274" s="997"/>
      <c r="AE274" s="997"/>
      <c r="AF274" s="997"/>
      <c r="AV274" s="997"/>
      <c r="AW274" s="997"/>
      <c r="AX274" s="997"/>
      <c r="AY274" s="997"/>
      <c r="AZ274" s="997"/>
      <c r="BA274" s="997"/>
      <c r="BC274" s="997"/>
      <c r="BE274" s="997"/>
      <c r="BF274" s="997"/>
      <c r="BG274" s="997"/>
    </row>
    <row r="275" spans="18:59" x14ac:dyDescent="0.35">
      <c r="R275" s="997"/>
      <c r="S275" s="997"/>
      <c r="W275" s="997"/>
      <c r="X275" s="997"/>
      <c r="AE275" s="997"/>
      <c r="AF275" s="997"/>
      <c r="AV275" s="997"/>
      <c r="AW275" s="997"/>
      <c r="AX275" s="997"/>
      <c r="AY275" s="997"/>
      <c r="AZ275" s="997"/>
      <c r="BA275" s="997"/>
      <c r="BC275" s="997"/>
      <c r="BE275" s="997"/>
      <c r="BF275" s="997"/>
      <c r="BG275" s="997"/>
    </row>
    <row r="276" spans="18:59" x14ac:dyDescent="0.35">
      <c r="R276" s="997"/>
      <c r="S276" s="997"/>
      <c r="W276" s="997"/>
      <c r="X276" s="997"/>
      <c r="AE276" s="997"/>
      <c r="AF276" s="997"/>
      <c r="AV276" s="997"/>
      <c r="AW276" s="997"/>
      <c r="AX276" s="997"/>
      <c r="AY276" s="997"/>
      <c r="AZ276" s="997"/>
      <c r="BA276" s="997"/>
      <c r="BC276" s="997"/>
      <c r="BE276" s="997"/>
      <c r="BF276" s="997"/>
      <c r="BG276" s="997"/>
    </row>
    <row r="277" spans="18:59" x14ac:dyDescent="0.35">
      <c r="R277" s="997"/>
      <c r="S277" s="997"/>
      <c r="W277" s="997"/>
      <c r="X277" s="997"/>
      <c r="AE277" s="997"/>
      <c r="AF277" s="997"/>
      <c r="AV277" s="997"/>
      <c r="AW277" s="997"/>
      <c r="AX277" s="997"/>
      <c r="AY277" s="997"/>
      <c r="AZ277" s="997"/>
      <c r="BA277" s="997"/>
      <c r="BC277" s="997"/>
      <c r="BE277" s="997"/>
      <c r="BF277" s="997"/>
      <c r="BG277" s="997"/>
    </row>
    <row r="278" spans="18:59" x14ac:dyDescent="0.35">
      <c r="R278" s="997"/>
      <c r="S278" s="997"/>
      <c r="W278" s="997"/>
      <c r="X278" s="997"/>
      <c r="AE278" s="997"/>
      <c r="AF278" s="997"/>
      <c r="AV278" s="997"/>
      <c r="AW278" s="997"/>
      <c r="AX278" s="997"/>
      <c r="AY278" s="997"/>
      <c r="AZ278" s="997"/>
      <c r="BA278" s="997"/>
      <c r="BC278" s="997"/>
      <c r="BE278" s="997"/>
      <c r="BF278" s="997"/>
      <c r="BG278" s="997"/>
    </row>
    <row r="279" spans="18:59" x14ac:dyDescent="0.35">
      <c r="R279" s="997"/>
      <c r="S279" s="997"/>
      <c r="W279" s="997"/>
      <c r="X279" s="997"/>
      <c r="AE279" s="997"/>
      <c r="AF279" s="997"/>
      <c r="AV279" s="997"/>
      <c r="AW279" s="997"/>
      <c r="AX279" s="997"/>
      <c r="AY279" s="997"/>
      <c r="AZ279" s="997"/>
      <c r="BA279" s="997"/>
      <c r="BC279" s="997"/>
      <c r="BE279" s="997"/>
      <c r="BF279" s="997"/>
      <c r="BG279" s="997"/>
    </row>
    <row r="280" spans="18:59" x14ac:dyDescent="0.35">
      <c r="R280" s="997"/>
      <c r="S280" s="997"/>
      <c r="W280" s="997"/>
      <c r="X280" s="997"/>
      <c r="AE280" s="997"/>
      <c r="AF280" s="997"/>
      <c r="AV280" s="997"/>
      <c r="AW280" s="997"/>
      <c r="AX280" s="997"/>
      <c r="AY280" s="997"/>
      <c r="AZ280" s="997"/>
      <c r="BA280" s="997"/>
      <c r="BC280" s="997"/>
      <c r="BE280" s="997"/>
      <c r="BF280" s="997"/>
      <c r="BG280" s="997"/>
    </row>
    <row r="281" spans="18:59" x14ac:dyDescent="0.35">
      <c r="R281" s="997"/>
      <c r="S281" s="997"/>
      <c r="W281" s="997"/>
      <c r="X281" s="997"/>
      <c r="AE281" s="997"/>
      <c r="AF281" s="997"/>
      <c r="AV281" s="997"/>
      <c r="AW281" s="997"/>
      <c r="AX281" s="997"/>
      <c r="AY281" s="997"/>
      <c r="AZ281" s="997"/>
      <c r="BA281" s="997"/>
      <c r="BC281" s="997"/>
      <c r="BE281" s="997"/>
      <c r="BF281" s="997"/>
      <c r="BG281" s="997"/>
    </row>
    <row r="282" spans="18:59" x14ac:dyDescent="0.35">
      <c r="R282" s="997"/>
      <c r="S282" s="997"/>
      <c r="W282" s="997"/>
      <c r="X282" s="997"/>
      <c r="AE282" s="997"/>
      <c r="AF282" s="997"/>
      <c r="AV282" s="997"/>
      <c r="AW282" s="997"/>
      <c r="AX282" s="997"/>
      <c r="AY282" s="997"/>
      <c r="AZ282" s="997"/>
      <c r="BA282" s="997"/>
      <c r="BC282" s="997"/>
      <c r="BE282" s="997"/>
      <c r="BF282" s="997"/>
      <c r="BG282" s="997"/>
    </row>
    <row r="283" spans="18:59" x14ac:dyDescent="0.35">
      <c r="R283" s="997"/>
      <c r="S283" s="997"/>
      <c r="W283" s="997"/>
      <c r="X283" s="997"/>
      <c r="AE283" s="997"/>
      <c r="AF283" s="997"/>
      <c r="AV283" s="997"/>
      <c r="AW283" s="997"/>
      <c r="AX283" s="997"/>
      <c r="AY283" s="997"/>
      <c r="AZ283" s="997"/>
      <c r="BA283" s="997"/>
      <c r="BC283" s="997"/>
      <c r="BE283" s="997"/>
      <c r="BF283" s="997"/>
      <c r="BG283" s="997"/>
    </row>
    <row r="284" spans="18:59" x14ac:dyDescent="0.35">
      <c r="R284" s="997"/>
      <c r="S284" s="997"/>
      <c r="W284" s="997"/>
      <c r="X284" s="997"/>
      <c r="AE284" s="997"/>
      <c r="AF284" s="997"/>
      <c r="AV284" s="997"/>
      <c r="AW284" s="997"/>
      <c r="AX284" s="997"/>
      <c r="AY284" s="997"/>
      <c r="AZ284" s="997"/>
      <c r="BA284" s="997"/>
      <c r="BC284" s="997"/>
      <c r="BE284" s="997"/>
      <c r="BF284" s="997"/>
      <c r="BG284" s="997"/>
    </row>
    <row r="285" spans="18:59" x14ac:dyDescent="0.35">
      <c r="R285" s="997"/>
      <c r="S285" s="997"/>
      <c r="W285" s="997"/>
      <c r="X285" s="997"/>
      <c r="AE285" s="997"/>
      <c r="AF285" s="997"/>
      <c r="AV285" s="997"/>
      <c r="AW285" s="997"/>
      <c r="AX285" s="997"/>
      <c r="AY285" s="997"/>
      <c r="AZ285" s="997"/>
      <c r="BA285" s="997"/>
      <c r="BC285" s="997"/>
      <c r="BE285" s="997"/>
      <c r="BF285" s="997"/>
      <c r="BG285" s="997"/>
    </row>
    <row r="286" spans="18:59" x14ac:dyDescent="0.35">
      <c r="R286" s="997"/>
      <c r="S286" s="997"/>
      <c r="W286" s="997"/>
      <c r="X286" s="997"/>
      <c r="AE286" s="997"/>
      <c r="AF286" s="997"/>
      <c r="AV286" s="997"/>
      <c r="AW286" s="997"/>
      <c r="AX286" s="997"/>
      <c r="AY286" s="997"/>
      <c r="AZ286" s="997"/>
      <c r="BA286" s="997"/>
      <c r="BC286" s="997"/>
      <c r="BE286" s="997"/>
      <c r="BF286" s="997"/>
      <c r="BG286" s="997"/>
    </row>
    <row r="287" spans="18:59" x14ac:dyDescent="0.35">
      <c r="R287" s="997"/>
      <c r="S287" s="997"/>
      <c r="W287" s="997"/>
      <c r="X287" s="997"/>
      <c r="AE287" s="997"/>
      <c r="AF287" s="997"/>
      <c r="AV287" s="997"/>
      <c r="AW287" s="997"/>
      <c r="AX287" s="997"/>
      <c r="AY287" s="997"/>
      <c r="AZ287" s="997"/>
      <c r="BA287" s="997"/>
      <c r="BC287" s="997"/>
      <c r="BE287" s="997"/>
      <c r="BF287" s="997"/>
      <c r="BG287" s="997"/>
    </row>
    <row r="288" spans="18:59" x14ac:dyDescent="0.35">
      <c r="R288" s="997"/>
      <c r="S288" s="997"/>
      <c r="W288" s="997"/>
      <c r="X288" s="997"/>
      <c r="AE288" s="997"/>
      <c r="AF288" s="997"/>
      <c r="AV288" s="997"/>
      <c r="AW288" s="997"/>
      <c r="AX288" s="997"/>
      <c r="AY288" s="997"/>
      <c r="AZ288" s="997"/>
      <c r="BA288" s="997"/>
      <c r="BC288" s="997"/>
      <c r="BE288" s="997"/>
      <c r="BF288" s="997"/>
      <c r="BG288" s="997"/>
    </row>
    <row r="289" spans="18:59" x14ac:dyDescent="0.35">
      <c r="R289" s="997"/>
      <c r="S289" s="997"/>
      <c r="W289" s="997"/>
      <c r="X289" s="997"/>
      <c r="AE289" s="997"/>
      <c r="AF289" s="997"/>
      <c r="AV289" s="997"/>
      <c r="AW289" s="997"/>
      <c r="AX289" s="997"/>
      <c r="AY289" s="997"/>
      <c r="AZ289" s="997"/>
      <c r="BA289" s="997"/>
      <c r="BC289" s="997"/>
      <c r="BE289" s="997"/>
      <c r="BF289" s="997"/>
      <c r="BG289" s="997"/>
    </row>
    <row r="290" spans="18:59" x14ac:dyDescent="0.35">
      <c r="R290" s="997"/>
      <c r="S290" s="997"/>
      <c r="W290" s="997"/>
      <c r="X290" s="997"/>
      <c r="AE290" s="997"/>
      <c r="AF290" s="997"/>
      <c r="AV290" s="997"/>
      <c r="AW290" s="997"/>
      <c r="AX290" s="997"/>
      <c r="AY290" s="997"/>
      <c r="AZ290" s="997"/>
      <c r="BA290" s="997"/>
      <c r="BC290" s="997"/>
      <c r="BE290" s="997"/>
      <c r="BF290" s="997"/>
      <c r="BG290" s="997"/>
    </row>
    <row r="291" spans="18:59" x14ac:dyDescent="0.35">
      <c r="R291" s="997"/>
      <c r="S291" s="997"/>
      <c r="W291" s="997"/>
      <c r="X291" s="997"/>
      <c r="AE291" s="997"/>
      <c r="AF291" s="997"/>
      <c r="AV291" s="997"/>
      <c r="AW291" s="997"/>
      <c r="AX291" s="997"/>
      <c r="AY291" s="997"/>
      <c r="AZ291" s="997"/>
      <c r="BA291" s="997"/>
      <c r="BC291" s="997"/>
      <c r="BE291" s="997"/>
      <c r="BF291" s="997"/>
      <c r="BG291" s="997"/>
    </row>
    <row r="292" spans="18:59" x14ac:dyDescent="0.35">
      <c r="R292" s="997"/>
      <c r="S292" s="997"/>
      <c r="W292" s="997"/>
      <c r="X292" s="997"/>
      <c r="AE292" s="997"/>
      <c r="AF292" s="997"/>
      <c r="AV292" s="997"/>
      <c r="AW292" s="997"/>
      <c r="AX292" s="997"/>
      <c r="AY292" s="997"/>
      <c r="AZ292" s="997"/>
      <c r="BA292" s="997"/>
      <c r="BC292" s="997"/>
      <c r="BE292" s="997"/>
      <c r="BF292" s="997"/>
      <c r="BG292" s="997"/>
    </row>
    <row r="293" spans="18:59" x14ac:dyDescent="0.35">
      <c r="R293" s="997"/>
      <c r="S293" s="997"/>
      <c r="W293" s="997"/>
      <c r="X293" s="997"/>
      <c r="AE293" s="997"/>
      <c r="AF293" s="997"/>
      <c r="AV293" s="997"/>
      <c r="AW293" s="997"/>
      <c r="AX293" s="997"/>
      <c r="AY293" s="997"/>
      <c r="AZ293" s="997"/>
      <c r="BA293" s="997"/>
      <c r="BC293" s="997"/>
      <c r="BE293" s="997"/>
      <c r="BF293" s="997"/>
      <c r="BG293" s="997"/>
    </row>
    <row r="294" spans="18:59" x14ac:dyDescent="0.35">
      <c r="R294" s="997"/>
      <c r="S294" s="997"/>
      <c r="W294" s="997"/>
      <c r="X294" s="997"/>
      <c r="AE294" s="997"/>
      <c r="AF294" s="997"/>
      <c r="AV294" s="997"/>
      <c r="AW294" s="997"/>
      <c r="AX294" s="997"/>
      <c r="AY294" s="997"/>
      <c r="AZ294" s="997"/>
      <c r="BA294" s="997"/>
      <c r="BC294" s="997"/>
      <c r="BE294" s="997"/>
      <c r="BF294" s="997"/>
      <c r="BG294" s="997"/>
    </row>
    <row r="295" spans="18:59" x14ac:dyDescent="0.35">
      <c r="R295" s="997"/>
      <c r="S295" s="997"/>
      <c r="W295" s="997"/>
      <c r="X295" s="997"/>
      <c r="AE295" s="997"/>
      <c r="AF295" s="997"/>
      <c r="AV295" s="997"/>
      <c r="AW295" s="997"/>
      <c r="AX295" s="997"/>
      <c r="AY295" s="997"/>
      <c r="AZ295" s="997"/>
      <c r="BA295" s="997"/>
      <c r="BC295" s="997"/>
      <c r="BE295" s="997"/>
      <c r="BF295" s="997"/>
      <c r="BG295" s="997"/>
    </row>
    <row r="296" spans="18:59" x14ac:dyDescent="0.35">
      <c r="R296" s="997"/>
      <c r="S296" s="997"/>
      <c r="W296" s="997"/>
      <c r="X296" s="997"/>
      <c r="AE296" s="997"/>
      <c r="AF296" s="997"/>
      <c r="AV296" s="997"/>
      <c r="AW296" s="997"/>
      <c r="AX296" s="997"/>
      <c r="AY296" s="997"/>
      <c r="AZ296" s="997"/>
      <c r="BA296" s="997"/>
      <c r="BC296" s="997"/>
      <c r="BE296" s="997"/>
      <c r="BF296" s="997"/>
      <c r="BG296" s="997"/>
    </row>
    <row r="297" spans="18:59" x14ac:dyDescent="0.35">
      <c r="R297" s="997"/>
      <c r="S297" s="997"/>
      <c r="W297" s="997"/>
      <c r="X297" s="997"/>
      <c r="AE297" s="997"/>
      <c r="AF297" s="997"/>
      <c r="AV297" s="997"/>
      <c r="AW297" s="997"/>
      <c r="AX297" s="997"/>
      <c r="AY297" s="997"/>
      <c r="AZ297" s="997"/>
      <c r="BA297" s="997"/>
      <c r="BC297" s="997"/>
      <c r="BE297" s="997"/>
      <c r="BF297" s="997"/>
      <c r="BG297" s="997"/>
    </row>
    <row r="298" spans="18:59" x14ac:dyDescent="0.35">
      <c r="R298" s="997"/>
      <c r="S298" s="997"/>
      <c r="W298" s="997"/>
      <c r="X298" s="997"/>
      <c r="AE298" s="997"/>
      <c r="AF298" s="997"/>
      <c r="AV298" s="997"/>
      <c r="AW298" s="997"/>
      <c r="AX298" s="997"/>
      <c r="AY298" s="997"/>
      <c r="AZ298" s="997"/>
      <c r="BA298" s="997"/>
      <c r="BC298" s="997"/>
      <c r="BE298" s="997"/>
      <c r="BF298" s="997"/>
      <c r="BG298" s="997"/>
    </row>
    <row r="299" spans="18:59" x14ac:dyDescent="0.35">
      <c r="R299" s="997"/>
      <c r="S299" s="997"/>
      <c r="W299" s="997"/>
      <c r="X299" s="997"/>
      <c r="AE299" s="997"/>
      <c r="AF299" s="997"/>
      <c r="AV299" s="997"/>
      <c r="AW299" s="997"/>
      <c r="AX299" s="997"/>
      <c r="AY299" s="997"/>
      <c r="AZ299" s="997"/>
      <c r="BA299" s="997"/>
      <c r="BC299" s="997"/>
      <c r="BE299" s="997"/>
      <c r="BF299" s="997"/>
      <c r="BG299" s="997"/>
    </row>
    <row r="300" spans="18:59" x14ac:dyDescent="0.35">
      <c r="R300" s="997"/>
      <c r="S300" s="997"/>
      <c r="W300" s="997"/>
      <c r="X300" s="997"/>
      <c r="AE300" s="997"/>
      <c r="AF300" s="997"/>
      <c r="AV300" s="997"/>
      <c r="AW300" s="997"/>
      <c r="AX300" s="997"/>
      <c r="AY300" s="997"/>
      <c r="AZ300" s="997"/>
      <c r="BA300" s="997"/>
      <c r="BC300" s="997"/>
      <c r="BE300" s="997"/>
      <c r="BF300" s="997"/>
      <c r="BG300" s="997"/>
    </row>
    <row r="301" spans="18:59" x14ac:dyDescent="0.35">
      <c r="R301" s="997"/>
      <c r="S301" s="997"/>
      <c r="W301" s="997"/>
      <c r="X301" s="997"/>
      <c r="AE301" s="997"/>
      <c r="AF301" s="997"/>
      <c r="AV301" s="997"/>
      <c r="AW301" s="997"/>
      <c r="AX301" s="997"/>
      <c r="AY301" s="997"/>
      <c r="AZ301" s="997"/>
      <c r="BA301" s="997"/>
      <c r="BC301" s="997"/>
      <c r="BE301" s="997"/>
      <c r="BF301" s="997"/>
      <c r="BG301" s="997"/>
    </row>
    <row r="302" spans="18:59" x14ac:dyDescent="0.35">
      <c r="R302" s="997"/>
      <c r="S302" s="997"/>
      <c r="W302" s="997"/>
      <c r="X302" s="997"/>
      <c r="AE302" s="997"/>
      <c r="AF302" s="997"/>
      <c r="AV302" s="997"/>
      <c r="AW302" s="997"/>
      <c r="AX302" s="997"/>
      <c r="AY302" s="997"/>
      <c r="AZ302" s="997"/>
      <c r="BA302" s="997"/>
      <c r="BC302" s="997"/>
      <c r="BE302" s="997"/>
      <c r="BF302" s="997"/>
      <c r="BG302" s="997"/>
    </row>
    <row r="303" spans="18:59" x14ac:dyDescent="0.35">
      <c r="R303" s="997"/>
      <c r="S303" s="997"/>
      <c r="W303" s="997"/>
      <c r="X303" s="997"/>
      <c r="AE303" s="997"/>
      <c r="AF303" s="997"/>
      <c r="AV303" s="997"/>
      <c r="AW303" s="997"/>
      <c r="AX303" s="997"/>
      <c r="AY303" s="997"/>
      <c r="AZ303" s="997"/>
      <c r="BA303" s="997"/>
      <c r="BC303" s="997"/>
      <c r="BE303" s="997"/>
      <c r="BF303" s="997"/>
      <c r="BG303" s="997"/>
    </row>
    <row r="304" spans="18:59" x14ac:dyDescent="0.35">
      <c r="R304" s="997"/>
      <c r="S304" s="997"/>
      <c r="W304" s="997"/>
      <c r="X304" s="997"/>
      <c r="AE304" s="997"/>
      <c r="AF304" s="997"/>
      <c r="AV304" s="997"/>
      <c r="AW304" s="997"/>
      <c r="AX304" s="997"/>
      <c r="AY304" s="997"/>
      <c r="AZ304" s="997"/>
      <c r="BA304" s="997"/>
      <c r="BC304" s="997"/>
      <c r="BE304" s="997"/>
      <c r="BF304" s="997"/>
      <c r="BG304" s="997"/>
    </row>
    <row r="305" spans="18:59" x14ac:dyDescent="0.35">
      <c r="R305" s="997"/>
      <c r="S305" s="997"/>
      <c r="W305" s="997"/>
      <c r="X305" s="997"/>
      <c r="AE305" s="997"/>
      <c r="AF305" s="997"/>
      <c r="AV305" s="997"/>
      <c r="AW305" s="997"/>
      <c r="AX305" s="997"/>
      <c r="AY305" s="997"/>
      <c r="AZ305" s="997"/>
      <c r="BA305" s="997"/>
      <c r="BC305" s="997"/>
      <c r="BE305" s="997"/>
      <c r="BF305" s="997"/>
      <c r="BG305" s="997"/>
    </row>
    <row r="306" spans="18:59" x14ac:dyDescent="0.35">
      <c r="R306" s="997"/>
      <c r="S306" s="997"/>
      <c r="W306" s="997"/>
      <c r="X306" s="997"/>
      <c r="AE306" s="997"/>
      <c r="AF306" s="997"/>
      <c r="AV306" s="997"/>
      <c r="AW306" s="997"/>
      <c r="AX306" s="997"/>
      <c r="AY306" s="997"/>
      <c r="AZ306" s="997"/>
      <c r="BA306" s="997"/>
      <c r="BC306" s="997"/>
      <c r="BE306" s="997"/>
      <c r="BF306" s="997"/>
      <c r="BG306" s="997"/>
    </row>
    <row r="307" spans="18:59" x14ac:dyDescent="0.35">
      <c r="R307" s="997"/>
      <c r="S307" s="997"/>
      <c r="W307" s="997"/>
      <c r="X307" s="997"/>
      <c r="AE307" s="997"/>
      <c r="AF307" s="997"/>
      <c r="AV307" s="997"/>
      <c r="AW307" s="997"/>
      <c r="AX307" s="997"/>
      <c r="AY307" s="997"/>
      <c r="AZ307" s="997"/>
      <c r="BA307" s="997"/>
      <c r="BC307" s="997"/>
      <c r="BE307" s="997"/>
      <c r="BF307" s="997"/>
      <c r="BG307" s="997"/>
    </row>
    <row r="308" spans="18:59" x14ac:dyDescent="0.35">
      <c r="R308" s="997"/>
      <c r="S308" s="997"/>
      <c r="W308" s="997"/>
      <c r="X308" s="997"/>
      <c r="AE308" s="997"/>
      <c r="AF308" s="997"/>
      <c r="AV308" s="997"/>
      <c r="AW308" s="997"/>
      <c r="AX308" s="997"/>
      <c r="AY308" s="997"/>
      <c r="AZ308" s="997"/>
      <c r="BA308" s="997"/>
      <c r="BC308" s="997"/>
      <c r="BE308" s="997"/>
      <c r="BF308" s="997"/>
      <c r="BG308" s="997"/>
    </row>
    <row r="309" spans="18:59" x14ac:dyDescent="0.35">
      <c r="R309" s="997"/>
      <c r="S309" s="997"/>
      <c r="W309" s="997"/>
      <c r="X309" s="997"/>
      <c r="AE309" s="997"/>
      <c r="AF309" s="997"/>
      <c r="AV309" s="997"/>
      <c r="AW309" s="997"/>
      <c r="AX309" s="997"/>
      <c r="AY309" s="997"/>
      <c r="AZ309" s="997"/>
      <c r="BA309" s="997"/>
      <c r="BC309" s="997"/>
      <c r="BE309" s="997"/>
      <c r="BF309" s="997"/>
      <c r="BG309" s="997"/>
    </row>
    <row r="310" spans="18:59" x14ac:dyDescent="0.35">
      <c r="R310" s="997"/>
      <c r="S310" s="997"/>
      <c r="W310" s="997"/>
      <c r="X310" s="997"/>
      <c r="AE310" s="997"/>
      <c r="AF310" s="997"/>
      <c r="AV310" s="997"/>
      <c r="AW310" s="997"/>
      <c r="AX310" s="997"/>
      <c r="AY310" s="997"/>
      <c r="AZ310" s="997"/>
      <c r="BA310" s="997"/>
      <c r="BC310" s="997"/>
      <c r="BE310" s="997"/>
      <c r="BF310" s="997"/>
      <c r="BG310" s="997"/>
    </row>
    <row r="311" spans="18:59" x14ac:dyDescent="0.35">
      <c r="R311" s="997"/>
      <c r="S311" s="997"/>
      <c r="W311" s="997"/>
      <c r="X311" s="997"/>
      <c r="AE311" s="997"/>
      <c r="AF311" s="997"/>
      <c r="AV311" s="997"/>
      <c r="AW311" s="997"/>
      <c r="AX311" s="997"/>
      <c r="AY311" s="997"/>
      <c r="AZ311" s="997"/>
      <c r="BA311" s="997"/>
      <c r="BC311" s="997"/>
      <c r="BE311" s="997"/>
      <c r="BF311" s="997"/>
      <c r="BG311" s="997"/>
    </row>
    <row r="312" spans="18:59" x14ac:dyDescent="0.35">
      <c r="R312" s="997"/>
      <c r="S312" s="997"/>
      <c r="W312" s="997"/>
      <c r="X312" s="997"/>
      <c r="AE312" s="997"/>
      <c r="AF312" s="997"/>
      <c r="AV312" s="997"/>
      <c r="AW312" s="997"/>
      <c r="AX312" s="997"/>
      <c r="AY312" s="997"/>
      <c r="AZ312" s="997"/>
      <c r="BA312" s="997"/>
      <c r="BC312" s="997"/>
      <c r="BE312" s="997"/>
      <c r="BF312" s="997"/>
      <c r="BG312" s="997"/>
    </row>
    <row r="313" spans="18:59" x14ac:dyDescent="0.35">
      <c r="R313" s="997"/>
      <c r="S313" s="997"/>
      <c r="W313" s="997"/>
      <c r="X313" s="997"/>
      <c r="AE313" s="997"/>
      <c r="AF313" s="997"/>
      <c r="AV313" s="997"/>
      <c r="AW313" s="997"/>
      <c r="AX313" s="997"/>
      <c r="AY313" s="997"/>
      <c r="AZ313" s="997"/>
      <c r="BA313" s="997"/>
      <c r="BC313" s="997"/>
      <c r="BE313" s="997"/>
      <c r="BF313" s="997"/>
      <c r="BG313" s="997"/>
    </row>
    <row r="314" spans="18:59" x14ac:dyDescent="0.35">
      <c r="R314" s="997"/>
      <c r="S314" s="997"/>
      <c r="W314" s="997"/>
      <c r="X314" s="997"/>
      <c r="AE314" s="997"/>
      <c r="AF314" s="997"/>
      <c r="AV314" s="997"/>
      <c r="AW314" s="997"/>
      <c r="AX314" s="997"/>
      <c r="AY314" s="997"/>
      <c r="AZ314" s="997"/>
      <c r="BA314" s="997"/>
      <c r="BC314" s="997"/>
      <c r="BE314" s="997"/>
      <c r="BF314" s="997"/>
      <c r="BG314" s="997"/>
    </row>
    <row r="315" spans="18:59" x14ac:dyDescent="0.35">
      <c r="R315" s="997"/>
      <c r="S315" s="997"/>
      <c r="W315" s="997"/>
      <c r="X315" s="997"/>
      <c r="AE315" s="997"/>
      <c r="AF315" s="997"/>
      <c r="AV315" s="997"/>
      <c r="AW315" s="997"/>
      <c r="AX315" s="997"/>
      <c r="AY315" s="997"/>
      <c r="AZ315" s="997"/>
      <c r="BA315" s="997"/>
      <c r="BC315" s="997"/>
      <c r="BE315" s="997"/>
      <c r="BF315" s="997"/>
      <c r="BG315" s="997"/>
    </row>
    <row r="316" spans="18:59" x14ac:dyDescent="0.35">
      <c r="R316" s="997"/>
      <c r="S316" s="997"/>
      <c r="W316" s="997"/>
      <c r="X316" s="997"/>
      <c r="AE316" s="997"/>
      <c r="AF316" s="997"/>
      <c r="AV316" s="997"/>
      <c r="AW316" s="997"/>
      <c r="AX316" s="997"/>
      <c r="AY316" s="997"/>
      <c r="AZ316" s="997"/>
      <c r="BA316" s="997"/>
      <c r="BC316" s="997"/>
      <c r="BE316" s="997"/>
      <c r="BF316" s="997"/>
      <c r="BG316" s="997"/>
    </row>
    <row r="317" spans="18:59" x14ac:dyDescent="0.35">
      <c r="R317" s="997"/>
      <c r="S317" s="997"/>
      <c r="W317" s="997"/>
      <c r="X317" s="997"/>
      <c r="AE317" s="997"/>
      <c r="AF317" s="997"/>
      <c r="AV317" s="997"/>
      <c r="AW317" s="997"/>
      <c r="AX317" s="997"/>
      <c r="AY317" s="997"/>
      <c r="AZ317" s="997"/>
      <c r="BA317" s="997"/>
      <c r="BC317" s="997"/>
      <c r="BE317" s="997"/>
      <c r="BF317" s="997"/>
      <c r="BG317" s="997"/>
    </row>
    <row r="318" spans="18:59" x14ac:dyDescent="0.35">
      <c r="R318" s="997"/>
      <c r="S318" s="997"/>
      <c r="W318" s="997"/>
      <c r="X318" s="997"/>
      <c r="AE318" s="997"/>
      <c r="AF318" s="997"/>
      <c r="AV318" s="997"/>
      <c r="AW318" s="997"/>
      <c r="AX318" s="997"/>
      <c r="AY318" s="997"/>
      <c r="AZ318" s="997"/>
      <c r="BA318" s="997"/>
      <c r="BC318" s="997"/>
      <c r="BE318" s="997"/>
      <c r="BF318" s="997"/>
      <c r="BG318" s="997"/>
    </row>
    <row r="319" spans="18:59" x14ac:dyDescent="0.35">
      <c r="R319" s="997"/>
      <c r="S319" s="997"/>
      <c r="W319" s="997"/>
      <c r="X319" s="997"/>
      <c r="AE319" s="997"/>
      <c r="AF319" s="997"/>
      <c r="AV319" s="997"/>
      <c r="AW319" s="997"/>
      <c r="AX319" s="997"/>
      <c r="AY319" s="997"/>
      <c r="AZ319" s="997"/>
      <c r="BA319" s="997"/>
      <c r="BC319" s="997"/>
      <c r="BE319" s="997"/>
      <c r="BF319" s="997"/>
      <c r="BG319" s="997"/>
    </row>
    <row r="320" spans="18:59" x14ac:dyDescent="0.35">
      <c r="R320" s="997"/>
      <c r="S320" s="997"/>
      <c r="W320" s="997"/>
      <c r="X320" s="997"/>
      <c r="AE320" s="997"/>
      <c r="AF320" s="997"/>
      <c r="AV320" s="997"/>
      <c r="AW320" s="997"/>
      <c r="AX320" s="997"/>
      <c r="AY320" s="997"/>
      <c r="AZ320" s="997"/>
      <c r="BA320" s="997"/>
      <c r="BC320" s="997"/>
      <c r="BE320" s="997"/>
      <c r="BF320" s="997"/>
      <c r="BG320" s="997"/>
    </row>
    <row r="321" spans="18:59" x14ac:dyDescent="0.35">
      <c r="R321" s="997"/>
      <c r="S321" s="997"/>
      <c r="W321" s="997"/>
      <c r="X321" s="997"/>
      <c r="AE321" s="997"/>
      <c r="AF321" s="997"/>
      <c r="AV321" s="997"/>
      <c r="AW321" s="997"/>
      <c r="AX321" s="997"/>
      <c r="AY321" s="997"/>
      <c r="AZ321" s="997"/>
      <c r="BA321" s="997"/>
      <c r="BC321" s="997"/>
      <c r="BE321" s="997"/>
      <c r="BF321" s="997"/>
      <c r="BG321" s="997"/>
    </row>
    <row r="322" spans="18:59" x14ac:dyDescent="0.35">
      <c r="R322" s="997"/>
      <c r="S322" s="997"/>
      <c r="W322" s="997"/>
      <c r="X322" s="997"/>
      <c r="AE322" s="997"/>
      <c r="AF322" s="997"/>
      <c r="AV322" s="997"/>
      <c r="AW322" s="997"/>
      <c r="AX322" s="997"/>
      <c r="AY322" s="997"/>
      <c r="AZ322" s="997"/>
      <c r="BA322" s="997"/>
      <c r="BC322" s="997"/>
      <c r="BE322" s="997"/>
      <c r="BF322" s="997"/>
      <c r="BG322" s="997"/>
    </row>
    <row r="323" spans="18:59" x14ac:dyDescent="0.35">
      <c r="R323" s="997"/>
      <c r="S323" s="997"/>
      <c r="W323" s="997"/>
      <c r="X323" s="997"/>
      <c r="AE323" s="997"/>
      <c r="AF323" s="997"/>
      <c r="AV323" s="997"/>
      <c r="AW323" s="997"/>
      <c r="AX323" s="997"/>
      <c r="AY323" s="997"/>
      <c r="AZ323" s="997"/>
      <c r="BA323" s="997"/>
      <c r="BC323" s="997"/>
      <c r="BE323" s="997"/>
      <c r="BF323" s="997"/>
      <c r="BG323" s="997"/>
    </row>
    <row r="324" spans="18:59" x14ac:dyDescent="0.35">
      <c r="R324" s="997"/>
      <c r="S324" s="997"/>
      <c r="W324" s="997"/>
      <c r="X324" s="997"/>
      <c r="AE324" s="997"/>
      <c r="AF324" s="997"/>
      <c r="AV324" s="997"/>
      <c r="AW324" s="997"/>
      <c r="AX324" s="997"/>
      <c r="AY324" s="997"/>
      <c r="AZ324" s="997"/>
      <c r="BA324" s="997"/>
      <c r="BC324" s="997"/>
      <c r="BE324" s="997"/>
      <c r="BF324" s="997"/>
      <c r="BG324" s="997"/>
    </row>
    <row r="325" spans="18:59" x14ac:dyDescent="0.35">
      <c r="R325" s="997"/>
      <c r="S325" s="997"/>
      <c r="W325" s="997"/>
      <c r="X325" s="997"/>
      <c r="AE325" s="997"/>
      <c r="AF325" s="997"/>
      <c r="AV325" s="997"/>
      <c r="AW325" s="997"/>
      <c r="AX325" s="997"/>
      <c r="AY325" s="997"/>
      <c r="AZ325" s="997"/>
      <c r="BA325" s="997"/>
      <c r="BC325" s="997"/>
      <c r="BE325" s="997"/>
      <c r="BF325" s="997"/>
      <c r="BG325" s="997"/>
    </row>
    <row r="326" spans="18:59" x14ac:dyDescent="0.35">
      <c r="R326" s="997"/>
      <c r="S326" s="997"/>
      <c r="W326" s="997"/>
      <c r="X326" s="997"/>
      <c r="AE326" s="997"/>
      <c r="AF326" s="997"/>
      <c r="AV326" s="997"/>
      <c r="AW326" s="997"/>
      <c r="AX326" s="997"/>
      <c r="AY326" s="997"/>
      <c r="AZ326" s="997"/>
      <c r="BA326" s="997"/>
      <c r="BC326" s="997"/>
      <c r="BE326" s="997"/>
      <c r="BF326" s="997"/>
      <c r="BG326" s="997"/>
    </row>
    <row r="327" spans="18:59" x14ac:dyDescent="0.35">
      <c r="R327" s="997"/>
      <c r="S327" s="997"/>
      <c r="W327" s="997"/>
      <c r="X327" s="997"/>
      <c r="AE327" s="997"/>
      <c r="AF327" s="997"/>
      <c r="AV327" s="997"/>
      <c r="AW327" s="997"/>
      <c r="AX327" s="997"/>
      <c r="AY327" s="997"/>
      <c r="AZ327" s="997"/>
      <c r="BA327" s="997"/>
      <c r="BC327" s="997"/>
      <c r="BE327" s="997"/>
      <c r="BF327" s="997"/>
      <c r="BG327" s="997"/>
    </row>
    <row r="328" spans="18:59" x14ac:dyDescent="0.35">
      <c r="R328" s="997"/>
      <c r="S328" s="997"/>
      <c r="W328" s="997"/>
      <c r="X328" s="997"/>
      <c r="AE328" s="997"/>
      <c r="AF328" s="997"/>
      <c r="AV328" s="997"/>
      <c r="AW328" s="997"/>
      <c r="AX328" s="997"/>
      <c r="AY328" s="997"/>
      <c r="AZ328" s="997"/>
      <c r="BA328" s="997"/>
      <c r="BC328" s="997"/>
      <c r="BE328" s="997"/>
      <c r="BF328" s="997"/>
      <c r="BG328" s="997"/>
    </row>
    <row r="329" spans="18:59" x14ac:dyDescent="0.35">
      <c r="R329" s="997"/>
      <c r="S329" s="997"/>
      <c r="W329" s="997"/>
      <c r="X329" s="997"/>
      <c r="AE329" s="997"/>
      <c r="AF329" s="997"/>
      <c r="AV329" s="997"/>
      <c r="AW329" s="997"/>
      <c r="AX329" s="997"/>
      <c r="AY329" s="997"/>
      <c r="AZ329" s="997"/>
      <c r="BA329" s="997"/>
      <c r="BC329" s="997"/>
      <c r="BE329" s="997"/>
      <c r="BF329" s="997"/>
      <c r="BG329" s="997"/>
    </row>
    <row r="330" spans="18:59" x14ac:dyDescent="0.35">
      <c r="R330" s="997"/>
      <c r="S330" s="997"/>
      <c r="W330" s="997"/>
      <c r="X330" s="997"/>
      <c r="AE330" s="997"/>
      <c r="AF330" s="997"/>
      <c r="AV330" s="997"/>
      <c r="AW330" s="997"/>
      <c r="AX330" s="997"/>
      <c r="AY330" s="997"/>
      <c r="AZ330" s="997"/>
      <c r="BA330" s="997"/>
      <c r="BC330" s="997"/>
      <c r="BE330" s="997"/>
      <c r="BF330" s="997"/>
      <c r="BG330" s="997"/>
    </row>
    <row r="331" spans="18:59" x14ac:dyDescent="0.35">
      <c r="R331" s="997"/>
      <c r="S331" s="997"/>
      <c r="W331" s="997"/>
      <c r="X331" s="997"/>
      <c r="AE331" s="997"/>
      <c r="AF331" s="997"/>
      <c r="AV331" s="997"/>
      <c r="AW331" s="997"/>
      <c r="AX331" s="997"/>
      <c r="AY331" s="997"/>
      <c r="AZ331" s="997"/>
      <c r="BA331" s="997"/>
      <c r="BC331" s="997"/>
      <c r="BE331" s="997"/>
      <c r="BF331" s="997"/>
      <c r="BG331" s="997"/>
    </row>
    <row r="332" spans="18:59" x14ac:dyDescent="0.35">
      <c r="R332" s="997"/>
      <c r="S332" s="997"/>
      <c r="W332" s="997"/>
      <c r="X332" s="997"/>
      <c r="AE332" s="997"/>
      <c r="AF332" s="997"/>
      <c r="AV332" s="997"/>
      <c r="AW332" s="997"/>
      <c r="AX332" s="997"/>
      <c r="AY332" s="997"/>
      <c r="AZ332" s="997"/>
      <c r="BA332" s="997"/>
      <c r="BC332" s="997"/>
      <c r="BE332" s="997"/>
      <c r="BF332" s="997"/>
      <c r="BG332" s="997"/>
    </row>
    <row r="333" spans="18:59" x14ac:dyDescent="0.35">
      <c r="R333" s="997"/>
      <c r="S333" s="997"/>
      <c r="W333" s="997"/>
      <c r="X333" s="997"/>
      <c r="AE333" s="997"/>
      <c r="AF333" s="997"/>
      <c r="AV333" s="997"/>
      <c r="AW333" s="997"/>
      <c r="AX333" s="997"/>
      <c r="AY333" s="997"/>
      <c r="AZ333" s="997"/>
      <c r="BA333" s="997"/>
      <c r="BC333" s="997"/>
      <c r="BE333" s="997"/>
      <c r="BF333" s="997"/>
      <c r="BG333" s="997"/>
    </row>
    <row r="334" spans="18:59" x14ac:dyDescent="0.35">
      <c r="R334" s="997"/>
      <c r="S334" s="997"/>
      <c r="W334" s="997"/>
      <c r="X334" s="997"/>
      <c r="AE334" s="997"/>
      <c r="AF334" s="997"/>
      <c r="AV334" s="997"/>
      <c r="AW334" s="997"/>
      <c r="AX334" s="997"/>
      <c r="AY334" s="997"/>
      <c r="AZ334" s="997"/>
      <c r="BA334" s="997"/>
      <c r="BC334" s="997"/>
      <c r="BE334" s="997"/>
      <c r="BF334" s="997"/>
      <c r="BG334" s="997"/>
    </row>
    <row r="335" spans="18:59" x14ac:dyDescent="0.35">
      <c r="R335" s="997"/>
      <c r="S335" s="997"/>
      <c r="W335" s="997"/>
      <c r="X335" s="997"/>
      <c r="AE335" s="997"/>
      <c r="AF335" s="997"/>
      <c r="AV335" s="997"/>
      <c r="AW335" s="997"/>
      <c r="AX335" s="997"/>
      <c r="AY335" s="997"/>
      <c r="AZ335" s="997"/>
      <c r="BA335" s="997"/>
      <c r="BC335" s="997"/>
      <c r="BE335" s="997"/>
      <c r="BF335" s="997"/>
      <c r="BG335" s="997"/>
    </row>
    <row r="336" spans="18:59" x14ac:dyDescent="0.35">
      <c r="R336" s="997"/>
      <c r="S336" s="997"/>
      <c r="W336" s="997"/>
      <c r="X336" s="997"/>
      <c r="AE336" s="997"/>
      <c r="AF336" s="997"/>
      <c r="AV336" s="997"/>
      <c r="AW336" s="997"/>
      <c r="AX336" s="997"/>
      <c r="AY336" s="997"/>
      <c r="AZ336" s="997"/>
      <c r="BA336" s="997"/>
      <c r="BC336" s="997"/>
      <c r="BE336" s="997"/>
      <c r="BF336" s="997"/>
      <c r="BG336" s="997"/>
    </row>
    <row r="337" spans="18:59" x14ac:dyDescent="0.35">
      <c r="R337" s="997"/>
      <c r="S337" s="997"/>
      <c r="W337" s="997"/>
      <c r="X337" s="997"/>
      <c r="AE337" s="997"/>
      <c r="AF337" s="997"/>
      <c r="AV337" s="997"/>
      <c r="AW337" s="997"/>
      <c r="AX337" s="997"/>
      <c r="AY337" s="997"/>
      <c r="AZ337" s="997"/>
      <c r="BA337" s="997"/>
      <c r="BC337" s="997"/>
      <c r="BE337" s="997"/>
      <c r="BF337" s="997"/>
      <c r="BG337" s="997"/>
    </row>
    <row r="338" spans="18:59" x14ac:dyDescent="0.35">
      <c r="R338" s="997"/>
      <c r="S338" s="997"/>
      <c r="W338" s="997"/>
      <c r="X338" s="997"/>
      <c r="AE338" s="997"/>
      <c r="AF338" s="997"/>
      <c r="AV338" s="997"/>
      <c r="AW338" s="997"/>
      <c r="AX338" s="997"/>
      <c r="AY338" s="997"/>
      <c r="AZ338" s="997"/>
      <c r="BA338" s="997"/>
      <c r="BC338" s="997"/>
      <c r="BE338" s="997"/>
      <c r="BF338" s="997"/>
      <c r="BG338" s="997"/>
    </row>
    <row r="339" spans="18:59" x14ac:dyDescent="0.35">
      <c r="R339" s="997"/>
      <c r="S339" s="997"/>
      <c r="W339" s="997"/>
      <c r="X339" s="997"/>
      <c r="AE339" s="997"/>
      <c r="AF339" s="997"/>
      <c r="AV339" s="997"/>
      <c r="AW339" s="997"/>
      <c r="AX339" s="997"/>
      <c r="AY339" s="997"/>
      <c r="AZ339" s="997"/>
      <c r="BA339" s="997"/>
      <c r="BC339" s="997"/>
      <c r="BE339" s="997"/>
      <c r="BF339" s="997"/>
      <c r="BG339" s="997"/>
    </row>
    <row r="340" spans="18:59" x14ac:dyDescent="0.35">
      <c r="R340" s="997"/>
      <c r="S340" s="997"/>
      <c r="W340" s="997"/>
      <c r="X340" s="997"/>
      <c r="AE340" s="997"/>
      <c r="AF340" s="997"/>
      <c r="AV340" s="997"/>
      <c r="AW340" s="997"/>
      <c r="AX340" s="997"/>
      <c r="AY340" s="997"/>
      <c r="AZ340" s="997"/>
      <c r="BA340" s="997"/>
      <c r="BC340" s="997"/>
      <c r="BE340" s="997"/>
      <c r="BF340" s="997"/>
      <c r="BG340" s="997"/>
    </row>
    <row r="341" spans="18:59" x14ac:dyDescent="0.35">
      <c r="R341" s="997"/>
      <c r="S341" s="997"/>
      <c r="W341" s="997"/>
      <c r="X341" s="997"/>
      <c r="AE341" s="997"/>
      <c r="AF341" s="997"/>
      <c r="AV341" s="997"/>
      <c r="AW341" s="997"/>
      <c r="AX341" s="997"/>
      <c r="AY341" s="997"/>
      <c r="AZ341" s="997"/>
      <c r="BA341" s="997"/>
      <c r="BC341" s="997"/>
      <c r="BE341" s="997"/>
      <c r="BF341" s="997"/>
      <c r="BG341" s="997"/>
    </row>
    <row r="342" spans="18:59" x14ac:dyDescent="0.35">
      <c r="R342" s="997"/>
      <c r="S342" s="997"/>
      <c r="W342" s="997"/>
      <c r="X342" s="997"/>
      <c r="AE342" s="997"/>
      <c r="AF342" s="997"/>
      <c r="AV342" s="997"/>
      <c r="AW342" s="997"/>
      <c r="AX342" s="997"/>
      <c r="AY342" s="997"/>
      <c r="AZ342" s="997"/>
      <c r="BA342" s="997"/>
      <c r="BC342" s="997"/>
      <c r="BE342" s="997"/>
      <c r="BF342" s="997"/>
      <c r="BG342" s="997"/>
    </row>
    <row r="343" spans="18:59" x14ac:dyDescent="0.35">
      <c r="R343" s="997"/>
      <c r="S343" s="997"/>
      <c r="W343" s="997"/>
      <c r="X343" s="997"/>
      <c r="AE343" s="997"/>
      <c r="AF343" s="997"/>
      <c r="AV343" s="997"/>
      <c r="AW343" s="997"/>
      <c r="AX343" s="997"/>
      <c r="AY343" s="997"/>
      <c r="AZ343" s="997"/>
      <c r="BA343" s="997"/>
      <c r="BC343" s="997"/>
      <c r="BE343" s="997"/>
      <c r="BF343" s="997"/>
      <c r="BG343" s="997"/>
    </row>
    <row r="344" spans="18:59" x14ac:dyDescent="0.35">
      <c r="R344" s="997"/>
      <c r="S344" s="997"/>
      <c r="W344" s="997"/>
      <c r="X344" s="997"/>
      <c r="AE344" s="997"/>
      <c r="AF344" s="997"/>
      <c r="AV344" s="997"/>
      <c r="AW344" s="997"/>
      <c r="AX344" s="997"/>
      <c r="AY344" s="997"/>
      <c r="AZ344" s="997"/>
      <c r="BA344" s="997"/>
      <c r="BC344" s="997"/>
      <c r="BE344" s="997"/>
      <c r="BF344" s="997"/>
      <c r="BG344" s="997"/>
    </row>
    <row r="345" spans="18:59" x14ac:dyDescent="0.35">
      <c r="R345" s="997"/>
      <c r="S345" s="997"/>
      <c r="W345" s="997"/>
      <c r="X345" s="997"/>
      <c r="AE345" s="997"/>
      <c r="AF345" s="997"/>
      <c r="AV345" s="997"/>
      <c r="AW345" s="997"/>
      <c r="AX345" s="997"/>
      <c r="AY345" s="997"/>
      <c r="AZ345" s="997"/>
      <c r="BA345" s="997"/>
      <c r="BC345" s="997"/>
      <c r="BE345" s="997"/>
      <c r="BF345" s="997"/>
      <c r="BG345" s="997"/>
    </row>
    <row r="346" spans="18:59" x14ac:dyDescent="0.35">
      <c r="R346" s="997"/>
      <c r="S346" s="997"/>
      <c r="W346" s="997"/>
      <c r="X346" s="997"/>
      <c r="AE346" s="997"/>
      <c r="AF346" s="997"/>
      <c r="AV346" s="997"/>
      <c r="AW346" s="997"/>
      <c r="AX346" s="997"/>
      <c r="AY346" s="997"/>
      <c r="AZ346" s="997"/>
      <c r="BA346" s="997"/>
      <c r="BC346" s="997"/>
      <c r="BE346" s="997"/>
      <c r="BF346" s="997"/>
      <c r="BG346" s="997"/>
    </row>
    <row r="347" spans="18:59" x14ac:dyDescent="0.35">
      <c r="R347" s="997"/>
      <c r="S347" s="997"/>
      <c r="W347" s="997"/>
      <c r="X347" s="997"/>
      <c r="AE347" s="997"/>
      <c r="AF347" s="997"/>
      <c r="AV347" s="997"/>
      <c r="AW347" s="997"/>
      <c r="AX347" s="997"/>
      <c r="AY347" s="997"/>
      <c r="AZ347" s="997"/>
      <c r="BA347" s="997"/>
      <c r="BC347" s="997"/>
      <c r="BE347" s="997"/>
      <c r="BF347" s="997"/>
      <c r="BG347" s="997"/>
    </row>
    <row r="348" spans="18:59" x14ac:dyDescent="0.35">
      <c r="R348" s="997"/>
      <c r="S348" s="997"/>
      <c r="W348" s="997"/>
      <c r="X348" s="997"/>
      <c r="AE348" s="997"/>
      <c r="AF348" s="997"/>
      <c r="AV348" s="997"/>
      <c r="AW348" s="997"/>
      <c r="AX348" s="997"/>
      <c r="AY348" s="997"/>
      <c r="AZ348" s="997"/>
      <c r="BA348" s="997"/>
      <c r="BC348" s="997"/>
      <c r="BE348" s="997"/>
      <c r="BF348" s="997"/>
      <c r="BG348" s="997"/>
    </row>
    <row r="349" spans="18:59" x14ac:dyDescent="0.35">
      <c r="R349" s="997"/>
      <c r="S349" s="997"/>
      <c r="W349" s="997"/>
      <c r="X349" s="997"/>
      <c r="AE349" s="997"/>
      <c r="AF349" s="997"/>
      <c r="AV349" s="997"/>
      <c r="AW349" s="997"/>
      <c r="AX349" s="997"/>
      <c r="AY349" s="997"/>
      <c r="AZ349" s="997"/>
      <c r="BA349" s="997"/>
      <c r="BC349" s="997"/>
      <c r="BE349" s="997"/>
      <c r="BF349" s="997"/>
      <c r="BG349" s="997"/>
    </row>
    <row r="350" spans="18:59" x14ac:dyDescent="0.35">
      <c r="R350" s="997"/>
      <c r="S350" s="997"/>
      <c r="W350" s="997"/>
      <c r="X350" s="997"/>
      <c r="AE350" s="997"/>
      <c r="AF350" s="997"/>
      <c r="AV350" s="997"/>
      <c r="AW350" s="997"/>
      <c r="AX350" s="997"/>
      <c r="AY350" s="997"/>
      <c r="AZ350" s="997"/>
      <c r="BA350" s="997"/>
      <c r="BC350" s="997"/>
      <c r="BE350" s="997"/>
      <c r="BF350" s="997"/>
      <c r="BG350" s="997"/>
    </row>
    <row r="351" spans="18:59" x14ac:dyDescent="0.35">
      <c r="R351" s="997"/>
      <c r="S351" s="997"/>
      <c r="W351" s="997"/>
      <c r="X351" s="997"/>
      <c r="AE351" s="997"/>
      <c r="AF351" s="997"/>
      <c r="AV351" s="997"/>
      <c r="AW351" s="997"/>
      <c r="AX351" s="997"/>
      <c r="AY351" s="997"/>
      <c r="AZ351" s="997"/>
      <c r="BA351" s="997"/>
      <c r="BC351" s="997"/>
      <c r="BE351" s="997"/>
      <c r="BF351" s="997"/>
      <c r="BG351" s="997"/>
    </row>
    <row r="352" spans="18:59" x14ac:dyDescent="0.35">
      <c r="R352" s="997"/>
      <c r="S352" s="997"/>
      <c r="W352" s="997"/>
      <c r="X352" s="997"/>
      <c r="AE352" s="997"/>
      <c r="AF352" s="997"/>
      <c r="AV352" s="997"/>
      <c r="AW352" s="997"/>
      <c r="AX352" s="997"/>
      <c r="AY352" s="997"/>
      <c r="AZ352" s="997"/>
      <c r="BA352" s="997"/>
      <c r="BC352" s="997"/>
      <c r="BE352" s="997"/>
      <c r="BF352" s="997"/>
      <c r="BG352" s="997"/>
    </row>
    <row r="353" spans="18:59" x14ac:dyDescent="0.35">
      <c r="R353" s="997"/>
      <c r="S353" s="997"/>
      <c r="W353" s="997"/>
      <c r="X353" s="997"/>
      <c r="AE353" s="997"/>
      <c r="AF353" s="997"/>
      <c r="AV353" s="997"/>
      <c r="AW353" s="997"/>
      <c r="AX353" s="997"/>
      <c r="AY353" s="997"/>
      <c r="AZ353" s="997"/>
      <c r="BA353" s="997"/>
      <c r="BC353" s="997"/>
      <c r="BE353" s="997"/>
      <c r="BF353" s="997"/>
      <c r="BG353" s="997"/>
    </row>
    <row r="354" spans="18:59" x14ac:dyDescent="0.35">
      <c r="R354" s="997"/>
      <c r="S354" s="997"/>
      <c r="W354" s="997"/>
      <c r="X354" s="997"/>
      <c r="AE354" s="997"/>
      <c r="AF354" s="997"/>
      <c r="AV354" s="997"/>
      <c r="AW354" s="997"/>
      <c r="AX354" s="997"/>
      <c r="AY354" s="997"/>
      <c r="AZ354" s="997"/>
      <c r="BA354" s="997"/>
      <c r="BC354" s="997"/>
      <c r="BE354" s="997"/>
      <c r="BF354" s="997"/>
      <c r="BG354" s="997"/>
    </row>
    <row r="355" spans="18:59" x14ac:dyDescent="0.35">
      <c r="R355" s="997"/>
      <c r="S355" s="997"/>
      <c r="W355" s="997"/>
      <c r="X355" s="997"/>
      <c r="AE355" s="997"/>
      <c r="AF355" s="997"/>
      <c r="AV355" s="997"/>
      <c r="AW355" s="997"/>
      <c r="AX355" s="997"/>
      <c r="AY355" s="997"/>
      <c r="AZ355" s="997"/>
      <c r="BA355" s="997"/>
      <c r="BC355" s="997"/>
      <c r="BE355" s="997"/>
      <c r="BF355" s="997"/>
      <c r="BG355" s="997"/>
    </row>
    <row r="356" spans="18:59" x14ac:dyDescent="0.35">
      <c r="R356" s="997"/>
      <c r="S356" s="997"/>
      <c r="W356" s="997"/>
      <c r="X356" s="997"/>
      <c r="AE356" s="997"/>
      <c r="AF356" s="997"/>
      <c r="AV356" s="997"/>
      <c r="AW356" s="997"/>
      <c r="AX356" s="997"/>
      <c r="AY356" s="997"/>
      <c r="AZ356" s="997"/>
      <c r="BA356" s="997"/>
      <c r="BC356" s="997"/>
      <c r="BE356" s="997"/>
      <c r="BF356" s="997"/>
      <c r="BG356" s="997"/>
    </row>
    <row r="357" spans="18:59" x14ac:dyDescent="0.35">
      <c r="R357" s="997"/>
      <c r="S357" s="997"/>
      <c r="W357" s="997"/>
      <c r="X357" s="997"/>
      <c r="AE357" s="997"/>
      <c r="AF357" s="997"/>
      <c r="AV357" s="997"/>
      <c r="AW357" s="997"/>
      <c r="AX357" s="997"/>
      <c r="AY357" s="997"/>
      <c r="AZ357" s="997"/>
      <c r="BA357" s="997"/>
      <c r="BC357" s="997"/>
      <c r="BE357" s="997"/>
      <c r="BF357" s="997"/>
      <c r="BG357" s="997"/>
    </row>
    <row r="358" spans="18:59" x14ac:dyDescent="0.35">
      <c r="R358" s="997"/>
      <c r="S358" s="997"/>
      <c r="W358" s="997"/>
      <c r="X358" s="997"/>
      <c r="AE358" s="997"/>
      <c r="AF358" s="997"/>
      <c r="AV358" s="997"/>
      <c r="AW358" s="997"/>
      <c r="AX358" s="997"/>
      <c r="AY358" s="997"/>
      <c r="AZ358" s="997"/>
      <c r="BA358" s="997"/>
      <c r="BC358" s="997"/>
      <c r="BE358" s="997"/>
      <c r="BF358" s="997"/>
      <c r="BG358" s="997"/>
    </row>
    <row r="359" spans="18:59" x14ac:dyDescent="0.35">
      <c r="R359" s="997"/>
      <c r="S359" s="997"/>
      <c r="W359" s="997"/>
      <c r="X359" s="997"/>
      <c r="AE359" s="997"/>
      <c r="AF359" s="997"/>
      <c r="AV359" s="997"/>
      <c r="AW359" s="997"/>
      <c r="AX359" s="997"/>
      <c r="AY359" s="997"/>
      <c r="AZ359" s="997"/>
      <c r="BA359" s="997"/>
      <c r="BC359" s="997"/>
      <c r="BE359" s="997"/>
      <c r="BF359" s="997"/>
      <c r="BG359" s="997"/>
    </row>
    <row r="360" spans="18:59" x14ac:dyDescent="0.35">
      <c r="R360" s="997"/>
      <c r="S360" s="997"/>
      <c r="W360" s="997"/>
      <c r="X360" s="997"/>
      <c r="AE360" s="997"/>
      <c r="AF360" s="997"/>
      <c r="AV360" s="997"/>
      <c r="AW360" s="997"/>
      <c r="AX360" s="997"/>
      <c r="AY360" s="997"/>
      <c r="AZ360" s="997"/>
      <c r="BA360" s="997"/>
      <c r="BC360" s="997"/>
      <c r="BE360" s="997"/>
      <c r="BF360" s="997"/>
      <c r="BG360" s="997"/>
    </row>
    <row r="361" spans="18:59" x14ac:dyDescent="0.35">
      <c r="R361" s="997"/>
      <c r="S361" s="997"/>
      <c r="W361" s="997"/>
      <c r="X361" s="997"/>
      <c r="AE361" s="997"/>
      <c r="AF361" s="997"/>
      <c r="AV361" s="997"/>
      <c r="AW361" s="997"/>
      <c r="AX361" s="997"/>
      <c r="AY361" s="997"/>
      <c r="AZ361" s="997"/>
      <c r="BA361" s="997"/>
      <c r="BC361" s="997"/>
      <c r="BE361" s="997"/>
      <c r="BF361" s="997"/>
      <c r="BG361" s="997"/>
    </row>
    <row r="362" spans="18:59" x14ac:dyDescent="0.35">
      <c r="R362" s="997"/>
      <c r="S362" s="997"/>
      <c r="W362" s="997"/>
      <c r="X362" s="997"/>
      <c r="AE362" s="997"/>
      <c r="AF362" s="997"/>
      <c r="AV362" s="997"/>
      <c r="AW362" s="997"/>
      <c r="AX362" s="997"/>
      <c r="AY362" s="997"/>
      <c r="AZ362" s="997"/>
      <c r="BA362" s="997"/>
      <c r="BC362" s="997"/>
      <c r="BE362" s="997"/>
      <c r="BF362" s="997"/>
      <c r="BG362" s="997"/>
    </row>
    <row r="363" spans="18:59" x14ac:dyDescent="0.35">
      <c r="R363" s="997"/>
      <c r="S363" s="997"/>
      <c r="W363" s="997"/>
      <c r="X363" s="997"/>
      <c r="AE363" s="997"/>
      <c r="AF363" s="997"/>
      <c r="AV363" s="997"/>
      <c r="AW363" s="997"/>
      <c r="AX363" s="997"/>
      <c r="AY363" s="997"/>
      <c r="AZ363" s="997"/>
      <c r="BA363" s="997"/>
      <c r="BC363" s="997"/>
      <c r="BE363" s="997"/>
      <c r="BF363" s="997"/>
      <c r="BG363" s="997"/>
    </row>
    <row r="364" spans="18:59" x14ac:dyDescent="0.35">
      <c r="R364" s="997"/>
      <c r="S364" s="997"/>
      <c r="W364" s="997"/>
      <c r="X364" s="997"/>
      <c r="AE364" s="997"/>
      <c r="AF364" s="997"/>
      <c r="AV364" s="997"/>
      <c r="AW364" s="997"/>
      <c r="AX364" s="997"/>
      <c r="AY364" s="997"/>
      <c r="AZ364" s="997"/>
      <c r="BA364" s="997"/>
      <c r="BC364" s="997"/>
      <c r="BE364" s="997"/>
      <c r="BF364" s="997"/>
      <c r="BG364" s="997"/>
    </row>
    <row r="365" spans="18:59" x14ac:dyDescent="0.35">
      <c r="R365" s="997"/>
      <c r="S365" s="997"/>
      <c r="W365" s="997"/>
      <c r="X365" s="997"/>
      <c r="AE365" s="997"/>
      <c r="AF365" s="997"/>
      <c r="AV365" s="997"/>
      <c r="AW365" s="997"/>
      <c r="AX365" s="997"/>
      <c r="AY365" s="997"/>
      <c r="AZ365" s="997"/>
      <c r="BA365" s="997"/>
      <c r="BC365" s="997"/>
      <c r="BE365" s="997"/>
      <c r="BF365" s="997"/>
      <c r="BG365" s="997"/>
    </row>
    <row r="366" spans="18:59" x14ac:dyDescent="0.35">
      <c r="R366" s="997"/>
      <c r="S366" s="997"/>
      <c r="W366" s="997"/>
      <c r="X366" s="997"/>
      <c r="AE366" s="997"/>
      <c r="AF366" s="997"/>
      <c r="AV366" s="997"/>
      <c r="AW366" s="997"/>
      <c r="AX366" s="997"/>
      <c r="AY366" s="997"/>
      <c r="AZ366" s="997"/>
      <c r="BA366" s="997"/>
      <c r="BC366" s="997"/>
      <c r="BE366" s="997"/>
      <c r="BF366" s="997"/>
      <c r="BG366" s="997"/>
    </row>
    <row r="367" spans="18:59" x14ac:dyDescent="0.35">
      <c r="R367" s="997"/>
      <c r="S367" s="997"/>
      <c r="W367" s="997"/>
      <c r="X367" s="997"/>
      <c r="AE367" s="997"/>
      <c r="AF367" s="997"/>
      <c r="AV367" s="997"/>
      <c r="AW367" s="997"/>
      <c r="AX367" s="997"/>
      <c r="AY367" s="997"/>
      <c r="AZ367" s="997"/>
      <c r="BA367" s="997"/>
      <c r="BC367" s="997"/>
      <c r="BE367" s="997"/>
      <c r="BF367" s="997"/>
      <c r="BG367" s="997"/>
    </row>
    <row r="368" spans="18:59" x14ac:dyDescent="0.35">
      <c r="R368" s="997"/>
      <c r="S368" s="997"/>
      <c r="W368" s="997"/>
      <c r="X368" s="997"/>
      <c r="AE368" s="997"/>
      <c r="AF368" s="997"/>
      <c r="AV368" s="997"/>
      <c r="AW368" s="997"/>
      <c r="AX368" s="997"/>
      <c r="AY368" s="997"/>
      <c r="AZ368" s="997"/>
      <c r="BA368" s="997"/>
      <c r="BC368" s="997"/>
      <c r="BE368" s="997"/>
      <c r="BF368" s="997"/>
      <c r="BG368" s="997"/>
    </row>
    <row r="369" spans="18:59" x14ac:dyDescent="0.35">
      <c r="R369" s="997"/>
      <c r="S369" s="997"/>
      <c r="W369" s="997"/>
      <c r="X369" s="997"/>
      <c r="AE369" s="997"/>
      <c r="AF369" s="997"/>
      <c r="AV369" s="997"/>
      <c r="AW369" s="997"/>
      <c r="AX369" s="997"/>
      <c r="AY369" s="997"/>
      <c r="AZ369" s="997"/>
      <c r="BA369" s="997"/>
      <c r="BC369" s="997"/>
      <c r="BE369" s="997"/>
      <c r="BF369" s="997"/>
      <c r="BG369" s="997"/>
    </row>
    <row r="370" spans="18:59" x14ac:dyDescent="0.35">
      <c r="R370" s="997"/>
      <c r="S370" s="997"/>
      <c r="W370" s="997"/>
      <c r="X370" s="997"/>
      <c r="AE370" s="997"/>
      <c r="AF370" s="997"/>
      <c r="AV370" s="997"/>
      <c r="AW370" s="997"/>
      <c r="AX370" s="997"/>
      <c r="AY370" s="997"/>
      <c r="AZ370" s="997"/>
      <c r="BA370" s="997"/>
      <c r="BC370" s="997"/>
      <c r="BE370" s="997"/>
      <c r="BF370" s="997"/>
      <c r="BG370" s="997"/>
    </row>
    <row r="371" spans="18:59" x14ac:dyDescent="0.35">
      <c r="R371" s="997"/>
      <c r="S371" s="997"/>
      <c r="W371" s="997"/>
      <c r="X371" s="997"/>
      <c r="AE371" s="997"/>
      <c r="AF371" s="997"/>
      <c r="AV371" s="997"/>
      <c r="AW371" s="997"/>
      <c r="AX371" s="997"/>
      <c r="AY371" s="997"/>
      <c r="AZ371" s="997"/>
      <c r="BA371" s="997"/>
      <c r="BC371" s="997"/>
      <c r="BE371" s="997"/>
      <c r="BF371" s="997"/>
      <c r="BG371" s="997"/>
    </row>
    <row r="372" spans="18:59" x14ac:dyDescent="0.35">
      <c r="R372" s="997"/>
      <c r="S372" s="997"/>
      <c r="W372" s="997"/>
      <c r="X372" s="997"/>
      <c r="AE372" s="997"/>
      <c r="AF372" s="997"/>
      <c r="AV372" s="997"/>
      <c r="AW372" s="997"/>
      <c r="AX372" s="997"/>
      <c r="AY372" s="997"/>
      <c r="AZ372" s="997"/>
      <c r="BA372" s="997"/>
      <c r="BC372" s="997"/>
      <c r="BE372" s="997"/>
      <c r="BF372" s="997"/>
      <c r="BG372" s="997"/>
    </row>
    <row r="373" spans="18:59" x14ac:dyDescent="0.35">
      <c r="R373" s="997"/>
      <c r="S373" s="997"/>
      <c r="W373" s="997"/>
      <c r="X373" s="997"/>
      <c r="AE373" s="997"/>
      <c r="AF373" s="997"/>
      <c r="AV373" s="997"/>
      <c r="AW373" s="997"/>
      <c r="AX373" s="997"/>
      <c r="AY373" s="997"/>
      <c r="AZ373" s="997"/>
      <c r="BA373" s="997"/>
      <c r="BC373" s="997"/>
      <c r="BE373" s="997"/>
      <c r="BF373" s="997"/>
      <c r="BG373" s="997"/>
    </row>
    <row r="374" spans="18:59" x14ac:dyDescent="0.35">
      <c r="R374" s="997"/>
      <c r="S374" s="997"/>
      <c r="W374" s="997"/>
      <c r="X374" s="997"/>
      <c r="AE374" s="997"/>
      <c r="AF374" s="997"/>
      <c r="AV374" s="997"/>
      <c r="AW374" s="997"/>
      <c r="AX374" s="997"/>
      <c r="AY374" s="997"/>
      <c r="AZ374" s="997"/>
      <c r="BA374" s="997"/>
      <c r="BC374" s="997"/>
      <c r="BE374" s="997"/>
      <c r="BF374" s="997"/>
      <c r="BG374" s="997"/>
    </row>
    <row r="375" spans="18:59" x14ac:dyDescent="0.35">
      <c r="R375" s="997"/>
      <c r="S375" s="997"/>
      <c r="W375" s="997"/>
      <c r="X375" s="997"/>
      <c r="AE375" s="997"/>
      <c r="AF375" s="997"/>
      <c r="AV375" s="997"/>
      <c r="AW375" s="997"/>
      <c r="AX375" s="997"/>
      <c r="AY375" s="997"/>
      <c r="AZ375" s="997"/>
      <c r="BA375" s="997"/>
      <c r="BC375" s="997"/>
      <c r="BE375" s="997"/>
      <c r="BF375" s="997"/>
      <c r="BG375" s="997"/>
    </row>
    <row r="376" spans="18:59" x14ac:dyDescent="0.35">
      <c r="R376" s="997"/>
      <c r="S376" s="997"/>
      <c r="W376" s="997"/>
      <c r="X376" s="997"/>
      <c r="AE376" s="997"/>
      <c r="AF376" s="997"/>
      <c r="AV376" s="997"/>
      <c r="AW376" s="997"/>
      <c r="AX376" s="997"/>
      <c r="AY376" s="997"/>
      <c r="AZ376" s="997"/>
      <c r="BA376" s="997"/>
      <c r="BC376" s="997"/>
      <c r="BE376" s="997"/>
      <c r="BF376" s="997"/>
      <c r="BG376" s="997"/>
    </row>
    <row r="377" spans="18:59" x14ac:dyDescent="0.35">
      <c r="R377" s="997"/>
      <c r="S377" s="997"/>
      <c r="W377" s="997"/>
      <c r="X377" s="997"/>
      <c r="AE377" s="997"/>
      <c r="AF377" s="997"/>
      <c r="AV377" s="997"/>
      <c r="AW377" s="997"/>
      <c r="AX377" s="997"/>
      <c r="AY377" s="997"/>
      <c r="AZ377" s="997"/>
      <c r="BA377" s="997"/>
      <c r="BC377" s="997"/>
      <c r="BE377" s="997"/>
      <c r="BF377" s="997"/>
      <c r="BG377" s="997"/>
    </row>
    <row r="378" spans="18:59" x14ac:dyDescent="0.35">
      <c r="R378" s="997"/>
      <c r="S378" s="997"/>
      <c r="W378" s="997"/>
      <c r="X378" s="997"/>
      <c r="AE378" s="997"/>
      <c r="AF378" s="997"/>
      <c r="AV378" s="997"/>
      <c r="AW378" s="997"/>
      <c r="AX378" s="997"/>
      <c r="AY378" s="997"/>
      <c r="AZ378" s="997"/>
      <c r="BA378" s="997"/>
      <c r="BC378" s="997"/>
      <c r="BE378" s="997"/>
      <c r="BF378" s="997"/>
      <c r="BG378" s="997"/>
    </row>
    <row r="379" spans="18:59" x14ac:dyDescent="0.35">
      <c r="R379" s="997"/>
      <c r="S379" s="997"/>
      <c r="W379" s="997"/>
      <c r="X379" s="997"/>
      <c r="AE379" s="997"/>
      <c r="AF379" s="997"/>
      <c r="AV379" s="997"/>
      <c r="AW379" s="997"/>
      <c r="AX379" s="997"/>
      <c r="AY379" s="997"/>
      <c r="AZ379" s="997"/>
      <c r="BA379" s="997"/>
      <c r="BC379" s="997"/>
      <c r="BE379" s="997"/>
      <c r="BF379" s="997"/>
      <c r="BG379" s="997"/>
    </row>
    <row r="380" spans="18:59" x14ac:dyDescent="0.35">
      <c r="R380" s="997"/>
      <c r="S380" s="997"/>
      <c r="W380" s="997"/>
      <c r="X380" s="997"/>
      <c r="AE380" s="997"/>
      <c r="AF380" s="997"/>
      <c r="AV380" s="997"/>
      <c r="AW380" s="997"/>
      <c r="AX380" s="997"/>
      <c r="AY380" s="997"/>
      <c r="AZ380" s="997"/>
      <c r="BA380" s="997"/>
      <c r="BC380" s="997"/>
      <c r="BE380" s="997"/>
      <c r="BF380" s="997"/>
      <c r="BG380" s="997"/>
    </row>
    <row r="381" spans="18:59" x14ac:dyDescent="0.35">
      <c r="R381" s="997"/>
      <c r="S381" s="997"/>
      <c r="W381" s="997"/>
      <c r="X381" s="997"/>
      <c r="AE381" s="997"/>
      <c r="AF381" s="997"/>
      <c r="AV381" s="997"/>
      <c r="AW381" s="997"/>
      <c r="AX381" s="997"/>
      <c r="AY381" s="997"/>
      <c r="AZ381" s="997"/>
      <c r="BA381" s="997"/>
      <c r="BC381" s="997"/>
      <c r="BE381" s="997"/>
      <c r="BF381" s="997"/>
      <c r="BG381" s="997"/>
    </row>
    <row r="382" spans="18:59" x14ac:dyDescent="0.35">
      <c r="R382" s="997"/>
      <c r="S382" s="997"/>
      <c r="W382" s="997"/>
      <c r="X382" s="997"/>
      <c r="AE382" s="997"/>
      <c r="AF382" s="997"/>
      <c r="AV382" s="997"/>
      <c r="AW382" s="997"/>
      <c r="AX382" s="997"/>
      <c r="AY382" s="997"/>
      <c r="AZ382" s="997"/>
      <c r="BA382" s="997"/>
      <c r="BC382" s="997"/>
      <c r="BE382" s="997"/>
      <c r="BF382" s="997"/>
      <c r="BG382" s="997"/>
    </row>
    <row r="383" spans="18:59" x14ac:dyDescent="0.35">
      <c r="R383" s="997"/>
      <c r="S383" s="997"/>
      <c r="W383" s="997"/>
      <c r="X383" s="997"/>
      <c r="AE383" s="997"/>
      <c r="AF383" s="997"/>
      <c r="AV383" s="997"/>
      <c r="AW383" s="997"/>
      <c r="AX383" s="997"/>
      <c r="AY383" s="997"/>
      <c r="AZ383" s="997"/>
      <c r="BA383" s="997"/>
      <c r="BC383" s="997"/>
      <c r="BE383" s="997"/>
      <c r="BF383" s="997"/>
      <c r="BG383" s="997"/>
    </row>
    <row r="384" spans="18:59" x14ac:dyDescent="0.35">
      <c r="R384" s="997"/>
      <c r="S384" s="997"/>
      <c r="W384" s="997"/>
      <c r="X384" s="997"/>
      <c r="AE384" s="997"/>
      <c r="AF384" s="997"/>
      <c r="AV384" s="997"/>
      <c r="AW384" s="997"/>
      <c r="AX384" s="997"/>
      <c r="AY384" s="997"/>
      <c r="AZ384" s="997"/>
      <c r="BA384" s="997"/>
      <c r="BC384" s="997"/>
      <c r="BE384" s="997"/>
      <c r="BF384" s="997"/>
      <c r="BG384" s="997"/>
    </row>
    <row r="385" spans="18:59" x14ac:dyDescent="0.35">
      <c r="R385" s="997"/>
      <c r="S385" s="997"/>
      <c r="W385" s="997"/>
      <c r="X385" s="997"/>
      <c r="AE385" s="997"/>
      <c r="AF385" s="997"/>
      <c r="AV385" s="997"/>
      <c r="AW385" s="997"/>
      <c r="AX385" s="997"/>
      <c r="AY385" s="997"/>
      <c r="AZ385" s="997"/>
      <c r="BA385" s="997"/>
      <c r="BC385" s="997"/>
      <c r="BE385" s="997"/>
      <c r="BF385" s="997"/>
      <c r="BG385" s="997"/>
    </row>
    <row r="386" spans="18:59" x14ac:dyDescent="0.35">
      <c r="R386" s="997"/>
      <c r="S386" s="997"/>
      <c r="W386" s="997"/>
      <c r="X386" s="997"/>
      <c r="AE386" s="997"/>
      <c r="AF386" s="997"/>
      <c r="AV386" s="997"/>
      <c r="AW386" s="997"/>
      <c r="AX386" s="997"/>
      <c r="AY386" s="997"/>
      <c r="AZ386" s="997"/>
      <c r="BA386" s="997"/>
      <c r="BC386" s="997"/>
      <c r="BE386" s="997"/>
      <c r="BF386" s="997"/>
      <c r="BG386" s="997"/>
    </row>
    <row r="387" spans="18:59" x14ac:dyDescent="0.35">
      <c r="R387" s="997"/>
      <c r="S387" s="997"/>
      <c r="W387" s="997"/>
      <c r="X387" s="997"/>
      <c r="AE387" s="997"/>
      <c r="AF387" s="997"/>
      <c r="AV387" s="997"/>
      <c r="AW387" s="997"/>
      <c r="AX387" s="997"/>
      <c r="AY387" s="997"/>
      <c r="AZ387" s="997"/>
      <c r="BA387" s="997"/>
      <c r="BC387" s="997"/>
      <c r="BE387" s="997"/>
      <c r="BF387" s="997"/>
      <c r="BG387" s="997"/>
    </row>
    <row r="388" spans="18:59" x14ac:dyDescent="0.35">
      <c r="R388" s="997"/>
      <c r="S388" s="997"/>
      <c r="W388" s="997"/>
      <c r="X388" s="997"/>
      <c r="AE388" s="997"/>
      <c r="AF388" s="997"/>
      <c r="AV388" s="997"/>
      <c r="AW388" s="997"/>
      <c r="AX388" s="997"/>
      <c r="AY388" s="997"/>
      <c r="AZ388" s="997"/>
      <c r="BA388" s="997"/>
      <c r="BC388" s="997"/>
      <c r="BE388" s="997"/>
      <c r="BF388" s="997"/>
      <c r="BG388" s="997"/>
    </row>
    <row r="389" spans="18:59" x14ac:dyDescent="0.35">
      <c r="R389" s="997"/>
      <c r="S389" s="997"/>
      <c r="W389" s="997"/>
      <c r="X389" s="997"/>
      <c r="AE389" s="997"/>
      <c r="AF389" s="997"/>
      <c r="AV389" s="997"/>
      <c r="AW389" s="997"/>
      <c r="AX389" s="997"/>
      <c r="AY389" s="997"/>
      <c r="AZ389" s="997"/>
      <c r="BA389" s="997"/>
      <c r="BC389" s="997"/>
      <c r="BE389" s="997"/>
      <c r="BF389" s="997"/>
      <c r="BG389" s="997"/>
    </row>
    <row r="390" spans="18:59" x14ac:dyDescent="0.35">
      <c r="R390" s="997"/>
      <c r="S390" s="997"/>
      <c r="W390" s="997"/>
      <c r="X390" s="997"/>
      <c r="AE390" s="997"/>
      <c r="AF390" s="997"/>
      <c r="AV390" s="997"/>
      <c r="AW390" s="997"/>
      <c r="AX390" s="997"/>
      <c r="AY390" s="997"/>
      <c r="AZ390" s="997"/>
      <c r="BA390" s="997"/>
      <c r="BC390" s="997"/>
      <c r="BE390" s="997"/>
      <c r="BF390" s="997"/>
      <c r="BG390" s="997"/>
    </row>
    <row r="391" spans="18:59" x14ac:dyDescent="0.35">
      <c r="R391" s="997"/>
      <c r="S391" s="997"/>
      <c r="W391" s="997"/>
      <c r="X391" s="997"/>
      <c r="AE391" s="997"/>
      <c r="AF391" s="997"/>
      <c r="AV391" s="997"/>
      <c r="AW391" s="997"/>
      <c r="AX391" s="997"/>
      <c r="AY391" s="997"/>
      <c r="AZ391" s="997"/>
      <c r="BA391" s="997"/>
      <c r="BC391" s="997"/>
      <c r="BE391" s="997"/>
      <c r="BF391" s="997"/>
      <c r="BG391" s="997"/>
    </row>
    <row r="392" spans="18:59" x14ac:dyDescent="0.35">
      <c r="R392" s="997"/>
      <c r="S392" s="997"/>
      <c r="W392" s="997"/>
      <c r="X392" s="997"/>
      <c r="AE392" s="997"/>
      <c r="AF392" s="997"/>
      <c r="AV392" s="997"/>
      <c r="AW392" s="997"/>
      <c r="AX392" s="997"/>
      <c r="AY392" s="997"/>
      <c r="AZ392" s="997"/>
      <c r="BA392" s="997"/>
      <c r="BC392" s="997"/>
      <c r="BE392" s="997"/>
      <c r="BF392" s="997"/>
      <c r="BG392" s="997"/>
    </row>
    <row r="393" spans="18:59" x14ac:dyDescent="0.35">
      <c r="R393" s="997"/>
      <c r="S393" s="997"/>
      <c r="W393" s="997"/>
      <c r="X393" s="997"/>
      <c r="AE393" s="997"/>
      <c r="AF393" s="997"/>
      <c r="AV393" s="997"/>
      <c r="AW393" s="997"/>
      <c r="AX393" s="997"/>
      <c r="AY393" s="997"/>
      <c r="AZ393" s="997"/>
      <c r="BA393" s="997"/>
      <c r="BC393" s="997"/>
      <c r="BE393" s="997"/>
      <c r="BF393" s="997"/>
      <c r="BG393" s="997"/>
    </row>
    <row r="394" spans="18:59" x14ac:dyDescent="0.35">
      <c r="R394" s="997"/>
      <c r="S394" s="997"/>
      <c r="W394" s="997"/>
      <c r="X394" s="997"/>
      <c r="AE394" s="997"/>
      <c r="AF394" s="997"/>
      <c r="AV394" s="997"/>
      <c r="AW394" s="997"/>
      <c r="AX394" s="997"/>
      <c r="AY394" s="997"/>
      <c r="AZ394" s="997"/>
      <c r="BA394" s="997"/>
      <c r="BC394" s="997"/>
      <c r="BE394" s="997"/>
      <c r="BF394" s="997"/>
      <c r="BG394" s="997"/>
    </row>
    <row r="395" spans="18:59" x14ac:dyDescent="0.35">
      <c r="R395" s="997"/>
      <c r="S395" s="997"/>
      <c r="W395" s="997"/>
      <c r="X395" s="997"/>
      <c r="AE395" s="997"/>
      <c r="AF395" s="997"/>
      <c r="AV395" s="997"/>
      <c r="AW395" s="997"/>
      <c r="AX395" s="997"/>
      <c r="AY395" s="997"/>
      <c r="AZ395" s="997"/>
      <c r="BA395" s="997"/>
      <c r="BC395" s="997"/>
      <c r="BE395" s="997"/>
      <c r="BF395" s="997"/>
      <c r="BG395" s="997"/>
    </row>
    <row r="396" spans="18:59" x14ac:dyDescent="0.35">
      <c r="R396" s="997"/>
      <c r="S396" s="997"/>
      <c r="W396" s="997"/>
      <c r="X396" s="997"/>
      <c r="AE396" s="997"/>
      <c r="AF396" s="997"/>
      <c r="AV396" s="997"/>
      <c r="AW396" s="997"/>
      <c r="AX396" s="997"/>
      <c r="AY396" s="997"/>
      <c r="AZ396" s="997"/>
      <c r="BA396" s="997"/>
      <c r="BC396" s="997"/>
      <c r="BE396" s="997"/>
      <c r="BF396" s="997"/>
      <c r="BG396" s="997"/>
    </row>
    <row r="397" spans="18:59" x14ac:dyDescent="0.35">
      <c r="R397" s="997"/>
      <c r="S397" s="997"/>
      <c r="W397" s="997"/>
      <c r="X397" s="997"/>
      <c r="AE397" s="997"/>
      <c r="AF397" s="997"/>
      <c r="AV397" s="997"/>
      <c r="AW397" s="997"/>
      <c r="AX397" s="997"/>
      <c r="AY397" s="997"/>
      <c r="AZ397" s="997"/>
      <c r="BA397" s="997"/>
      <c r="BC397" s="997"/>
      <c r="BE397" s="997"/>
      <c r="BF397" s="997"/>
      <c r="BG397" s="997"/>
    </row>
    <row r="398" spans="18:59" x14ac:dyDescent="0.35">
      <c r="R398" s="997"/>
      <c r="S398" s="997"/>
      <c r="W398" s="997"/>
      <c r="X398" s="997"/>
      <c r="AE398" s="997"/>
      <c r="AF398" s="997"/>
      <c r="AV398" s="997"/>
      <c r="AW398" s="997"/>
      <c r="AX398" s="997"/>
      <c r="AY398" s="997"/>
      <c r="AZ398" s="997"/>
      <c r="BA398" s="997"/>
      <c r="BC398" s="997"/>
      <c r="BE398" s="997"/>
      <c r="BF398" s="997"/>
      <c r="BG398" s="997"/>
    </row>
    <row r="399" spans="18:59" x14ac:dyDescent="0.35">
      <c r="R399" s="997"/>
      <c r="S399" s="997"/>
      <c r="W399" s="997"/>
      <c r="X399" s="997"/>
      <c r="AE399" s="997"/>
      <c r="AF399" s="997"/>
      <c r="AV399" s="997"/>
      <c r="AW399" s="997"/>
      <c r="AX399" s="997"/>
      <c r="AY399" s="997"/>
      <c r="AZ399" s="997"/>
      <c r="BA399" s="997"/>
      <c r="BC399" s="997"/>
      <c r="BE399" s="997"/>
      <c r="BF399" s="997"/>
      <c r="BG399" s="997"/>
    </row>
    <row r="400" spans="18:59" x14ac:dyDescent="0.35">
      <c r="R400" s="997"/>
      <c r="S400" s="997"/>
      <c r="W400" s="997"/>
      <c r="X400" s="997"/>
      <c r="AE400" s="997"/>
      <c r="AF400" s="997"/>
      <c r="AV400" s="997"/>
      <c r="AW400" s="997"/>
      <c r="AX400" s="997"/>
      <c r="AY400" s="997"/>
      <c r="AZ400" s="997"/>
      <c r="BA400" s="997"/>
      <c r="BC400" s="997"/>
      <c r="BE400" s="997"/>
      <c r="BF400" s="997"/>
      <c r="BG400" s="997"/>
    </row>
    <row r="401" spans="18:59" x14ac:dyDescent="0.35">
      <c r="R401" s="997"/>
      <c r="S401" s="997"/>
      <c r="W401" s="997"/>
      <c r="X401" s="997"/>
      <c r="AE401" s="997"/>
      <c r="AF401" s="997"/>
      <c r="AV401" s="997"/>
      <c r="AW401" s="997"/>
      <c r="AX401" s="997"/>
      <c r="AY401" s="997"/>
      <c r="AZ401" s="997"/>
      <c r="BA401" s="997"/>
      <c r="BC401" s="997"/>
      <c r="BE401" s="997"/>
      <c r="BF401" s="997"/>
      <c r="BG401" s="997"/>
    </row>
    <row r="402" spans="18:59" x14ac:dyDescent="0.35">
      <c r="R402" s="997"/>
      <c r="S402" s="997"/>
      <c r="W402" s="997"/>
      <c r="X402" s="997"/>
      <c r="AE402" s="997"/>
      <c r="AF402" s="997"/>
      <c r="AV402" s="997"/>
      <c r="AW402" s="997"/>
      <c r="AX402" s="997"/>
      <c r="AY402" s="997"/>
      <c r="AZ402" s="997"/>
      <c r="BA402" s="997"/>
      <c r="BC402" s="997"/>
      <c r="BE402" s="997"/>
      <c r="BF402" s="997"/>
      <c r="BG402" s="997"/>
    </row>
    <row r="403" spans="18:59" x14ac:dyDescent="0.35">
      <c r="R403" s="997"/>
      <c r="S403" s="997"/>
      <c r="W403" s="997"/>
      <c r="X403" s="997"/>
      <c r="AE403" s="997"/>
      <c r="AF403" s="997"/>
      <c r="AV403" s="997"/>
      <c r="AW403" s="997"/>
      <c r="AX403" s="997"/>
      <c r="AY403" s="997"/>
      <c r="AZ403" s="997"/>
      <c r="BA403" s="997"/>
      <c r="BC403" s="997"/>
      <c r="BE403" s="997"/>
      <c r="BF403" s="997"/>
      <c r="BG403" s="997"/>
    </row>
    <row r="404" spans="18:59" x14ac:dyDescent="0.35">
      <c r="R404" s="997"/>
      <c r="S404" s="997"/>
      <c r="W404" s="997"/>
      <c r="X404" s="997"/>
      <c r="AE404" s="997"/>
      <c r="AF404" s="997"/>
      <c r="AV404" s="997"/>
      <c r="AW404" s="997"/>
      <c r="AX404" s="997"/>
      <c r="AY404" s="997"/>
      <c r="AZ404" s="997"/>
      <c r="BA404" s="997"/>
      <c r="BC404" s="997"/>
      <c r="BE404" s="997"/>
      <c r="BF404" s="997"/>
      <c r="BG404" s="997"/>
    </row>
    <row r="405" spans="18:59" x14ac:dyDescent="0.35">
      <c r="R405" s="997"/>
      <c r="S405" s="997"/>
      <c r="W405" s="997"/>
      <c r="X405" s="997"/>
      <c r="AE405" s="997"/>
      <c r="AF405" s="997"/>
      <c r="AV405" s="997"/>
      <c r="AW405" s="997"/>
      <c r="AX405" s="997"/>
      <c r="AY405" s="997"/>
      <c r="AZ405" s="997"/>
      <c r="BA405" s="997"/>
      <c r="BC405" s="997"/>
      <c r="BE405" s="997"/>
      <c r="BF405" s="997"/>
      <c r="BG405" s="997"/>
    </row>
    <row r="406" spans="18:59" x14ac:dyDescent="0.35">
      <c r="R406" s="997"/>
      <c r="S406" s="997"/>
      <c r="W406" s="997"/>
      <c r="X406" s="997"/>
      <c r="AE406" s="997"/>
      <c r="AF406" s="997"/>
      <c r="AV406" s="997"/>
      <c r="AW406" s="997"/>
      <c r="AX406" s="997"/>
      <c r="AY406" s="997"/>
      <c r="AZ406" s="997"/>
      <c r="BA406" s="997"/>
      <c r="BC406" s="997"/>
      <c r="BE406" s="997"/>
      <c r="BF406" s="997"/>
      <c r="BG406" s="997"/>
    </row>
    <row r="407" spans="18:59" x14ac:dyDescent="0.35">
      <c r="R407" s="997"/>
      <c r="S407" s="997"/>
      <c r="W407" s="997"/>
      <c r="X407" s="997"/>
      <c r="AE407" s="997"/>
      <c r="AF407" s="997"/>
      <c r="AV407" s="997"/>
      <c r="AW407" s="997"/>
      <c r="AX407" s="997"/>
      <c r="AY407" s="997"/>
      <c r="AZ407" s="997"/>
      <c r="BA407" s="997"/>
      <c r="BC407" s="997"/>
      <c r="BE407" s="997"/>
      <c r="BF407" s="997"/>
      <c r="BG407" s="997"/>
    </row>
    <row r="408" spans="18:59" x14ac:dyDescent="0.35">
      <c r="R408" s="997"/>
      <c r="S408" s="997"/>
      <c r="W408" s="997"/>
      <c r="X408" s="997"/>
      <c r="AE408" s="997"/>
      <c r="AF408" s="997"/>
      <c r="AV408" s="997"/>
      <c r="AW408" s="997"/>
      <c r="AX408" s="997"/>
      <c r="AY408" s="997"/>
      <c r="AZ408" s="997"/>
      <c r="BA408" s="997"/>
      <c r="BC408" s="997"/>
      <c r="BE408" s="997"/>
      <c r="BF408" s="997"/>
      <c r="BG408" s="997"/>
    </row>
    <row r="409" spans="18:59" x14ac:dyDescent="0.35">
      <c r="R409" s="997"/>
      <c r="S409" s="997"/>
      <c r="W409" s="997"/>
      <c r="X409" s="997"/>
      <c r="AE409" s="997"/>
      <c r="AF409" s="997"/>
      <c r="AV409" s="997"/>
      <c r="AW409" s="997"/>
      <c r="AX409" s="997"/>
      <c r="AY409" s="997"/>
      <c r="AZ409" s="997"/>
      <c r="BA409" s="997"/>
      <c r="BC409" s="997"/>
      <c r="BE409" s="997"/>
      <c r="BF409" s="997"/>
      <c r="BG409" s="997"/>
    </row>
    <row r="410" spans="18:59" x14ac:dyDescent="0.35">
      <c r="R410" s="997"/>
      <c r="S410" s="997"/>
      <c r="W410" s="997"/>
      <c r="X410" s="997"/>
      <c r="AE410" s="997"/>
      <c r="AF410" s="997"/>
      <c r="AV410" s="997"/>
      <c r="AW410" s="997"/>
      <c r="AX410" s="997"/>
      <c r="AY410" s="997"/>
      <c r="AZ410" s="997"/>
      <c r="BA410" s="997"/>
      <c r="BC410" s="997"/>
      <c r="BE410" s="997"/>
      <c r="BF410" s="997"/>
      <c r="BG410" s="997"/>
    </row>
    <row r="411" spans="18:59" x14ac:dyDescent="0.35">
      <c r="R411" s="997"/>
      <c r="S411" s="997"/>
      <c r="W411" s="997"/>
      <c r="X411" s="997"/>
      <c r="AE411" s="997"/>
      <c r="AF411" s="997"/>
      <c r="AV411" s="997"/>
      <c r="AW411" s="997"/>
      <c r="AX411" s="997"/>
      <c r="AY411" s="997"/>
      <c r="AZ411" s="997"/>
      <c r="BA411" s="997"/>
      <c r="BC411" s="997"/>
      <c r="BE411" s="997"/>
      <c r="BF411" s="997"/>
      <c r="BG411" s="997"/>
    </row>
    <row r="412" spans="18:59" x14ac:dyDescent="0.35">
      <c r="R412" s="997"/>
      <c r="S412" s="997"/>
      <c r="W412" s="997"/>
      <c r="X412" s="997"/>
      <c r="AE412" s="997"/>
      <c r="AF412" s="997"/>
      <c r="AV412" s="997"/>
      <c r="AW412" s="997"/>
      <c r="AX412" s="997"/>
      <c r="AY412" s="997"/>
      <c r="AZ412" s="997"/>
      <c r="BA412" s="997"/>
      <c r="BC412" s="997"/>
      <c r="BE412" s="997"/>
      <c r="BF412" s="997"/>
      <c r="BG412" s="997"/>
    </row>
    <row r="413" spans="18:59" x14ac:dyDescent="0.35">
      <c r="R413" s="997"/>
      <c r="S413" s="997"/>
      <c r="W413" s="997"/>
      <c r="X413" s="997"/>
      <c r="AE413" s="997"/>
      <c r="AF413" s="997"/>
      <c r="AV413" s="997"/>
      <c r="AW413" s="997"/>
      <c r="AX413" s="997"/>
      <c r="AY413" s="997"/>
      <c r="AZ413" s="997"/>
      <c r="BA413" s="997"/>
      <c r="BC413" s="997"/>
      <c r="BE413" s="997"/>
      <c r="BF413" s="997"/>
      <c r="BG413" s="997"/>
    </row>
    <row r="414" spans="18:59" x14ac:dyDescent="0.35">
      <c r="R414" s="997"/>
      <c r="S414" s="997"/>
      <c r="W414" s="997"/>
      <c r="X414" s="997"/>
      <c r="AE414" s="997"/>
      <c r="AF414" s="997"/>
      <c r="AV414" s="997"/>
      <c r="AW414" s="997"/>
      <c r="AX414" s="997"/>
      <c r="AY414" s="997"/>
      <c r="AZ414" s="997"/>
      <c r="BA414" s="997"/>
      <c r="BC414" s="997"/>
      <c r="BE414" s="997"/>
      <c r="BF414" s="997"/>
      <c r="BG414" s="997"/>
    </row>
    <row r="415" spans="18:59" x14ac:dyDescent="0.35">
      <c r="R415" s="997"/>
      <c r="S415" s="997"/>
      <c r="W415" s="997"/>
      <c r="X415" s="997"/>
      <c r="AE415" s="997"/>
      <c r="AF415" s="997"/>
      <c r="AV415" s="997"/>
      <c r="AW415" s="997"/>
      <c r="AX415" s="997"/>
      <c r="AY415" s="997"/>
      <c r="AZ415" s="997"/>
      <c r="BA415" s="997"/>
      <c r="BC415" s="997"/>
      <c r="BE415" s="997"/>
      <c r="BF415" s="997"/>
      <c r="BG415" s="997"/>
    </row>
    <row r="416" spans="18:59" x14ac:dyDescent="0.35">
      <c r="R416" s="997"/>
      <c r="S416" s="997"/>
      <c r="W416" s="997"/>
      <c r="X416" s="997"/>
      <c r="AE416" s="997"/>
      <c r="AF416" s="997"/>
      <c r="AV416" s="997"/>
      <c r="AW416" s="997"/>
      <c r="AX416" s="997"/>
      <c r="AY416" s="997"/>
      <c r="AZ416" s="997"/>
      <c r="BA416" s="997"/>
      <c r="BC416" s="997"/>
      <c r="BE416" s="997"/>
      <c r="BF416" s="997"/>
      <c r="BG416" s="997"/>
    </row>
    <row r="417" spans="18:59" x14ac:dyDescent="0.35">
      <c r="R417" s="997"/>
      <c r="S417" s="997"/>
      <c r="W417" s="997"/>
      <c r="X417" s="997"/>
      <c r="AE417" s="997"/>
      <c r="AF417" s="997"/>
      <c r="AV417" s="997"/>
      <c r="AW417" s="997"/>
      <c r="AX417" s="997"/>
      <c r="AY417" s="997"/>
      <c r="AZ417" s="997"/>
      <c r="BA417" s="997"/>
      <c r="BC417" s="997"/>
      <c r="BE417" s="997"/>
      <c r="BF417" s="997"/>
      <c r="BG417" s="997"/>
    </row>
    <row r="418" spans="18:59" x14ac:dyDescent="0.35">
      <c r="R418" s="997"/>
      <c r="S418" s="997"/>
      <c r="W418" s="997"/>
      <c r="X418" s="997"/>
      <c r="AE418" s="997"/>
      <c r="AF418" s="997"/>
      <c r="AV418" s="997"/>
      <c r="AW418" s="997"/>
      <c r="AX418" s="997"/>
      <c r="AY418" s="997"/>
      <c r="AZ418" s="997"/>
      <c r="BA418" s="997"/>
      <c r="BC418" s="997"/>
      <c r="BE418" s="997"/>
      <c r="BF418" s="997"/>
      <c r="BG418" s="997"/>
    </row>
    <row r="419" spans="18:59" x14ac:dyDescent="0.35">
      <c r="R419" s="997"/>
      <c r="S419" s="997"/>
      <c r="W419" s="997"/>
      <c r="X419" s="997"/>
      <c r="AE419" s="997"/>
      <c r="AF419" s="997"/>
      <c r="AV419" s="997"/>
      <c r="AW419" s="997"/>
      <c r="AX419" s="997"/>
      <c r="AY419" s="997"/>
      <c r="AZ419" s="997"/>
      <c r="BA419" s="997"/>
      <c r="BC419" s="997"/>
      <c r="BE419" s="997"/>
      <c r="BF419" s="997"/>
      <c r="BG419" s="997"/>
    </row>
    <row r="420" spans="18:59" x14ac:dyDescent="0.35">
      <c r="R420" s="997"/>
      <c r="S420" s="997"/>
      <c r="W420" s="997"/>
      <c r="X420" s="997"/>
      <c r="AE420" s="997"/>
      <c r="AF420" s="997"/>
      <c r="AV420" s="997"/>
      <c r="AW420" s="997"/>
      <c r="AX420" s="997"/>
      <c r="AY420" s="997"/>
      <c r="AZ420" s="997"/>
      <c r="BA420" s="997"/>
      <c r="BC420" s="997"/>
      <c r="BE420" s="997"/>
      <c r="BF420" s="997"/>
      <c r="BG420" s="997"/>
    </row>
    <row r="421" spans="18:59" x14ac:dyDescent="0.35">
      <c r="R421" s="997"/>
      <c r="S421" s="997"/>
      <c r="W421" s="997"/>
      <c r="X421" s="997"/>
      <c r="AE421" s="997"/>
      <c r="AF421" s="997"/>
      <c r="AV421" s="997"/>
      <c r="AW421" s="997"/>
      <c r="AX421" s="997"/>
      <c r="AY421" s="997"/>
      <c r="AZ421" s="997"/>
      <c r="BA421" s="997"/>
      <c r="BC421" s="997"/>
      <c r="BE421" s="997"/>
      <c r="BF421" s="997"/>
      <c r="BG421" s="997"/>
    </row>
    <row r="422" spans="18:59" x14ac:dyDescent="0.35">
      <c r="R422" s="997"/>
      <c r="S422" s="997"/>
      <c r="W422" s="997"/>
      <c r="X422" s="997"/>
      <c r="AE422" s="997"/>
      <c r="AF422" s="997"/>
      <c r="AV422" s="997"/>
      <c r="AW422" s="997"/>
      <c r="AX422" s="997"/>
      <c r="AY422" s="997"/>
      <c r="AZ422" s="997"/>
      <c r="BA422" s="997"/>
      <c r="BC422" s="997"/>
      <c r="BE422" s="997"/>
      <c r="BF422" s="997"/>
      <c r="BG422" s="997"/>
    </row>
    <row r="423" spans="18:59" x14ac:dyDescent="0.35">
      <c r="R423" s="997"/>
      <c r="S423" s="997"/>
      <c r="W423" s="997"/>
      <c r="X423" s="997"/>
      <c r="AE423" s="997"/>
      <c r="AF423" s="997"/>
      <c r="AV423" s="997"/>
      <c r="AW423" s="997"/>
      <c r="AX423" s="997"/>
      <c r="AY423" s="997"/>
      <c r="AZ423" s="997"/>
      <c r="BA423" s="997"/>
      <c r="BC423" s="997"/>
      <c r="BE423" s="997"/>
      <c r="BF423" s="997"/>
      <c r="BG423" s="997"/>
    </row>
    <row r="424" spans="18:59" x14ac:dyDescent="0.35">
      <c r="R424" s="997"/>
      <c r="S424" s="997"/>
      <c r="W424" s="997"/>
      <c r="X424" s="997"/>
      <c r="AE424" s="997"/>
      <c r="AF424" s="997"/>
      <c r="AV424" s="997"/>
      <c r="AW424" s="997"/>
      <c r="AX424" s="997"/>
      <c r="AY424" s="997"/>
      <c r="AZ424" s="997"/>
      <c r="BA424" s="997"/>
      <c r="BC424" s="997"/>
      <c r="BE424" s="997"/>
      <c r="BF424" s="997"/>
      <c r="BG424" s="997"/>
    </row>
    <row r="425" spans="18:59" x14ac:dyDescent="0.35">
      <c r="R425" s="997"/>
      <c r="S425" s="997"/>
      <c r="W425" s="997"/>
      <c r="X425" s="997"/>
      <c r="AE425" s="997"/>
      <c r="AF425" s="997"/>
      <c r="AV425" s="997"/>
      <c r="AW425" s="997"/>
      <c r="AX425" s="997"/>
      <c r="AY425" s="997"/>
      <c r="AZ425" s="997"/>
      <c r="BA425" s="997"/>
      <c r="BC425" s="997"/>
      <c r="BE425" s="997"/>
      <c r="BF425" s="997"/>
      <c r="BG425" s="997"/>
    </row>
    <row r="426" spans="18:59" x14ac:dyDescent="0.35">
      <c r="R426" s="997"/>
      <c r="S426" s="997"/>
      <c r="W426" s="997"/>
      <c r="X426" s="997"/>
      <c r="AE426" s="997"/>
      <c r="AF426" s="997"/>
      <c r="AV426" s="997"/>
      <c r="AW426" s="997"/>
      <c r="AX426" s="997"/>
      <c r="AY426" s="997"/>
      <c r="AZ426" s="997"/>
      <c r="BA426" s="997"/>
      <c r="BC426" s="997"/>
      <c r="BE426" s="997"/>
      <c r="BF426" s="997"/>
      <c r="BG426" s="997"/>
    </row>
    <row r="427" spans="18:59" x14ac:dyDescent="0.35">
      <c r="R427" s="997"/>
      <c r="S427" s="997"/>
      <c r="W427" s="997"/>
      <c r="X427" s="997"/>
      <c r="AE427" s="997"/>
      <c r="AF427" s="997"/>
      <c r="AV427" s="997"/>
      <c r="AW427" s="997"/>
      <c r="AX427" s="997"/>
      <c r="AY427" s="997"/>
      <c r="AZ427" s="997"/>
      <c r="BA427" s="997"/>
      <c r="BC427" s="997"/>
      <c r="BE427" s="997"/>
      <c r="BF427" s="997"/>
      <c r="BG427" s="997"/>
    </row>
    <row r="428" spans="18:59" x14ac:dyDescent="0.35">
      <c r="R428" s="997"/>
      <c r="S428" s="997"/>
      <c r="W428" s="997"/>
      <c r="X428" s="997"/>
      <c r="AE428" s="997"/>
      <c r="AF428" s="997"/>
      <c r="AV428" s="997"/>
      <c r="AW428" s="997"/>
      <c r="AX428" s="997"/>
      <c r="AY428" s="997"/>
      <c r="AZ428" s="997"/>
      <c r="BA428" s="997"/>
      <c r="BC428" s="997"/>
      <c r="BE428" s="997"/>
      <c r="BF428" s="997"/>
      <c r="BG428" s="997"/>
    </row>
    <row r="429" spans="18:59" x14ac:dyDescent="0.35">
      <c r="R429" s="997"/>
      <c r="S429" s="997"/>
      <c r="W429" s="997"/>
      <c r="X429" s="997"/>
      <c r="AE429" s="997"/>
      <c r="AF429" s="997"/>
      <c r="AV429" s="997"/>
      <c r="AW429" s="997"/>
      <c r="AX429" s="997"/>
      <c r="AY429" s="997"/>
      <c r="AZ429" s="997"/>
      <c r="BA429" s="997"/>
      <c r="BC429" s="997"/>
      <c r="BE429" s="997"/>
      <c r="BF429" s="997"/>
      <c r="BG429" s="997"/>
    </row>
    <row r="430" spans="18:59" x14ac:dyDescent="0.35">
      <c r="R430" s="997"/>
      <c r="S430" s="997"/>
      <c r="W430" s="997"/>
      <c r="X430" s="997"/>
      <c r="AE430" s="997"/>
      <c r="AF430" s="997"/>
      <c r="AV430" s="997"/>
      <c r="AW430" s="997"/>
      <c r="AX430" s="997"/>
      <c r="AY430" s="997"/>
      <c r="AZ430" s="997"/>
      <c r="BA430" s="997"/>
      <c r="BC430" s="997"/>
      <c r="BE430" s="997"/>
      <c r="BF430" s="997"/>
      <c r="BG430" s="997"/>
    </row>
    <row r="431" spans="18:59" x14ac:dyDescent="0.35">
      <c r="R431" s="997"/>
      <c r="S431" s="997"/>
      <c r="W431" s="997"/>
      <c r="X431" s="997"/>
      <c r="AE431" s="997"/>
      <c r="AF431" s="997"/>
      <c r="AV431" s="997"/>
      <c r="AW431" s="997"/>
      <c r="AX431" s="997"/>
      <c r="AY431" s="997"/>
      <c r="AZ431" s="997"/>
      <c r="BA431" s="997"/>
      <c r="BC431" s="997"/>
      <c r="BE431" s="997"/>
      <c r="BF431" s="997"/>
      <c r="BG431" s="997"/>
    </row>
    <row r="432" spans="18:59" x14ac:dyDescent="0.35">
      <c r="R432" s="997"/>
      <c r="S432" s="997"/>
      <c r="W432" s="997"/>
      <c r="X432" s="997"/>
      <c r="AE432" s="997"/>
      <c r="AF432" s="997"/>
      <c r="AV432" s="997"/>
      <c r="AW432" s="997"/>
      <c r="AX432" s="997"/>
      <c r="AY432" s="997"/>
      <c r="AZ432" s="997"/>
      <c r="BA432" s="997"/>
      <c r="BC432" s="997"/>
      <c r="BE432" s="997"/>
      <c r="BF432" s="997"/>
      <c r="BG432" s="997"/>
    </row>
    <row r="433" spans="18:59" x14ac:dyDescent="0.35">
      <c r="R433" s="997"/>
      <c r="S433" s="997"/>
      <c r="W433" s="997"/>
      <c r="X433" s="997"/>
      <c r="AE433" s="997"/>
      <c r="AF433" s="997"/>
      <c r="AV433" s="997"/>
      <c r="AW433" s="997"/>
      <c r="AX433" s="997"/>
      <c r="AY433" s="997"/>
      <c r="AZ433" s="997"/>
      <c r="BA433" s="997"/>
      <c r="BC433" s="997"/>
      <c r="BE433" s="997"/>
      <c r="BF433" s="997"/>
      <c r="BG433" s="997"/>
    </row>
    <row r="434" spans="18:59" x14ac:dyDescent="0.35">
      <c r="R434" s="997"/>
      <c r="S434" s="997"/>
      <c r="W434" s="997"/>
      <c r="X434" s="997"/>
      <c r="AE434" s="997"/>
      <c r="AF434" s="997"/>
      <c r="AV434" s="997"/>
      <c r="AW434" s="997"/>
      <c r="AX434" s="997"/>
      <c r="AY434" s="997"/>
      <c r="AZ434" s="997"/>
      <c r="BA434" s="997"/>
      <c r="BC434" s="997"/>
      <c r="BE434" s="997"/>
      <c r="BF434" s="997"/>
      <c r="BG434" s="997"/>
    </row>
    <row r="435" spans="18:59" x14ac:dyDescent="0.35">
      <c r="R435" s="997"/>
      <c r="S435" s="997"/>
      <c r="W435" s="997"/>
      <c r="X435" s="997"/>
      <c r="AE435" s="997"/>
      <c r="AF435" s="997"/>
      <c r="AV435" s="997"/>
      <c r="AW435" s="997"/>
      <c r="AX435" s="997"/>
      <c r="AY435" s="997"/>
      <c r="AZ435" s="997"/>
      <c r="BA435" s="997"/>
      <c r="BC435" s="997"/>
      <c r="BE435" s="997"/>
      <c r="BF435" s="997"/>
      <c r="BG435" s="997"/>
    </row>
    <row r="436" spans="18:59" x14ac:dyDescent="0.35">
      <c r="R436" s="997"/>
      <c r="S436" s="997"/>
      <c r="W436" s="997"/>
      <c r="X436" s="997"/>
      <c r="AE436" s="997"/>
      <c r="AF436" s="997"/>
      <c r="AV436" s="997"/>
      <c r="AW436" s="997"/>
      <c r="AX436" s="997"/>
      <c r="AY436" s="997"/>
      <c r="AZ436" s="997"/>
      <c r="BA436" s="997"/>
      <c r="BC436" s="997"/>
      <c r="BE436" s="997"/>
      <c r="BF436" s="997"/>
      <c r="BG436" s="997"/>
    </row>
    <row r="437" spans="18:59" x14ac:dyDescent="0.35">
      <c r="R437" s="997"/>
      <c r="S437" s="997"/>
      <c r="W437" s="997"/>
      <c r="X437" s="997"/>
      <c r="AE437" s="997"/>
      <c r="AF437" s="997"/>
      <c r="AV437" s="997"/>
      <c r="AW437" s="997"/>
      <c r="AX437" s="997"/>
      <c r="AY437" s="997"/>
      <c r="AZ437" s="997"/>
      <c r="BA437" s="997"/>
      <c r="BC437" s="997"/>
      <c r="BE437" s="997"/>
      <c r="BF437" s="997"/>
      <c r="BG437" s="997"/>
    </row>
    <row r="438" spans="18:59" x14ac:dyDescent="0.35">
      <c r="R438" s="997"/>
      <c r="S438" s="997"/>
      <c r="W438" s="997"/>
      <c r="X438" s="997"/>
      <c r="AE438" s="997"/>
      <c r="AF438" s="997"/>
      <c r="AV438" s="997"/>
      <c r="AW438" s="997"/>
      <c r="AX438" s="997"/>
      <c r="AY438" s="997"/>
      <c r="AZ438" s="997"/>
      <c r="BA438" s="997"/>
      <c r="BC438" s="997"/>
      <c r="BE438" s="997"/>
      <c r="BF438" s="997"/>
      <c r="BG438" s="997"/>
    </row>
    <row r="439" spans="18:59" x14ac:dyDescent="0.35">
      <c r="R439" s="997"/>
      <c r="S439" s="997"/>
      <c r="W439" s="997"/>
      <c r="X439" s="997"/>
      <c r="AE439" s="997"/>
      <c r="AF439" s="997"/>
      <c r="AV439" s="997"/>
      <c r="AW439" s="997"/>
      <c r="AX439" s="997"/>
      <c r="AY439" s="997"/>
      <c r="AZ439" s="997"/>
      <c r="BA439" s="997"/>
      <c r="BC439" s="997"/>
      <c r="BE439" s="997"/>
      <c r="BF439" s="997"/>
      <c r="BG439" s="997"/>
    </row>
    <row r="440" spans="18:59" x14ac:dyDescent="0.35">
      <c r="R440" s="997"/>
      <c r="S440" s="997"/>
      <c r="W440" s="997"/>
      <c r="X440" s="997"/>
      <c r="AE440" s="997"/>
      <c r="AF440" s="997"/>
      <c r="AV440" s="997"/>
      <c r="AW440" s="997"/>
      <c r="AX440" s="997"/>
      <c r="AY440" s="997"/>
      <c r="AZ440" s="997"/>
      <c r="BA440" s="997"/>
      <c r="BC440" s="997"/>
      <c r="BE440" s="997"/>
      <c r="BF440" s="997"/>
      <c r="BG440" s="997"/>
    </row>
    <row r="441" spans="18:59" x14ac:dyDescent="0.35">
      <c r="R441" s="997"/>
      <c r="S441" s="997"/>
      <c r="W441" s="997"/>
      <c r="X441" s="997"/>
      <c r="AE441" s="997"/>
      <c r="AF441" s="997"/>
      <c r="AV441" s="997"/>
      <c r="AW441" s="997"/>
      <c r="AX441" s="997"/>
      <c r="AY441" s="997"/>
      <c r="AZ441" s="997"/>
      <c r="BA441" s="997"/>
      <c r="BC441" s="997"/>
      <c r="BE441" s="997"/>
      <c r="BF441" s="997"/>
      <c r="BG441" s="997"/>
    </row>
    <row r="442" spans="18:59" x14ac:dyDescent="0.35">
      <c r="R442" s="997"/>
      <c r="S442" s="997"/>
      <c r="W442" s="997"/>
      <c r="X442" s="997"/>
      <c r="AE442" s="997"/>
      <c r="AF442" s="997"/>
      <c r="AV442" s="997"/>
      <c r="AW442" s="997"/>
      <c r="AX442" s="997"/>
      <c r="AY442" s="997"/>
      <c r="AZ442" s="997"/>
      <c r="BA442" s="997"/>
      <c r="BC442" s="997"/>
      <c r="BE442" s="997"/>
      <c r="BF442" s="997"/>
      <c r="BG442" s="997"/>
    </row>
    <row r="443" spans="18:59" x14ac:dyDescent="0.35">
      <c r="R443" s="997"/>
      <c r="S443" s="997"/>
      <c r="W443" s="997"/>
      <c r="X443" s="997"/>
      <c r="AE443" s="997"/>
      <c r="AF443" s="997"/>
      <c r="AV443" s="997"/>
      <c r="AW443" s="997"/>
      <c r="AX443" s="997"/>
      <c r="AY443" s="997"/>
      <c r="AZ443" s="997"/>
      <c r="BA443" s="997"/>
      <c r="BC443" s="997"/>
      <c r="BE443" s="997"/>
      <c r="BF443" s="997"/>
      <c r="BG443" s="997"/>
    </row>
    <row r="444" spans="18:59" x14ac:dyDescent="0.35">
      <c r="R444" s="997"/>
      <c r="S444" s="997"/>
      <c r="W444" s="997"/>
      <c r="X444" s="997"/>
      <c r="AE444" s="997"/>
      <c r="AF444" s="997"/>
      <c r="AV444" s="997"/>
      <c r="AW444" s="997"/>
      <c r="AX444" s="997"/>
      <c r="AY444" s="997"/>
      <c r="AZ444" s="997"/>
      <c r="BA444" s="997"/>
      <c r="BC444" s="997"/>
      <c r="BE444" s="997"/>
      <c r="BF444" s="997"/>
      <c r="BG444" s="997"/>
    </row>
    <row r="445" spans="18:59" x14ac:dyDescent="0.35">
      <c r="R445" s="997"/>
      <c r="S445" s="997"/>
      <c r="W445" s="997"/>
      <c r="X445" s="997"/>
      <c r="AE445" s="997"/>
      <c r="AF445" s="997"/>
      <c r="AV445" s="997"/>
      <c r="AW445" s="997"/>
      <c r="AX445" s="997"/>
      <c r="AY445" s="997"/>
      <c r="AZ445" s="997"/>
      <c r="BA445" s="997"/>
      <c r="BC445" s="997"/>
      <c r="BE445" s="997"/>
      <c r="BF445" s="997"/>
      <c r="BG445" s="997"/>
    </row>
    <row r="446" spans="18:59" x14ac:dyDescent="0.35">
      <c r="R446" s="997"/>
      <c r="S446" s="997"/>
      <c r="W446" s="997"/>
      <c r="X446" s="997"/>
      <c r="AE446" s="997"/>
      <c r="AF446" s="997"/>
      <c r="AV446" s="997"/>
      <c r="AW446" s="997"/>
      <c r="AX446" s="997"/>
      <c r="AY446" s="997"/>
      <c r="AZ446" s="997"/>
      <c r="BA446" s="997"/>
      <c r="BC446" s="997"/>
      <c r="BE446" s="997"/>
      <c r="BF446" s="997"/>
      <c r="BG446" s="997"/>
    </row>
    <row r="447" spans="18:59" x14ac:dyDescent="0.35">
      <c r="R447" s="997"/>
      <c r="S447" s="997"/>
      <c r="W447" s="997"/>
      <c r="X447" s="997"/>
      <c r="AE447" s="997"/>
      <c r="AF447" s="997"/>
      <c r="AV447" s="997"/>
      <c r="AW447" s="997"/>
      <c r="AX447" s="997"/>
      <c r="AY447" s="997"/>
      <c r="AZ447" s="997"/>
      <c r="BA447" s="997"/>
      <c r="BC447" s="997"/>
      <c r="BE447" s="997"/>
      <c r="BF447" s="997"/>
      <c r="BG447" s="997"/>
    </row>
    <row r="448" spans="18:59" x14ac:dyDescent="0.35">
      <c r="R448" s="997"/>
      <c r="S448" s="997"/>
      <c r="W448" s="997"/>
      <c r="X448" s="997"/>
      <c r="AE448" s="997"/>
      <c r="AF448" s="997"/>
      <c r="AV448" s="997"/>
      <c r="AW448" s="997"/>
      <c r="AX448" s="997"/>
      <c r="AY448" s="997"/>
      <c r="AZ448" s="997"/>
      <c r="BA448" s="997"/>
      <c r="BC448" s="997"/>
      <c r="BE448" s="997"/>
      <c r="BF448" s="997"/>
      <c r="BG448" s="997"/>
    </row>
    <row r="449" spans="18:59" x14ac:dyDescent="0.35">
      <c r="R449" s="997"/>
      <c r="S449" s="997"/>
      <c r="W449" s="997"/>
      <c r="X449" s="997"/>
      <c r="AE449" s="997"/>
      <c r="AF449" s="997"/>
      <c r="AV449" s="997"/>
      <c r="AW449" s="997"/>
      <c r="AX449" s="997"/>
      <c r="AY449" s="997"/>
      <c r="AZ449" s="997"/>
      <c r="BA449" s="997"/>
      <c r="BC449" s="997"/>
      <c r="BE449" s="997"/>
      <c r="BF449" s="997"/>
      <c r="BG449" s="997"/>
    </row>
    <row r="450" spans="18:59" x14ac:dyDescent="0.35">
      <c r="R450" s="997"/>
      <c r="S450" s="997"/>
      <c r="W450" s="997"/>
      <c r="X450" s="997"/>
      <c r="AE450" s="997"/>
      <c r="AF450" s="997"/>
      <c r="AV450" s="997"/>
      <c r="AW450" s="997"/>
      <c r="AX450" s="997"/>
      <c r="AY450" s="997"/>
      <c r="AZ450" s="997"/>
      <c r="BA450" s="997"/>
      <c r="BC450" s="997"/>
      <c r="BE450" s="997"/>
      <c r="BF450" s="997"/>
      <c r="BG450" s="997"/>
    </row>
    <row r="451" spans="18:59" x14ac:dyDescent="0.35">
      <c r="R451" s="997"/>
      <c r="S451" s="997"/>
      <c r="W451" s="997"/>
      <c r="X451" s="997"/>
      <c r="AE451" s="997"/>
      <c r="AF451" s="997"/>
      <c r="AV451" s="997"/>
      <c r="AW451" s="997"/>
      <c r="AX451" s="997"/>
      <c r="AY451" s="997"/>
      <c r="AZ451" s="997"/>
      <c r="BA451" s="997"/>
      <c r="BC451" s="997"/>
      <c r="BE451" s="997"/>
      <c r="BF451" s="997"/>
      <c r="BG451" s="997"/>
    </row>
    <row r="452" spans="18:59" x14ac:dyDescent="0.35">
      <c r="R452" s="997"/>
      <c r="S452" s="997"/>
      <c r="W452" s="997"/>
      <c r="X452" s="997"/>
      <c r="AE452" s="997"/>
      <c r="AF452" s="997"/>
      <c r="AV452" s="997"/>
      <c r="AW452" s="997"/>
      <c r="AX452" s="997"/>
      <c r="AY452" s="997"/>
      <c r="AZ452" s="997"/>
      <c r="BA452" s="997"/>
      <c r="BC452" s="997"/>
      <c r="BE452" s="997"/>
      <c r="BF452" s="997"/>
      <c r="BG452" s="997"/>
    </row>
    <row r="453" spans="18:59" x14ac:dyDescent="0.35">
      <c r="R453" s="997"/>
      <c r="S453" s="997"/>
      <c r="W453" s="997"/>
      <c r="X453" s="997"/>
      <c r="AE453" s="997"/>
      <c r="AF453" s="997"/>
      <c r="AV453" s="997"/>
      <c r="AW453" s="997"/>
      <c r="AX453" s="997"/>
      <c r="AY453" s="997"/>
      <c r="AZ453" s="997"/>
      <c r="BA453" s="997"/>
      <c r="BC453" s="997"/>
      <c r="BE453" s="997"/>
      <c r="BF453" s="997"/>
      <c r="BG453" s="997"/>
    </row>
    <row r="454" spans="18:59" x14ac:dyDescent="0.35">
      <c r="R454" s="997"/>
      <c r="S454" s="997"/>
      <c r="W454" s="997"/>
      <c r="X454" s="997"/>
      <c r="AE454" s="997"/>
      <c r="AF454" s="997"/>
      <c r="AV454" s="997"/>
      <c r="AW454" s="997"/>
      <c r="AX454" s="997"/>
      <c r="AY454" s="997"/>
      <c r="AZ454" s="997"/>
      <c r="BA454" s="997"/>
      <c r="BC454" s="997"/>
      <c r="BE454" s="997"/>
      <c r="BF454" s="997"/>
      <c r="BG454" s="997"/>
    </row>
    <row r="455" spans="18:59" x14ac:dyDescent="0.35">
      <c r="R455" s="997"/>
      <c r="S455" s="997"/>
      <c r="W455" s="997"/>
      <c r="X455" s="997"/>
      <c r="AE455" s="997"/>
      <c r="AF455" s="997"/>
      <c r="AV455" s="997"/>
      <c r="AW455" s="997"/>
      <c r="AX455" s="997"/>
      <c r="AY455" s="997"/>
      <c r="AZ455" s="997"/>
      <c r="BA455" s="997"/>
      <c r="BC455" s="997"/>
      <c r="BE455" s="997"/>
      <c r="BF455" s="997"/>
      <c r="BG455" s="997"/>
    </row>
    <row r="456" spans="18:59" x14ac:dyDescent="0.35">
      <c r="R456" s="997"/>
      <c r="S456" s="997"/>
      <c r="W456" s="997"/>
      <c r="X456" s="997"/>
      <c r="AE456" s="997"/>
      <c r="AF456" s="997"/>
      <c r="AV456" s="997"/>
      <c r="AW456" s="997"/>
      <c r="AX456" s="997"/>
      <c r="AY456" s="997"/>
      <c r="AZ456" s="997"/>
      <c r="BA456" s="997"/>
      <c r="BC456" s="997"/>
      <c r="BE456" s="997"/>
      <c r="BF456" s="997"/>
      <c r="BG456" s="997"/>
    </row>
    <row r="457" spans="18:59" x14ac:dyDescent="0.35">
      <c r="R457" s="997"/>
      <c r="S457" s="997"/>
      <c r="W457" s="997"/>
      <c r="X457" s="997"/>
      <c r="AE457" s="997"/>
      <c r="AF457" s="997"/>
      <c r="AV457" s="997"/>
      <c r="AW457" s="997"/>
      <c r="AX457" s="997"/>
      <c r="AY457" s="997"/>
      <c r="AZ457" s="997"/>
      <c r="BA457" s="997"/>
      <c r="BC457" s="997"/>
      <c r="BE457" s="997"/>
      <c r="BF457" s="997"/>
      <c r="BG457" s="997"/>
    </row>
    <row r="458" spans="18:59" x14ac:dyDescent="0.35">
      <c r="R458" s="997"/>
      <c r="S458" s="997"/>
      <c r="W458" s="997"/>
      <c r="X458" s="997"/>
      <c r="AE458" s="997"/>
      <c r="AF458" s="997"/>
      <c r="AV458" s="997"/>
      <c r="AW458" s="997"/>
      <c r="AX458" s="997"/>
      <c r="AY458" s="997"/>
      <c r="AZ458" s="997"/>
      <c r="BA458" s="997"/>
      <c r="BC458" s="997"/>
      <c r="BE458" s="997"/>
      <c r="BF458" s="997"/>
      <c r="BG458" s="997"/>
    </row>
    <row r="459" spans="18:59" x14ac:dyDescent="0.35">
      <c r="R459" s="997"/>
      <c r="S459" s="997"/>
      <c r="W459" s="997"/>
      <c r="X459" s="997"/>
      <c r="AE459" s="997"/>
      <c r="AF459" s="997"/>
      <c r="AV459" s="997"/>
      <c r="AW459" s="997"/>
      <c r="AX459" s="997"/>
      <c r="AY459" s="997"/>
      <c r="AZ459" s="997"/>
      <c r="BA459" s="997"/>
      <c r="BC459" s="997"/>
      <c r="BE459" s="997"/>
      <c r="BF459" s="997"/>
      <c r="BG459" s="997"/>
    </row>
    <row r="460" spans="18:59" x14ac:dyDescent="0.35">
      <c r="R460" s="997"/>
      <c r="S460" s="997"/>
      <c r="W460" s="997"/>
      <c r="X460" s="997"/>
      <c r="AE460" s="997"/>
      <c r="AF460" s="997"/>
      <c r="AV460" s="997"/>
      <c r="AW460" s="997"/>
      <c r="AX460" s="997"/>
      <c r="AY460" s="997"/>
      <c r="AZ460" s="997"/>
      <c r="BA460" s="997"/>
      <c r="BC460" s="997"/>
      <c r="BE460" s="997"/>
      <c r="BF460" s="997"/>
      <c r="BG460" s="997"/>
    </row>
    <row r="461" spans="18:59" x14ac:dyDescent="0.35">
      <c r="R461" s="997"/>
      <c r="S461" s="997"/>
      <c r="W461" s="997"/>
      <c r="X461" s="997"/>
      <c r="AE461" s="997"/>
      <c r="AF461" s="997"/>
      <c r="AV461" s="997"/>
      <c r="AW461" s="997"/>
      <c r="AX461" s="997"/>
      <c r="AY461" s="997"/>
      <c r="AZ461" s="997"/>
      <c r="BA461" s="997"/>
      <c r="BC461" s="997"/>
      <c r="BE461" s="997"/>
      <c r="BF461" s="997"/>
      <c r="BG461" s="997"/>
    </row>
    <row r="462" spans="18:59" x14ac:dyDescent="0.35">
      <c r="R462" s="997"/>
      <c r="S462" s="997"/>
      <c r="W462" s="997"/>
      <c r="X462" s="997"/>
      <c r="AE462" s="997"/>
      <c r="AF462" s="997"/>
      <c r="AV462" s="997"/>
      <c r="AW462" s="997"/>
      <c r="AX462" s="997"/>
      <c r="AY462" s="997"/>
      <c r="AZ462" s="997"/>
      <c r="BA462" s="997"/>
      <c r="BC462" s="997"/>
      <c r="BE462" s="997"/>
      <c r="BF462" s="997"/>
      <c r="BG462" s="997"/>
    </row>
    <row r="463" spans="18:59" x14ac:dyDescent="0.35">
      <c r="R463" s="997"/>
      <c r="S463" s="997"/>
      <c r="W463" s="997"/>
      <c r="X463" s="997"/>
      <c r="AE463" s="997"/>
      <c r="AF463" s="997"/>
      <c r="AV463" s="997"/>
      <c r="AW463" s="997"/>
      <c r="AX463" s="997"/>
      <c r="AY463" s="997"/>
      <c r="AZ463" s="997"/>
      <c r="BA463" s="997"/>
      <c r="BC463" s="997"/>
      <c r="BE463" s="997"/>
      <c r="BF463" s="997"/>
      <c r="BG463" s="997"/>
    </row>
    <row r="464" spans="18:59" x14ac:dyDescent="0.35">
      <c r="R464" s="997"/>
      <c r="S464" s="997"/>
      <c r="W464" s="997"/>
      <c r="X464" s="997"/>
      <c r="AE464" s="997"/>
      <c r="AF464" s="997"/>
      <c r="AV464" s="997"/>
      <c r="AW464" s="997"/>
      <c r="AX464" s="997"/>
      <c r="AY464" s="997"/>
      <c r="AZ464" s="997"/>
      <c r="BA464" s="997"/>
      <c r="BC464" s="997"/>
      <c r="BE464" s="997"/>
      <c r="BF464" s="997"/>
      <c r="BG464" s="997"/>
    </row>
    <row r="465" spans="18:59" x14ac:dyDescent="0.35">
      <c r="R465" s="997"/>
      <c r="S465" s="997"/>
      <c r="W465" s="997"/>
      <c r="X465" s="997"/>
      <c r="AE465" s="997"/>
      <c r="AF465" s="997"/>
      <c r="AV465" s="997"/>
      <c r="AW465" s="997"/>
      <c r="AX465" s="997"/>
      <c r="AY465" s="997"/>
      <c r="AZ465" s="997"/>
      <c r="BA465" s="997"/>
      <c r="BC465" s="997"/>
      <c r="BE465" s="997"/>
      <c r="BF465" s="997"/>
      <c r="BG465" s="997"/>
    </row>
    <row r="466" spans="18:59" x14ac:dyDescent="0.35">
      <c r="R466" s="997"/>
      <c r="S466" s="997"/>
      <c r="W466" s="997"/>
      <c r="X466" s="997"/>
      <c r="AE466" s="997"/>
      <c r="AF466" s="997"/>
      <c r="AV466" s="997"/>
      <c r="AW466" s="997"/>
      <c r="AX466" s="997"/>
      <c r="AY466" s="997"/>
      <c r="AZ466" s="997"/>
      <c r="BA466" s="997"/>
      <c r="BC466" s="997"/>
      <c r="BE466" s="997"/>
      <c r="BF466" s="997"/>
      <c r="BG466" s="997"/>
    </row>
    <row r="467" spans="18:59" x14ac:dyDescent="0.35">
      <c r="R467" s="997"/>
      <c r="S467" s="997"/>
      <c r="W467" s="997"/>
      <c r="X467" s="997"/>
      <c r="AE467" s="997"/>
      <c r="AF467" s="997"/>
      <c r="AV467" s="997"/>
      <c r="AW467" s="997"/>
      <c r="AX467" s="997"/>
      <c r="AY467" s="997"/>
      <c r="AZ467" s="997"/>
      <c r="BA467" s="997"/>
      <c r="BC467" s="997"/>
      <c r="BE467" s="997"/>
      <c r="BF467" s="997"/>
      <c r="BG467" s="997"/>
    </row>
    <row r="468" spans="18:59" x14ac:dyDescent="0.35">
      <c r="R468" s="997"/>
      <c r="S468" s="997"/>
      <c r="W468" s="997"/>
      <c r="X468" s="997"/>
      <c r="AE468" s="997"/>
      <c r="AF468" s="997"/>
      <c r="AV468" s="997"/>
      <c r="AW468" s="997"/>
      <c r="AX468" s="997"/>
      <c r="AY468" s="997"/>
      <c r="AZ468" s="997"/>
      <c r="BA468" s="997"/>
      <c r="BC468" s="997"/>
      <c r="BE468" s="997"/>
      <c r="BF468" s="997"/>
      <c r="BG468" s="997"/>
    </row>
    <row r="469" spans="18:59" x14ac:dyDescent="0.35">
      <c r="R469" s="997"/>
      <c r="S469" s="997"/>
      <c r="W469" s="997"/>
      <c r="X469" s="997"/>
      <c r="AE469" s="997"/>
      <c r="AF469" s="997"/>
      <c r="AV469" s="997"/>
      <c r="AW469" s="997"/>
      <c r="AX469" s="997"/>
      <c r="AY469" s="997"/>
      <c r="AZ469" s="997"/>
      <c r="BA469" s="997"/>
      <c r="BC469" s="997"/>
      <c r="BE469" s="997"/>
      <c r="BF469" s="997"/>
      <c r="BG469" s="997"/>
    </row>
    <row r="470" spans="18:59" x14ac:dyDescent="0.35">
      <c r="R470" s="997"/>
      <c r="S470" s="997"/>
      <c r="W470" s="997"/>
      <c r="X470" s="997"/>
      <c r="AE470" s="997"/>
      <c r="AF470" s="997"/>
      <c r="AV470" s="997"/>
      <c r="AW470" s="997"/>
      <c r="AX470" s="997"/>
      <c r="AY470" s="997"/>
      <c r="AZ470" s="997"/>
      <c r="BA470" s="997"/>
      <c r="BC470" s="997"/>
      <c r="BE470" s="997"/>
      <c r="BF470" s="997"/>
      <c r="BG470" s="997"/>
    </row>
    <row r="471" spans="18:59" x14ac:dyDescent="0.35">
      <c r="R471" s="997"/>
      <c r="S471" s="997"/>
      <c r="W471" s="997"/>
      <c r="X471" s="997"/>
      <c r="AE471" s="997"/>
      <c r="AF471" s="997"/>
      <c r="AV471" s="997"/>
      <c r="AW471" s="997"/>
      <c r="AX471" s="997"/>
      <c r="AY471" s="997"/>
      <c r="AZ471" s="997"/>
      <c r="BA471" s="997"/>
      <c r="BC471" s="997"/>
      <c r="BE471" s="997"/>
      <c r="BF471" s="997"/>
      <c r="BG471" s="997"/>
    </row>
    <row r="472" spans="18:59" x14ac:dyDescent="0.35">
      <c r="R472" s="997"/>
      <c r="S472" s="997"/>
      <c r="W472" s="997"/>
      <c r="X472" s="997"/>
      <c r="AE472" s="997"/>
      <c r="AF472" s="997"/>
      <c r="AV472" s="997"/>
      <c r="AW472" s="997"/>
      <c r="AX472" s="997"/>
      <c r="AY472" s="997"/>
      <c r="AZ472" s="997"/>
      <c r="BA472" s="997"/>
      <c r="BC472" s="997"/>
      <c r="BE472" s="997"/>
      <c r="BF472" s="997"/>
      <c r="BG472" s="997"/>
    </row>
    <row r="473" spans="18:59" x14ac:dyDescent="0.35">
      <c r="R473" s="997"/>
      <c r="S473" s="997"/>
      <c r="W473" s="997"/>
      <c r="X473" s="997"/>
      <c r="AE473" s="997"/>
      <c r="AF473" s="997"/>
      <c r="AV473" s="997"/>
      <c r="AW473" s="997"/>
      <c r="AX473" s="997"/>
      <c r="AY473" s="997"/>
      <c r="AZ473" s="997"/>
      <c r="BA473" s="997"/>
      <c r="BC473" s="997"/>
      <c r="BE473" s="997"/>
      <c r="BF473" s="997"/>
      <c r="BG473" s="997"/>
    </row>
    <row r="474" spans="18:59" x14ac:dyDescent="0.35">
      <c r="R474" s="997"/>
      <c r="S474" s="997"/>
      <c r="W474" s="997"/>
      <c r="X474" s="997"/>
      <c r="AE474" s="997"/>
      <c r="AF474" s="997"/>
      <c r="AV474" s="997"/>
      <c r="AW474" s="997"/>
      <c r="AX474" s="997"/>
      <c r="AY474" s="997"/>
      <c r="AZ474" s="997"/>
      <c r="BA474" s="997"/>
      <c r="BC474" s="997"/>
      <c r="BE474" s="997"/>
      <c r="BF474" s="997"/>
      <c r="BG474" s="997"/>
    </row>
    <row r="475" spans="18:59" x14ac:dyDescent="0.35">
      <c r="R475" s="997"/>
      <c r="S475" s="997"/>
      <c r="W475" s="997"/>
      <c r="X475" s="997"/>
      <c r="AE475" s="997"/>
      <c r="AF475" s="997"/>
      <c r="AV475" s="997"/>
      <c r="AW475" s="997"/>
      <c r="AX475" s="997"/>
      <c r="AY475" s="997"/>
      <c r="AZ475" s="997"/>
      <c r="BA475" s="997"/>
      <c r="BC475" s="997"/>
      <c r="BE475" s="997"/>
      <c r="BF475" s="997"/>
      <c r="BG475" s="997"/>
    </row>
    <row r="476" spans="18:59" x14ac:dyDescent="0.35">
      <c r="R476" s="997"/>
      <c r="S476" s="997"/>
      <c r="W476" s="997"/>
      <c r="X476" s="997"/>
      <c r="AE476" s="997"/>
      <c r="AF476" s="997"/>
      <c r="AV476" s="997"/>
      <c r="AW476" s="997"/>
      <c r="AX476" s="997"/>
      <c r="AY476" s="997"/>
      <c r="AZ476" s="997"/>
      <c r="BA476" s="997"/>
      <c r="BC476" s="997"/>
      <c r="BE476" s="997"/>
      <c r="BF476" s="997"/>
      <c r="BG476" s="997"/>
    </row>
    <row r="477" spans="18:59" x14ac:dyDescent="0.35">
      <c r="R477" s="997"/>
      <c r="S477" s="997"/>
      <c r="W477" s="997"/>
      <c r="X477" s="997"/>
      <c r="AE477" s="997"/>
      <c r="AF477" s="997"/>
      <c r="AV477" s="997"/>
      <c r="AW477" s="997"/>
      <c r="AX477" s="997"/>
      <c r="AY477" s="997"/>
      <c r="AZ477" s="997"/>
      <c r="BA477" s="997"/>
      <c r="BC477" s="997"/>
      <c r="BE477" s="997"/>
      <c r="BF477" s="997"/>
      <c r="BG477" s="997"/>
    </row>
    <row r="478" spans="18:59" x14ac:dyDescent="0.35">
      <c r="R478" s="997"/>
      <c r="S478" s="997"/>
      <c r="W478" s="997"/>
      <c r="X478" s="997"/>
      <c r="AE478" s="997"/>
      <c r="AF478" s="997"/>
      <c r="AV478" s="997"/>
      <c r="AW478" s="997"/>
      <c r="AX478" s="997"/>
      <c r="AY478" s="997"/>
      <c r="AZ478" s="997"/>
      <c r="BA478" s="997"/>
      <c r="BC478" s="997"/>
      <c r="BE478" s="997"/>
      <c r="BF478" s="997"/>
      <c r="BG478" s="997"/>
    </row>
    <row r="479" spans="18:59" x14ac:dyDescent="0.35">
      <c r="R479" s="997"/>
      <c r="S479" s="997"/>
      <c r="W479" s="997"/>
      <c r="X479" s="997"/>
      <c r="AE479" s="997"/>
      <c r="AF479" s="997"/>
      <c r="AV479" s="997"/>
      <c r="AW479" s="997"/>
      <c r="AX479" s="997"/>
      <c r="AY479" s="997"/>
      <c r="AZ479" s="997"/>
      <c r="BA479" s="997"/>
      <c r="BC479" s="997"/>
      <c r="BE479" s="997"/>
      <c r="BF479" s="997"/>
      <c r="BG479" s="997"/>
    </row>
    <row r="480" spans="18:59" x14ac:dyDescent="0.35">
      <c r="R480" s="997"/>
      <c r="S480" s="997"/>
      <c r="W480" s="997"/>
      <c r="X480" s="997"/>
      <c r="AE480" s="997"/>
      <c r="AF480" s="997"/>
      <c r="AV480" s="997"/>
      <c r="AW480" s="997"/>
      <c r="AX480" s="997"/>
      <c r="AY480" s="997"/>
      <c r="AZ480" s="997"/>
      <c r="BA480" s="997"/>
      <c r="BC480" s="997"/>
      <c r="BE480" s="997"/>
      <c r="BF480" s="997"/>
      <c r="BG480" s="997"/>
    </row>
    <row r="481" spans="18:59" x14ac:dyDescent="0.35">
      <c r="R481" s="997"/>
      <c r="S481" s="997"/>
      <c r="W481" s="997"/>
      <c r="X481" s="997"/>
      <c r="AE481" s="997"/>
      <c r="AF481" s="997"/>
      <c r="AV481" s="997"/>
      <c r="AW481" s="997"/>
      <c r="AX481" s="997"/>
      <c r="AY481" s="997"/>
      <c r="AZ481" s="997"/>
      <c r="BA481" s="997"/>
      <c r="BC481" s="997"/>
      <c r="BE481" s="997"/>
      <c r="BF481" s="997"/>
      <c r="BG481" s="997"/>
    </row>
    <row r="482" spans="18:59" x14ac:dyDescent="0.35">
      <c r="R482" s="997"/>
      <c r="S482" s="997"/>
      <c r="W482" s="997"/>
      <c r="X482" s="997"/>
      <c r="AE482" s="997"/>
      <c r="AF482" s="997"/>
      <c r="AV482" s="997"/>
      <c r="AW482" s="997"/>
      <c r="AX482" s="997"/>
      <c r="AY482" s="997"/>
      <c r="AZ482" s="997"/>
      <c r="BA482" s="997"/>
      <c r="BC482" s="997"/>
      <c r="BE482" s="997"/>
      <c r="BF482" s="997"/>
      <c r="BG482" s="997"/>
    </row>
    <row r="483" spans="18:59" x14ac:dyDescent="0.35">
      <c r="R483" s="997"/>
      <c r="S483" s="997"/>
      <c r="W483" s="997"/>
      <c r="X483" s="997"/>
      <c r="AE483" s="997"/>
      <c r="AF483" s="997"/>
      <c r="AV483" s="997"/>
      <c r="AW483" s="997"/>
      <c r="AX483" s="997"/>
      <c r="AY483" s="997"/>
      <c r="AZ483" s="997"/>
      <c r="BA483" s="997"/>
      <c r="BC483" s="997"/>
      <c r="BE483" s="997"/>
      <c r="BF483" s="997"/>
      <c r="BG483" s="997"/>
    </row>
    <row r="484" spans="18:59" x14ac:dyDescent="0.35">
      <c r="R484" s="997"/>
      <c r="S484" s="997"/>
      <c r="W484" s="997"/>
      <c r="X484" s="997"/>
      <c r="AE484" s="997"/>
      <c r="AF484" s="997"/>
      <c r="AV484" s="997"/>
      <c r="AW484" s="997"/>
      <c r="AX484" s="997"/>
      <c r="AY484" s="997"/>
      <c r="AZ484" s="997"/>
      <c r="BA484" s="997"/>
      <c r="BC484" s="997"/>
      <c r="BE484" s="997"/>
      <c r="BF484" s="997"/>
      <c r="BG484" s="997"/>
    </row>
    <row r="485" spans="18:59" x14ac:dyDescent="0.35">
      <c r="R485" s="997"/>
      <c r="S485" s="997"/>
      <c r="W485" s="997"/>
      <c r="X485" s="997"/>
      <c r="AE485" s="997"/>
      <c r="AF485" s="997"/>
      <c r="AV485" s="997"/>
      <c r="AW485" s="997"/>
      <c r="AX485" s="997"/>
      <c r="AY485" s="997"/>
      <c r="AZ485" s="997"/>
      <c r="BA485" s="997"/>
      <c r="BC485" s="997"/>
      <c r="BE485" s="997"/>
      <c r="BF485" s="997"/>
      <c r="BG485" s="997"/>
    </row>
    <row r="486" spans="18:59" x14ac:dyDescent="0.35">
      <c r="R486" s="997"/>
      <c r="S486" s="997"/>
      <c r="W486" s="997"/>
      <c r="X486" s="997"/>
      <c r="AE486" s="997"/>
      <c r="AF486" s="997"/>
      <c r="AV486" s="997"/>
      <c r="AW486" s="997"/>
      <c r="AX486" s="997"/>
      <c r="AY486" s="997"/>
      <c r="AZ486" s="997"/>
      <c r="BA486" s="997"/>
      <c r="BC486" s="997"/>
      <c r="BE486" s="997"/>
      <c r="BF486" s="997"/>
      <c r="BG486" s="997"/>
    </row>
    <row r="487" spans="18:59" x14ac:dyDescent="0.35">
      <c r="R487" s="997"/>
      <c r="S487" s="997"/>
      <c r="W487" s="997"/>
      <c r="X487" s="997"/>
      <c r="AE487" s="997"/>
      <c r="AF487" s="997"/>
      <c r="AV487" s="997"/>
      <c r="AW487" s="997"/>
      <c r="AX487" s="997"/>
      <c r="AY487" s="997"/>
      <c r="AZ487" s="997"/>
      <c r="BA487" s="997"/>
      <c r="BC487" s="997"/>
      <c r="BE487" s="997"/>
      <c r="BF487" s="997"/>
      <c r="BG487" s="997"/>
    </row>
    <row r="488" spans="18:59" x14ac:dyDescent="0.35">
      <c r="R488" s="997"/>
      <c r="S488" s="997"/>
      <c r="W488" s="997"/>
      <c r="X488" s="997"/>
      <c r="AE488" s="997"/>
      <c r="AF488" s="997"/>
      <c r="AV488" s="997"/>
      <c r="AW488" s="997"/>
      <c r="AX488" s="997"/>
      <c r="AY488" s="997"/>
      <c r="AZ488" s="997"/>
      <c r="BA488" s="997"/>
      <c r="BC488" s="997"/>
      <c r="BE488" s="997"/>
      <c r="BF488" s="997"/>
      <c r="BG488" s="997"/>
    </row>
    <row r="489" spans="18:59" x14ac:dyDescent="0.35">
      <c r="R489" s="997"/>
      <c r="S489" s="997"/>
      <c r="W489" s="997"/>
      <c r="X489" s="997"/>
      <c r="AE489" s="997"/>
      <c r="AF489" s="997"/>
      <c r="AV489" s="997"/>
      <c r="AW489" s="997"/>
      <c r="AX489" s="997"/>
      <c r="AY489" s="997"/>
      <c r="AZ489" s="997"/>
      <c r="BA489" s="997"/>
      <c r="BC489" s="997"/>
      <c r="BE489" s="997"/>
      <c r="BF489" s="997"/>
      <c r="BG489" s="997"/>
    </row>
    <row r="490" spans="18:59" x14ac:dyDescent="0.35">
      <c r="R490" s="997"/>
      <c r="S490" s="997"/>
      <c r="W490" s="997"/>
      <c r="X490" s="997"/>
      <c r="AE490" s="997"/>
      <c r="AF490" s="997"/>
      <c r="AV490" s="997"/>
      <c r="AW490" s="997"/>
      <c r="AX490" s="997"/>
      <c r="AY490" s="997"/>
      <c r="AZ490" s="997"/>
      <c r="BA490" s="997"/>
      <c r="BC490" s="997"/>
      <c r="BE490" s="997"/>
      <c r="BF490" s="997"/>
      <c r="BG490" s="997"/>
    </row>
    <row r="491" spans="18:59" x14ac:dyDescent="0.35">
      <c r="R491" s="997"/>
      <c r="S491" s="997"/>
      <c r="W491" s="997"/>
      <c r="X491" s="997"/>
      <c r="AE491" s="997"/>
      <c r="AF491" s="997"/>
      <c r="AV491" s="997"/>
      <c r="AW491" s="997"/>
      <c r="AX491" s="997"/>
      <c r="AY491" s="997"/>
      <c r="AZ491" s="997"/>
      <c r="BA491" s="997"/>
      <c r="BC491" s="997"/>
      <c r="BE491" s="997"/>
      <c r="BF491" s="997"/>
      <c r="BG491" s="997"/>
    </row>
    <row r="492" spans="18:59" x14ac:dyDescent="0.35">
      <c r="R492" s="997"/>
      <c r="S492" s="997"/>
      <c r="W492" s="997"/>
      <c r="X492" s="997"/>
      <c r="AE492" s="997"/>
      <c r="AF492" s="997"/>
      <c r="AV492" s="997"/>
      <c r="AW492" s="997"/>
      <c r="AX492" s="997"/>
      <c r="AY492" s="997"/>
      <c r="AZ492" s="997"/>
      <c r="BA492" s="997"/>
      <c r="BC492" s="997"/>
      <c r="BE492" s="997"/>
      <c r="BF492" s="997"/>
      <c r="BG492" s="997"/>
    </row>
    <row r="493" spans="18:59" x14ac:dyDescent="0.35">
      <c r="R493" s="997"/>
      <c r="S493" s="997"/>
      <c r="W493" s="997"/>
      <c r="X493" s="997"/>
      <c r="AE493" s="997"/>
      <c r="AF493" s="997"/>
      <c r="AV493" s="997"/>
      <c r="AW493" s="997"/>
      <c r="AX493" s="997"/>
      <c r="AY493" s="997"/>
      <c r="AZ493" s="997"/>
      <c r="BA493" s="997"/>
      <c r="BC493" s="997"/>
      <c r="BE493" s="997"/>
      <c r="BF493" s="997"/>
      <c r="BG493" s="997"/>
    </row>
    <row r="494" spans="18:59" x14ac:dyDescent="0.35">
      <c r="R494" s="997"/>
      <c r="S494" s="997"/>
      <c r="W494" s="997"/>
      <c r="X494" s="997"/>
      <c r="AE494" s="997"/>
      <c r="AF494" s="997"/>
      <c r="AV494" s="997"/>
      <c r="AW494" s="997"/>
      <c r="AX494" s="997"/>
      <c r="AY494" s="997"/>
      <c r="AZ494" s="997"/>
      <c r="BA494" s="997"/>
      <c r="BC494" s="997"/>
      <c r="BE494" s="997"/>
      <c r="BF494" s="997"/>
      <c r="BG494" s="997"/>
    </row>
    <row r="495" spans="18:59" x14ac:dyDescent="0.35">
      <c r="R495" s="997"/>
      <c r="S495" s="997"/>
      <c r="W495" s="997"/>
      <c r="X495" s="997"/>
      <c r="AE495" s="997"/>
      <c r="AF495" s="997"/>
      <c r="AV495" s="997"/>
      <c r="AW495" s="997"/>
      <c r="AX495" s="997"/>
      <c r="AY495" s="997"/>
      <c r="AZ495" s="997"/>
      <c r="BA495" s="997"/>
      <c r="BC495" s="997"/>
      <c r="BE495" s="997"/>
      <c r="BF495" s="997"/>
      <c r="BG495" s="997"/>
    </row>
    <row r="496" spans="18:59" x14ac:dyDescent="0.35">
      <c r="R496" s="997"/>
      <c r="S496" s="997"/>
      <c r="W496" s="997"/>
      <c r="X496" s="997"/>
      <c r="AE496" s="997"/>
      <c r="AF496" s="997"/>
      <c r="AV496" s="997"/>
      <c r="AW496" s="997"/>
      <c r="AX496" s="997"/>
      <c r="AY496" s="997"/>
      <c r="AZ496" s="997"/>
      <c r="BA496" s="997"/>
      <c r="BC496" s="997"/>
      <c r="BE496" s="997"/>
      <c r="BF496" s="997"/>
      <c r="BG496" s="997"/>
    </row>
    <row r="497" spans="18:59" x14ac:dyDescent="0.35">
      <c r="R497" s="997"/>
      <c r="S497" s="997"/>
      <c r="W497" s="997"/>
      <c r="X497" s="997"/>
      <c r="AE497" s="997"/>
      <c r="AF497" s="997"/>
      <c r="AV497" s="997"/>
      <c r="AW497" s="997"/>
      <c r="AX497" s="997"/>
      <c r="AY497" s="997"/>
      <c r="AZ497" s="997"/>
      <c r="BA497" s="997"/>
      <c r="BC497" s="997"/>
      <c r="BE497" s="997"/>
      <c r="BF497" s="997"/>
      <c r="BG497" s="997"/>
    </row>
    <row r="498" spans="18:59" x14ac:dyDescent="0.35">
      <c r="R498" s="997"/>
      <c r="S498" s="997"/>
      <c r="W498" s="997"/>
      <c r="X498" s="997"/>
      <c r="AE498" s="997"/>
      <c r="AF498" s="997"/>
      <c r="AV498" s="997"/>
      <c r="AW498" s="997"/>
      <c r="AX498" s="997"/>
      <c r="AY498" s="997"/>
      <c r="AZ498" s="997"/>
      <c r="BA498" s="997"/>
      <c r="BC498" s="997"/>
      <c r="BE498" s="997"/>
      <c r="BF498" s="997"/>
      <c r="BG498" s="997"/>
    </row>
    <row r="499" spans="18:59" x14ac:dyDescent="0.35">
      <c r="R499" s="997"/>
      <c r="S499" s="997"/>
      <c r="W499" s="997"/>
      <c r="X499" s="997"/>
      <c r="AE499" s="997"/>
      <c r="AF499" s="997"/>
      <c r="AV499" s="997"/>
      <c r="AW499" s="997"/>
      <c r="AX499" s="997"/>
      <c r="AY499" s="997"/>
      <c r="AZ499" s="997"/>
      <c r="BA499" s="997"/>
      <c r="BC499" s="997"/>
      <c r="BE499" s="997"/>
      <c r="BF499" s="997"/>
      <c r="BG499" s="997"/>
    </row>
    <row r="500" spans="18:59" x14ac:dyDescent="0.35">
      <c r="R500" s="997"/>
      <c r="S500" s="997"/>
      <c r="W500" s="997"/>
      <c r="X500" s="997"/>
      <c r="AE500" s="997"/>
      <c r="AF500" s="997"/>
      <c r="AV500" s="997"/>
      <c r="AW500" s="997"/>
      <c r="AX500" s="997"/>
      <c r="AY500" s="997"/>
      <c r="AZ500" s="997"/>
      <c r="BA500" s="997"/>
      <c r="BC500" s="997"/>
      <c r="BE500" s="997"/>
      <c r="BF500" s="997"/>
      <c r="BG500" s="997"/>
    </row>
    <row r="501" spans="18:59" x14ac:dyDescent="0.35">
      <c r="R501" s="997"/>
      <c r="S501" s="997"/>
      <c r="W501" s="997"/>
      <c r="X501" s="997"/>
      <c r="AE501" s="997"/>
      <c r="AF501" s="997"/>
      <c r="AV501" s="997"/>
      <c r="AW501" s="997"/>
      <c r="AX501" s="997"/>
      <c r="AY501" s="997"/>
      <c r="AZ501" s="997"/>
      <c r="BA501" s="997"/>
      <c r="BC501" s="997"/>
      <c r="BE501" s="997"/>
      <c r="BF501" s="997"/>
      <c r="BG501" s="997"/>
    </row>
    <row r="502" spans="18:59" x14ac:dyDescent="0.35">
      <c r="R502" s="997"/>
      <c r="S502" s="997"/>
      <c r="W502" s="997"/>
      <c r="X502" s="997"/>
      <c r="AE502" s="997"/>
      <c r="AF502" s="997"/>
      <c r="AV502" s="997"/>
      <c r="AW502" s="997"/>
      <c r="AX502" s="997"/>
      <c r="AY502" s="997"/>
      <c r="AZ502" s="997"/>
      <c r="BA502" s="997"/>
      <c r="BC502" s="997"/>
      <c r="BE502" s="997"/>
      <c r="BF502" s="997"/>
      <c r="BG502" s="99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046" t="s">
        <v>781</v>
      </c>
      <c r="B1" s="1046"/>
      <c r="C1" s="1046"/>
      <c r="D1" s="1046"/>
    </row>
    <row r="2" spans="1:22" x14ac:dyDescent="0.35">
      <c r="A2" t="s">
        <v>782</v>
      </c>
      <c r="B2" s="83">
        <v>2021</v>
      </c>
      <c r="C2" s="83">
        <v>2021</v>
      </c>
      <c r="D2" s="83">
        <v>2021</v>
      </c>
      <c r="E2" s="83">
        <v>2022</v>
      </c>
      <c r="F2" s="83">
        <v>2022</v>
      </c>
      <c r="G2" s="83">
        <v>2022</v>
      </c>
      <c r="H2" s="83">
        <v>2022</v>
      </c>
      <c r="I2" s="83">
        <v>2023</v>
      </c>
      <c r="J2" s="83">
        <v>2023</v>
      </c>
      <c r="K2" s="83">
        <v>2023</v>
      </c>
      <c r="L2" s="83">
        <v>2023</v>
      </c>
      <c r="M2" s="83">
        <v>2024</v>
      </c>
      <c r="N2" s="83">
        <v>2024</v>
      </c>
      <c r="O2" s="83">
        <v>2024</v>
      </c>
      <c r="P2" s="83">
        <v>2024</v>
      </c>
      <c r="Q2" s="83">
        <v>2025</v>
      </c>
      <c r="R2" s="83">
        <v>2025</v>
      </c>
      <c r="S2" s="83">
        <v>2025</v>
      </c>
      <c r="T2" s="83">
        <v>2025</v>
      </c>
      <c r="U2" s="83">
        <v>2026</v>
      </c>
    </row>
    <row r="3" spans="1:22" x14ac:dyDescent="0.35">
      <c r="A3" s="1022" t="s">
        <v>783</v>
      </c>
      <c r="B3" s="1044" t="s">
        <v>784</v>
      </c>
      <c r="C3" s="1044" t="s">
        <v>785</v>
      </c>
      <c r="D3" s="1044" t="s">
        <v>786</v>
      </c>
      <c r="E3" s="1044" t="s">
        <v>787</v>
      </c>
      <c r="F3" s="1044" t="s">
        <v>788</v>
      </c>
      <c r="G3" s="1044" t="s">
        <v>789</v>
      </c>
      <c r="H3" s="1044" t="s">
        <v>790</v>
      </c>
      <c r="I3" s="1044" t="s">
        <v>791</v>
      </c>
      <c r="J3" s="1044" t="s">
        <v>792</v>
      </c>
      <c r="K3" s="1044" t="s">
        <v>793</v>
      </c>
      <c r="L3" s="1044" t="s">
        <v>794</v>
      </c>
      <c r="M3" s="1044" t="s">
        <v>795</v>
      </c>
      <c r="N3" s="1044" t="s">
        <v>796</v>
      </c>
      <c r="O3" s="1044" t="s">
        <v>797</v>
      </c>
      <c r="P3" s="1044" t="s">
        <v>798</v>
      </c>
      <c r="Q3" s="1044" t="s">
        <v>799</v>
      </c>
      <c r="R3" s="1044" t="s">
        <v>800</v>
      </c>
      <c r="S3" s="1044" t="s">
        <v>801</v>
      </c>
      <c r="T3" s="1044" t="s">
        <v>802</v>
      </c>
      <c r="U3" s="1044" t="s">
        <v>803</v>
      </c>
    </row>
    <row r="4" spans="1:22" x14ac:dyDescent="0.35">
      <c r="A4" s="1022" t="s">
        <v>804</v>
      </c>
      <c r="B4" s="1044"/>
      <c r="C4" s="1044"/>
      <c r="D4" s="1044">
        <v>0</v>
      </c>
      <c r="E4" s="1044">
        <v>0</v>
      </c>
      <c r="F4" s="1044">
        <v>0.5</v>
      </c>
      <c r="G4" s="1044">
        <v>0.5</v>
      </c>
      <c r="H4" s="1044">
        <v>0</v>
      </c>
      <c r="I4" s="1044">
        <v>0</v>
      </c>
      <c r="J4" s="1044">
        <v>0</v>
      </c>
      <c r="K4" s="1044">
        <v>0</v>
      </c>
      <c r="L4" s="1044">
        <v>0</v>
      </c>
      <c r="M4" s="1044">
        <v>0</v>
      </c>
      <c r="N4" s="1044">
        <v>0</v>
      </c>
      <c r="O4" s="1044">
        <v>0</v>
      </c>
      <c r="P4" s="1044">
        <v>0</v>
      </c>
      <c r="Q4" s="1044">
        <v>0</v>
      </c>
      <c r="R4" s="1044">
        <v>0</v>
      </c>
      <c r="S4" s="1044">
        <v>0</v>
      </c>
      <c r="T4" s="1044">
        <v>0</v>
      </c>
      <c r="U4" s="1044">
        <v>0</v>
      </c>
    </row>
    <row r="5" spans="1:22" x14ac:dyDescent="0.35">
      <c r="A5" s="1022" t="s">
        <v>805</v>
      </c>
      <c r="B5" s="1044">
        <v>0.04</v>
      </c>
      <c r="C5" s="1044">
        <v>0.48</v>
      </c>
      <c r="D5" s="1044">
        <v>0.48</v>
      </c>
      <c r="E5" s="1044">
        <v>0</v>
      </c>
      <c r="F5" s="1044">
        <v>0</v>
      </c>
      <c r="G5" s="1044">
        <v>0</v>
      </c>
      <c r="H5" s="1044">
        <v>0</v>
      </c>
      <c r="I5" s="1044">
        <v>0</v>
      </c>
      <c r="J5" s="1044">
        <v>0</v>
      </c>
      <c r="K5" s="1044">
        <v>0</v>
      </c>
      <c r="L5" s="1044">
        <v>0</v>
      </c>
      <c r="M5" s="1044">
        <v>0</v>
      </c>
      <c r="N5" s="1044">
        <v>0</v>
      </c>
      <c r="O5" s="1044">
        <v>0</v>
      </c>
      <c r="P5" s="1044">
        <v>0</v>
      </c>
      <c r="Q5" s="1044">
        <v>0</v>
      </c>
      <c r="R5" s="1044">
        <v>0</v>
      </c>
      <c r="S5" s="1044">
        <v>0</v>
      </c>
      <c r="T5" s="1044">
        <v>0</v>
      </c>
      <c r="U5" s="1044">
        <v>0</v>
      </c>
    </row>
    <row r="6" spans="1:22" x14ac:dyDescent="0.35">
      <c r="A6" s="1022" t="s">
        <v>806</v>
      </c>
      <c r="B6" s="1044">
        <f>B8</f>
        <v>0</v>
      </c>
      <c r="C6" s="1044">
        <f>C8</f>
        <v>0.43</v>
      </c>
      <c r="D6" s="1044">
        <f t="shared" ref="D6:U6" si="0">D8</f>
        <v>0.56999999999999995</v>
      </c>
      <c r="E6" s="1044">
        <f t="shared" si="0"/>
        <v>0.25</v>
      </c>
      <c r="F6" s="1044">
        <f t="shared" si="0"/>
        <v>0.25</v>
      </c>
      <c r="G6" s="1044">
        <f t="shared" si="0"/>
        <v>0.25</v>
      </c>
      <c r="H6" s="1044">
        <f t="shared" si="0"/>
        <v>0.25</v>
      </c>
      <c r="I6" s="1044">
        <f t="shared" si="0"/>
        <v>0.25</v>
      </c>
      <c r="J6" s="1044">
        <f t="shared" si="0"/>
        <v>0.25</v>
      </c>
      <c r="K6" s="1044">
        <f t="shared" si="0"/>
        <v>0.25</v>
      </c>
      <c r="L6" s="1044">
        <f t="shared" si="0"/>
        <v>0.25</v>
      </c>
      <c r="M6" s="1044">
        <f t="shared" si="0"/>
        <v>0.25</v>
      </c>
      <c r="N6" s="1044">
        <f t="shared" si="0"/>
        <v>0.25</v>
      </c>
      <c r="O6" s="1044">
        <f t="shared" si="0"/>
        <v>0.25</v>
      </c>
      <c r="P6" s="1044">
        <f t="shared" si="0"/>
        <v>0.25</v>
      </c>
      <c r="Q6" s="1044">
        <f t="shared" si="0"/>
        <v>0.25</v>
      </c>
      <c r="R6" s="1044">
        <f t="shared" si="0"/>
        <v>0.25</v>
      </c>
      <c r="S6" s="1044">
        <f t="shared" si="0"/>
        <v>0.25</v>
      </c>
      <c r="T6" s="1044">
        <f t="shared" si="0"/>
        <v>0.25</v>
      </c>
      <c r="U6" s="1044">
        <f t="shared" si="0"/>
        <v>0.25</v>
      </c>
    </row>
    <row r="7" spans="1:22" x14ac:dyDescent="0.35">
      <c r="A7" s="1022" t="s">
        <v>807</v>
      </c>
      <c r="B7" s="1044">
        <v>0</v>
      </c>
      <c r="C7" s="1044">
        <v>0</v>
      </c>
      <c r="D7" s="1044">
        <v>1</v>
      </c>
      <c r="E7" s="1044">
        <v>0.25</v>
      </c>
      <c r="F7" s="1044">
        <v>0.25</v>
      </c>
      <c r="G7" s="1044">
        <v>0.25</v>
      </c>
      <c r="H7" s="1044">
        <v>0.25</v>
      </c>
      <c r="I7" s="1044">
        <v>0.25</v>
      </c>
      <c r="J7" s="1044">
        <v>0.25</v>
      </c>
      <c r="K7" s="1044">
        <v>0.25</v>
      </c>
      <c r="L7" s="1044">
        <v>0.25</v>
      </c>
      <c r="M7" s="1044">
        <v>0.25</v>
      </c>
      <c r="N7" s="1044">
        <v>0.25</v>
      </c>
      <c r="O7" s="1044">
        <v>0.25</v>
      </c>
      <c r="P7" s="1044">
        <v>0.25</v>
      </c>
      <c r="Q7" s="1044">
        <v>0.25</v>
      </c>
      <c r="R7" s="1044">
        <v>0.25</v>
      </c>
      <c r="S7" s="1044">
        <v>0.25</v>
      </c>
      <c r="T7" s="1044">
        <v>0.25</v>
      </c>
      <c r="U7" s="1044">
        <v>0.25</v>
      </c>
    </row>
    <row r="8" spans="1:22" x14ac:dyDescent="0.35">
      <c r="A8" s="1022" t="s">
        <v>808</v>
      </c>
      <c r="B8" s="1044">
        <v>0</v>
      </c>
      <c r="C8" s="1044">
        <v>0.43</v>
      </c>
      <c r="D8" s="1044">
        <v>0.56999999999999995</v>
      </c>
      <c r="E8" s="1044">
        <v>0.25</v>
      </c>
      <c r="F8" s="1044">
        <v>0.25</v>
      </c>
      <c r="G8" s="1044">
        <v>0.25</v>
      </c>
      <c r="H8" s="1044">
        <v>0.25</v>
      </c>
      <c r="I8" s="1044">
        <v>0.25</v>
      </c>
      <c r="J8" s="1044">
        <v>0.25</v>
      </c>
      <c r="K8" s="1044">
        <v>0.25</v>
      </c>
      <c r="L8" s="1044">
        <v>0.25</v>
      </c>
      <c r="M8" s="1044">
        <v>0.25</v>
      </c>
      <c r="N8" s="1044">
        <v>0.25</v>
      </c>
      <c r="O8" s="1044">
        <v>0.25</v>
      </c>
      <c r="P8" s="1044">
        <v>0.25</v>
      </c>
      <c r="Q8" s="1044">
        <v>0.25</v>
      </c>
      <c r="R8" s="1044">
        <v>0.25</v>
      </c>
      <c r="S8" s="1044">
        <v>0.25</v>
      </c>
      <c r="T8" s="1044">
        <v>0.25</v>
      </c>
      <c r="U8" s="1044">
        <v>0.25</v>
      </c>
    </row>
    <row r="9" spans="1:22" ht="27" customHeight="1" x14ac:dyDescent="0.35">
      <c r="A9" s="1022" t="s">
        <v>809</v>
      </c>
      <c r="B9" s="1044">
        <v>0</v>
      </c>
      <c r="C9" s="1044">
        <f>0.18</f>
        <v>0.18</v>
      </c>
      <c r="D9" s="1044">
        <f>1-C9</f>
        <v>0.82000000000000006</v>
      </c>
      <c r="E9" s="1044">
        <v>0.25</v>
      </c>
      <c r="F9" s="1044">
        <v>0.25</v>
      </c>
      <c r="G9" s="1044">
        <v>0.25</v>
      </c>
      <c r="H9" s="1044">
        <v>0.25</v>
      </c>
      <c r="I9" s="1044">
        <v>0.25</v>
      </c>
      <c r="J9" s="1044">
        <v>0.25</v>
      </c>
      <c r="K9" s="1044">
        <v>0.25</v>
      </c>
      <c r="L9" s="1044">
        <v>0.25</v>
      </c>
      <c r="M9" s="1044">
        <v>0.25</v>
      </c>
      <c r="N9" s="1044">
        <v>0.25</v>
      </c>
      <c r="O9" s="1044">
        <v>0.25</v>
      </c>
      <c r="P9" s="1044">
        <v>0.25</v>
      </c>
      <c r="Q9" s="1044">
        <v>0.25</v>
      </c>
      <c r="R9" s="1044">
        <v>0.25</v>
      </c>
      <c r="S9" s="1044">
        <v>0.25</v>
      </c>
      <c r="T9" s="1044">
        <v>0.25</v>
      </c>
      <c r="U9" s="1044">
        <v>0.25</v>
      </c>
    </row>
    <row r="10" spans="1:22" x14ac:dyDescent="0.35">
      <c r="A10" s="1022" t="s">
        <v>810</v>
      </c>
      <c r="B10" s="1044">
        <v>0</v>
      </c>
      <c r="C10" s="1044">
        <v>0.5</v>
      </c>
      <c r="D10" s="1044">
        <v>0.5</v>
      </c>
      <c r="E10" s="1044">
        <v>0.25</v>
      </c>
      <c r="F10" s="1044">
        <v>0.25</v>
      </c>
      <c r="G10" s="1044">
        <v>0.25</v>
      </c>
      <c r="H10" s="1044">
        <v>0.25</v>
      </c>
      <c r="I10" s="1044">
        <v>0.25</v>
      </c>
      <c r="J10" s="1044">
        <v>0.25</v>
      </c>
      <c r="K10" s="1044">
        <v>0.25</v>
      </c>
      <c r="L10" s="1044">
        <v>0.25</v>
      </c>
      <c r="M10" s="1044">
        <v>0.25</v>
      </c>
      <c r="N10" s="1044">
        <v>0.25</v>
      </c>
      <c r="O10" s="1044">
        <v>0.25</v>
      </c>
      <c r="P10" s="1044">
        <v>0.25</v>
      </c>
      <c r="Q10" s="1044">
        <v>0.25</v>
      </c>
      <c r="R10" s="1044">
        <v>0.25</v>
      </c>
      <c r="S10" s="1044">
        <v>0.25</v>
      </c>
      <c r="T10" s="1044">
        <v>0.25</v>
      </c>
      <c r="U10" s="1044">
        <v>0.25</v>
      </c>
    </row>
    <row r="11" spans="1:22" x14ac:dyDescent="0.35">
      <c r="A11" s="1022" t="s">
        <v>811</v>
      </c>
      <c r="B11" s="1044">
        <v>0</v>
      </c>
      <c r="C11" s="1044">
        <v>0.5</v>
      </c>
      <c r="D11" s="1044">
        <v>0.5</v>
      </c>
      <c r="E11" s="1044">
        <v>0.25</v>
      </c>
      <c r="F11" s="1044">
        <v>0.25</v>
      </c>
      <c r="G11" s="1044">
        <v>0.25</v>
      </c>
      <c r="H11" s="1044">
        <v>0.25</v>
      </c>
      <c r="I11" s="1044">
        <v>0.25</v>
      </c>
      <c r="J11" s="1044">
        <v>0.25</v>
      </c>
      <c r="K11" s="1044">
        <v>0.25</v>
      </c>
      <c r="L11" s="1044">
        <v>0.25</v>
      </c>
      <c r="M11" s="1044">
        <v>0.25</v>
      </c>
      <c r="N11" s="1044">
        <v>0.25</v>
      </c>
      <c r="O11" s="1044">
        <v>0.25</v>
      </c>
      <c r="P11" s="1044">
        <v>0.25</v>
      </c>
      <c r="Q11" s="1044">
        <v>0.25</v>
      </c>
      <c r="R11" s="1044">
        <v>0.25</v>
      </c>
      <c r="S11" s="1044">
        <v>0.25</v>
      </c>
      <c r="T11" s="1044">
        <v>0.25</v>
      </c>
      <c r="U11" s="1044">
        <v>0.25</v>
      </c>
    </row>
    <row r="12" spans="1:22" ht="14.25" customHeight="1" x14ac:dyDescent="0.35">
      <c r="A12" s="1022" t="s">
        <v>812</v>
      </c>
      <c r="B12" s="1044">
        <v>1</v>
      </c>
      <c r="C12" s="1044"/>
      <c r="D12" s="1044"/>
      <c r="E12" s="1044"/>
      <c r="F12" s="1044"/>
      <c r="G12" s="1044"/>
      <c r="H12" s="1044"/>
      <c r="I12" s="1044"/>
      <c r="J12" s="1044"/>
      <c r="K12" s="1044"/>
      <c r="L12" s="1044"/>
      <c r="M12" s="1044"/>
      <c r="N12" s="1044"/>
      <c r="O12" s="1044"/>
      <c r="P12" s="1044"/>
      <c r="Q12" s="1044"/>
      <c r="R12" s="1044"/>
      <c r="S12" s="1044"/>
      <c r="T12" s="1044"/>
      <c r="U12" s="1044"/>
    </row>
    <row r="13" spans="1:22" x14ac:dyDescent="0.35">
      <c r="A13" s="1022" t="s">
        <v>813</v>
      </c>
      <c r="B13" s="1044">
        <v>0</v>
      </c>
      <c r="C13" s="1044">
        <v>0.4</v>
      </c>
      <c r="D13" s="1044">
        <v>0.6</v>
      </c>
      <c r="E13" s="1044">
        <v>0.4</v>
      </c>
      <c r="F13" s="1044">
        <v>0.3</v>
      </c>
      <c r="G13" s="1044">
        <v>0.2</v>
      </c>
      <c r="H13" s="1044">
        <v>0.1</v>
      </c>
      <c r="I13" s="1044">
        <v>0.25</v>
      </c>
      <c r="J13" s="1044">
        <v>0.25</v>
      </c>
      <c r="K13" s="1044">
        <v>0.25</v>
      </c>
      <c r="L13" s="1044">
        <v>0.25</v>
      </c>
      <c r="M13" s="1044">
        <v>0.25</v>
      </c>
      <c r="N13" s="1044">
        <v>0.25</v>
      </c>
      <c r="O13" s="1044">
        <v>0.25</v>
      </c>
      <c r="P13" s="1044">
        <v>0.25</v>
      </c>
      <c r="Q13" s="1044">
        <v>0.25</v>
      </c>
      <c r="R13" s="1044">
        <v>0.25</v>
      </c>
      <c r="S13" s="1044">
        <v>0.25</v>
      </c>
      <c r="T13" s="1044">
        <v>0.25</v>
      </c>
      <c r="U13" s="1044">
        <v>0.25</v>
      </c>
    </row>
    <row r="14" spans="1:22" x14ac:dyDescent="0.35">
      <c r="A14" s="1022"/>
      <c r="B14" s="1044"/>
      <c r="C14" s="1044"/>
      <c r="D14" s="1044"/>
      <c r="E14" s="1044"/>
      <c r="F14" s="1044"/>
      <c r="G14" s="1044"/>
      <c r="H14" s="1044"/>
      <c r="I14" s="1044"/>
      <c r="J14" s="1044"/>
      <c r="K14" s="1044"/>
      <c r="L14" s="1044"/>
      <c r="M14" s="1044"/>
      <c r="N14" s="1044"/>
      <c r="O14" s="1044"/>
      <c r="P14" s="1044"/>
      <c r="Q14" s="1044"/>
      <c r="R14" s="1044"/>
      <c r="S14" s="1044"/>
      <c r="T14" s="1044"/>
      <c r="U14" s="1044"/>
    </row>
    <row r="15" spans="1:22" ht="27" customHeight="1" x14ac:dyDescent="0.35">
      <c r="A15" s="1045" t="s">
        <v>814</v>
      </c>
      <c r="B15" s="1044">
        <v>1</v>
      </c>
      <c r="C15" s="1044">
        <v>2</v>
      </c>
      <c r="D15" s="1044">
        <v>3</v>
      </c>
      <c r="E15" s="1044">
        <v>4</v>
      </c>
      <c r="F15" s="1044">
        <v>5</v>
      </c>
      <c r="G15" s="1044">
        <v>6</v>
      </c>
      <c r="H15" s="1044">
        <v>7</v>
      </c>
      <c r="I15" s="1044">
        <v>8</v>
      </c>
      <c r="J15" s="1044">
        <v>9</v>
      </c>
      <c r="K15" s="1044">
        <v>10</v>
      </c>
      <c r="L15" s="1044">
        <v>11</v>
      </c>
      <c r="M15" s="1044">
        <v>12</v>
      </c>
      <c r="N15" s="1044">
        <v>13</v>
      </c>
      <c r="O15" s="1044">
        <v>14</v>
      </c>
      <c r="P15" s="1044">
        <v>15</v>
      </c>
      <c r="Q15" s="1044">
        <v>16</v>
      </c>
      <c r="R15" s="1044">
        <v>17</v>
      </c>
      <c r="S15" s="1044">
        <v>18</v>
      </c>
      <c r="T15" s="1044">
        <v>19</v>
      </c>
      <c r="U15" s="1044">
        <v>20</v>
      </c>
    </row>
    <row r="16" spans="1:22" x14ac:dyDescent="0.35">
      <c r="A16" s="1022" t="s">
        <v>815</v>
      </c>
      <c r="B16" s="1044">
        <v>7.0000000000000007E-2</v>
      </c>
      <c r="C16" s="1044">
        <v>7.0000000000000007E-2</v>
      </c>
      <c r="D16" s="1044">
        <v>4.9000000000000002E-2</v>
      </c>
      <c r="E16" s="1044">
        <v>4.9000000000000002E-2</v>
      </c>
      <c r="F16" s="1044">
        <v>4.9000000000000002E-2</v>
      </c>
      <c r="G16" s="1044">
        <v>4.9000000000000002E-2</v>
      </c>
      <c r="H16" s="1044">
        <v>4.9000000000000002E-2</v>
      </c>
      <c r="I16" s="1044">
        <v>4.9000000000000002E-2</v>
      </c>
      <c r="J16" s="1044">
        <v>4.9000000000000002E-2</v>
      </c>
      <c r="K16" s="1044">
        <v>4.9000000000000002E-2</v>
      </c>
      <c r="L16" s="1044">
        <v>4.9000000000000002E-2</v>
      </c>
      <c r="M16" s="1044">
        <v>4.9000000000000002E-2</v>
      </c>
      <c r="N16" s="1044">
        <f t="shared" ref="N16:T16" si="1">0.0475</f>
        <v>4.7500000000000001E-2</v>
      </c>
      <c r="O16" s="1044">
        <f t="shared" si="1"/>
        <v>4.7500000000000001E-2</v>
      </c>
      <c r="P16" s="1044">
        <f t="shared" si="1"/>
        <v>4.7500000000000001E-2</v>
      </c>
      <c r="Q16" s="1044">
        <f t="shared" si="1"/>
        <v>4.7500000000000001E-2</v>
      </c>
      <c r="R16" s="1044">
        <f t="shared" si="1"/>
        <v>4.7500000000000001E-2</v>
      </c>
      <c r="S16" s="1044">
        <f t="shared" si="1"/>
        <v>4.7500000000000001E-2</v>
      </c>
      <c r="T16" s="1044">
        <f t="shared" si="1"/>
        <v>4.7500000000000001E-2</v>
      </c>
      <c r="U16" s="1044">
        <f>0.0375</f>
        <v>3.7499999999999999E-2</v>
      </c>
      <c r="V16" s="1044">
        <f>SUM(B16:U16)</f>
        <v>0.99999999999999989</v>
      </c>
    </row>
    <row r="17" spans="1:23" ht="27" customHeight="1" x14ac:dyDescent="0.35">
      <c r="A17" s="1022" t="s">
        <v>816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44">
        <f>SUM(B17:U17)</f>
        <v>0.94000000000000006</v>
      </c>
      <c r="W17" t="s">
        <v>817</v>
      </c>
    </row>
    <row r="19" spans="1:23" x14ac:dyDescent="0.35">
      <c r="B19" s="1043" t="e">
        <f>'Federal and State Purchases'!#REF!</f>
        <v>#REF!</v>
      </c>
      <c r="C19" s="1043"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09" t="s">
        <v>818</v>
      </c>
      <c r="B1" s="1009" t="s">
        <v>728</v>
      </c>
      <c r="C1" s="1047">
        <v>2021</v>
      </c>
      <c r="D1" s="1047">
        <f>C1</f>
        <v>2021</v>
      </c>
      <c r="E1" s="1047">
        <f>D1</f>
        <v>2021</v>
      </c>
      <c r="F1" s="1047">
        <v>2022</v>
      </c>
      <c r="G1" s="1047">
        <v>2022</v>
      </c>
      <c r="H1" s="1047">
        <v>2022</v>
      </c>
      <c r="I1" s="1047">
        <v>2022</v>
      </c>
      <c r="J1" s="1047">
        <v>2023</v>
      </c>
      <c r="K1" s="1047">
        <v>2023</v>
      </c>
      <c r="L1" s="1047">
        <v>2023</v>
      </c>
      <c r="M1" s="1047">
        <v>2023</v>
      </c>
      <c r="N1" s="1047">
        <v>2024</v>
      </c>
      <c r="O1" s="1047">
        <v>2024</v>
      </c>
      <c r="P1" s="1047">
        <v>2024</v>
      </c>
      <c r="Q1" s="1047">
        <v>2024</v>
      </c>
      <c r="R1" s="1047">
        <v>2025</v>
      </c>
      <c r="S1" s="1047">
        <v>2025</v>
      </c>
      <c r="T1" s="1047">
        <v>2025</v>
      </c>
      <c r="U1" s="1047">
        <v>2025</v>
      </c>
      <c r="V1" s="1047">
        <v>2026</v>
      </c>
    </row>
    <row r="2" spans="1:23" x14ac:dyDescent="0.35">
      <c r="B2" s="1009" t="s">
        <v>819</v>
      </c>
      <c r="C2" s="83" t="s">
        <v>295</v>
      </c>
      <c r="D2" s="83" t="s">
        <v>296</v>
      </c>
      <c r="E2" s="83" t="s">
        <v>180</v>
      </c>
      <c r="F2" s="83" t="s">
        <v>181</v>
      </c>
      <c r="G2" s="83" t="s">
        <v>182</v>
      </c>
      <c r="H2" s="83" t="s">
        <v>183</v>
      </c>
      <c r="I2" s="83" t="s">
        <v>184</v>
      </c>
      <c r="J2" s="83" t="s">
        <v>185</v>
      </c>
      <c r="K2" s="83" t="s">
        <v>186</v>
      </c>
      <c r="L2" s="83" t="s">
        <v>187</v>
      </c>
      <c r="M2" s="83" t="s">
        <v>188</v>
      </c>
      <c r="N2" s="83" t="s">
        <v>189</v>
      </c>
      <c r="O2" s="83" t="s">
        <v>190</v>
      </c>
      <c r="P2" s="83" t="s">
        <v>191</v>
      </c>
      <c r="Q2" s="83" t="s">
        <v>175</v>
      </c>
      <c r="R2" s="83" t="s">
        <v>176</v>
      </c>
      <c r="S2" s="83" t="s">
        <v>177</v>
      </c>
      <c r="T2" s="83" t="s">
        <v>820</v>
      </c>
      <c r="U2" s="83" t="s">
        <v>821</v>
      </c>
      <c r="V2" s="83" t="s">
        <v>822</v>
      </c>
    </row>
    <row r="3" spans="1:23" x14ac:dyDescent="0.35">
      <c r="A3" s="1009">
        <v>3</v>
      </c>
      <c r="B3" s="1009" t="s">
        <v>583</v>
      </c>
      <c r="C3" s="1048">
        <f>4*'ARP Timing'!B6*VLOOKUP(C$1,'ARP Score'!$A$5:$M14,$A3)</f>
        <v>0</v>
      </c>
      <c r="D3" s="1048">
        <f>4*'ARP Timing'!C6*VLOOKUP(D$1,'ARP Score'!$A$5:$M14,$A3)</f>
        <v>336.60399999999998</v>
      </c>
      <c r="E3" s="1048">
        <f>4*'ARP Timing'!D6*VLOOKUP(E$1,'ARP Score'!$A$5:$M14,$A3)</f>
        <v>446.19599999999991</v>
      </c>
      <c r="F3" s="1048">
        <f>4*'ARP Timing'!E6*VLOOKUP(F$1,'ARP Score'!$A$5:$M14,$A3)</f>
        <v>10.1</v>
      </c>
      <c r="G3" s="1048">
        <f>4*'ARP Timing'!F6*VLOOKUP(G$1,'ARP Score'!$A$5:$M14,$A3)</f>
        <v>10.1</v>
      </c>
      <c r="H3" s="1048">
        <f>4*'ARP Timing'!G6*VLOOKUP(H$1,'ARP Score'!$A$5:$M14,$A3)</f>
        <v>10.1</v>
      </c>
      <c r="I3" s="1048">
        <f>4*'ARP Timing'!H6*VLOOKUP(I$1,'ARP Score'!$A$5:$M14,$A3)</f>
        <v>10.1</v>
      </c>
      <c r="J3" s="1048">
        <f>4*'ARP Timing'!I6*VLOOKUP(J$1,'ARP Score'!$A$5:$M14,$A3)</f>
        <v>0</v>
      </c>
      <c r="K3" s="1048">
        <f>4*'ARP Timing'!J6*VLOOKUP(K$1,'ARP Score'!$A$5:$M14,$A3)</f>
        <v>0</v>
      </c>
      <c r="L3" s="1048">
        <f>4*'ARP Timing'!K6*VLOOKUP(L$1,'ARP Score'!$A$5:$M14,$A3)</f>
        <v>0</v>
      </c>
      <c r="M3" s="1048">
        <f>4*'ARP Timing'!L6*VLOOKUP(M$1,'ARP Score'!$A$5:$M14,$A3)</f>
        <v>0</v>
      </c>
      <c r="N3" s="1048">
        <f>4*'ARP Timing'!M6*VLOOKUP(N$1,'ARP Score'!$A$5:$M14,$A3)</f>
        <v>0</v>
      </c>
      <c r="O3" s="1048">
        <f>4*'ARP Timing'!N6*VLOOKUP(O$1,'ARP Score'!$A$5:$M14,$A3)</f>
        <v>0</v>
      </c>
      <c r="P3" s="1048">
        <f>4*'ARP Timing'!O6*VLOOKUP(P$1,'ARP Score'!$A$5:$M14,$A3)</f>
        <v>0</v>
      </c>
      <c r="Q3" s="1048">
        <f>4*'ARP Timing'!P6*VLOOKUP(Q$1,'ARP Score'!$A$5:$M14,$A3)</f>
        <v>0</v>
      </c>
      <c r="R3" s="1048">
        <f>4*'ARP Timing'!Q6*VLOOKUP(R$1,'ARP Score'!$A$5:$M14,$A3)</f>
        <v>0</v>
      </c>
      <c r="S3" s="1048">
        <f>4*'ARP Timing'!R6*VLOOKUP(S$1,'ARP Score'!$A$5:$M14,$A3)</f>
        <v>0</v>
      </c>
      <c r="T3" s="1048">
        <f>4*'ARP Timing'!S6*VLOOKUP(T$1,'ARP Score'!$A$5:$M14,$A3)</f>
        <v>0</v>
      </c>
      <c r="U3" s="1048">
        <f>4*'ARP Timing'!T6*VLOOKUP(U$1,'ARP Score'!$A$5:$M14,$A3)</f>
        <v>0</v>
      </c>
      <c r="V3" s="1048">
        <f>4*'ARP Timing'!U6*VLOOKUP(V$1,'ARP Score'!$A$5:$M14,$A3)</f>
        <v>0</v>
      </c>
      <c r="W3" s="1048">
        <f>SUM(C3:U3)/4</f>
        <v>205.8</v>
      </c>
    </row>
    <row r="4" spans="1:23" x14ac:dyDescent="0.35">
      <c r="A4" s="1009">
        <v>5</v>
      </c>
      <c r="B4" s="33" t="s">
        <v>730</v>
      </c>
      <c r="C4" s="1048">
        <f>4*'ARP Timing'!B7*VLOOKUP(C$1,'ARP Score'!$A$5:$M15,$A4)</f>
        <v>0</v>
      </c>
      <c r="D4" s="1048">
        <f>4*'ARP Timing'!C7*VLOOKUP(D$1,'ARP Score'!$A$5:$M15,$A4)</f>
        <v>0</v>
      </c>
      <c r="E4" s="1048">
        <f>4*'ARP Timing'!D7*VLOOKUP(E$1,'ARP Score'!$A$5:$M15,$A4)</f>
        <v>3.1040000000000418</v>
      </c>
      <c r="F4" s="1048">
        <f>4*'ARP Timing'!E7*VLOOKUP(F$1,'ARP Score'!$A$5:$M15,$A4)</f>
        <v>19.719000000000005</v>
      </c>
      <c r="G4" s="1048">
        <f>4*'ARP Timing'!F7*VLOOKUP(G$1,'ARP Score'!$A$5:$M15,$A4)</f>
        <v>19.719000000000005</v>
      </c>
      <c r="H4" s="1048">
        <f>4*'ARP Timing'!G7*VLOOKUP(H$1,'ARP Score'!$A$5:$M15,$A4)</f>
        <v>19.719000000000005</v>
      </c>
      <c r="I4" s="1048">
        <f>4*'ARP Timing'!H7*VLOOKUP(I$1,'ARP Score'!$A$5:$M15,$A4)</f>
        <v>19.719000000000005</v>
      </c>
      <c r="J4" s="1048">
        <f>4*'ARP Timing'!I7*VLOOKUP(J$1,'ARP Score'!$A$5:$M15,$A4)</f>
        <v>1.4159999999999999</v>
      </c>
      <c r="K4" s="1048">
        <f>4*'ARP Timing'!J7*VLOOKUP(K$1,'ARP Score'!$A$5:$M15,$A4)</f>
        <v>1.4159999999999999</v>
      </c>
      <c r="L4" s="1048">
        <f>4*'ARP Timing'!K7*VLOOKUP(L$1,'ARP Score'!$A$5:$M15,$A4)</f>
        <v>1.4159999999999999</v>
      </c>
      <c r="M4" s="1048">
        <f>4*'ARP Timing'!L7*VLOOKUP(M$1,'ARP Score'!$A$5:$M15,$A4)</f>
        <v>1.4159999999999999</v>
      </c>
      <c r="N4" s="1048">
        <f>4*'ARP Timing'!M7*VLOOKUP(N$1,'ARP Score'!$A$5:$M15,$A4)</f>
        <v>1.4790000000000001</v>
      </c>
      <c r="O4" s="1048">
        <f>4*'ARP Timing'!N7*VLOOKUP(O$1,'ARP Score'!$A$5:$M15,$A4)</f>
        <v>1.4790000000000001</v>
      </c>
      <c r="P4" s="1048">
        <f>4*'ARP Timing'!O7*VLOOKUP(P$1,'ARP Score'!$A$5:$M15,$A4)</f>
        <v>1.4790000000000001</v>
      </c>
      <c r="Q4" s="1048">
        <f>4*'ARP Timing'!P7*VLOOKUP(Q$1,'ARP Score'!$A$5:$M15,$A4)</f>
        <v>1.4790000000000001</v>
      </c>
      <c r="R4" s="1048">
        <f>4*'ARP Timing'!Q7*VLOOKUP(R$1,'ARP Score'!$A$5:$M15,$A4)</f>
        <v>1.63</v>
      </c>
      <c r="S4" s="1048">
        <f>4*'ARP Timing'!R7*VLOOKUP(S$1,'ARP Score'!$A$5:$M15,$A4)</f>
        <v>1.63</v>
      </c>
      <c r="T4" s="1048">
        <f>4*'ARP Timing'!S7*VLOOKUP(T$1,'ARP Score'!$A$5:$M15,$A4)</f>
        <v>1.63</v>
      </c>
      <c r="U4" s="1048">
        <f>4*'ARP Timing'!T7*VLOOKUP(U$1,'ARP Score'!$A$5:$M15,$A4)</f>
        <v>1.63</v>
      </c>
      <c r="V4" s="1048">
        <f>4*'ARP Timing'!U7*VLOOKUP(V$1,'ARP Score'!$A$5:$M15,$A4)</f>
        <v>1.671</v>
      </c>
      <c r="W4" s="1048">
        <f>SUM(C4:U4)/4</f>
        <v>25.020000000000007</v>
      </c>
    </row>
    <row r="5" spans="1:23" x14ac:dyDescent="0.35">
      <c r="A5" s="1009">
        <v>6</v>
      </c>
      <c r="B5" s="33" t="s">
        <v>731</v>
      </c>
      <c r="C5" s="1048">
        <f>4*'ARP Timing'!B8*VLOOKUP(C$1,'ARP Score'!$A$5:$M16,$A5)</f>
        <v>0</v>
      </c>
      <c r="D5" s="1048">
        <f>4*'ARP Timing'!C8*VLOOKUP(D$1,'ARP Score'!$A$5:$M16,$A5)</f>
        <v>33.921840000000024</v>
      </c>
      <c r="E5" s="1048">
        <f>4*'ARP Timing'!D8*VLOOKUP(E$1,'ARP Score'!$A$5:$M16,$A5)</f>
        <v>44.966160000000031</v>
      </c>
      <c r="F5" s="1048">
        <f>4*'ARP Timing'!E8*VLOOKUP(F$1,'ARP Score'!$A$5:$M16,$A5)</f>
        <v>52.756999999999998</v>
      </c>
      <c r="G5" s="1048">
        <f>4*'ARP Timing'!F8*VLOOKUP(G$1,'ARP Score'!$A$5:$M16,$A5)</f>
        <v>52.756999999999998</v>
      </c>
      <c r="H5" s="1048">
        <f>4*'ARP Timing'!G8*VLOOKUP(H$1,'ARP Score'!$A$5:$M16,$A5)</f>
        <v>52.756999999999998</v>
      </c>
      <c r="I5" s="1048">
        <f>4*'ARP Timing'!H8*VLOOKUP(I$1,'ARP Score'!$A$5:$M16,$A5)</f>
        <v>52.756999999999998</v>
      </c>
      <c r="J5" s="1048">
        <f>4*'ARP Timing'!I8*VLOOKUP(J$1,'ARP Score'!$A$5:$M16,$A5)</f>
        <v>12</v>
      </c>
      <c r="K5" s="1048">
        <f>4*'ARP Timing'!J8*VLOOKUP(K$1,'ARP Score'!$A$5:$M16,$A5)</f>
        <v>12</v>
      </c>
      <c r="L5" s="1048">
        <f>4*'ARP Timing'!K8*VLOOKUP(L$1,'ARP Score'!$A$5:$M16,$A5)</f>
        <v>12</v>
      </c>
      <c r="M5" s="1048">
        <f>4*'ARP Timing'!L8*VLOOKUP(M$1,'ARP Score'!$A$5:$M16,$A5)</f>
        <v>12</v>
      </c>
      <c r="N5" s="1048">
        <f>4*'ARP Timing'!M8*VLOOKUP(N$1,'ARP Score'!$A$5:$M16,$A5)</f>
        <v>4.2219999999999995</v>
      </c>
      <c r="O5" s="1048">
        <f>4*'ARP Timing'!N8*VLOOKUP(O$1,'ARP Score'!$A$5:$M16,$A5)</f>
        <v>4.2219999999999995</v>
      </c>
      <c r="P5" s="1048">
        <f>4*'ARP Timing'!O8*VLOOKUP(P$1,'ARP Score'!$A$5:$M16,$A5)</f>
        <v>4.2219999999999995</v>
      </c>
      <c r="Q5" s="1048">
        <f>4*'ARP Timing'!P8*VLOOKUP(Q$1,'ARP Score'!$A$5:$M16,$A5)</f>
        <v>4.2219999999999995</v>
      </c>
      <c r="R5" s="1048">
        <f>4*'ARP Timing'!Q8*VLOOKUP(R$1,'ARP Score'!$A$5:$M16,$A5)</f>
        <v>2.3719999999999999</v>
      </c>
      <c r="S5" s="1048">
        <f>4*'ARP Timing'!R8*VLOOKUP(S$1,'ARP Score'!$A$5:$M16,$A5)</f>
        <v>2.3719999999999999</v>
      </c>
      <c r="T5" s="1048">
        <f>4*'ARP Timing'!S8*VLOOKUP(T$1,'ARP Score'!$A$5:$M16,$A5)</f>
        <v>2.3719999999999999</v>
      </c>
      <c r="U5" s="1048">
        <f>4*'ARP Timing'!T8*VLOOKUP(U$1,'ARP Score'!$A$5:$M16,$A5)</f>
        <v>2.3719999999999999</v>
      </c>
      <c r="V5" s="1048">
        <f>4*'ARP Timing'!U8*VLOOKUP(V$1,'ARP Score'!$A$5:$M16,$A5)</f>
        <v>0.49</v>
      </c>
      <c r="W5" s="1048">
        <f t="shared" ref="W5:W15" si="0">SUM(C5:U5)/4</f>
        <v>91.073000000000008</v>
      </c>
    </row>
    <row r="6" spans="1:23" x14ac:dyDescent="0.35">
      <c r="A6" s="1009">
        <v>7</v>
      </c>
      <c r="B6" s="33" t="s">
        <v>823</v>
      </c>
      <c r="C6" s="1048">
        <f>4*'ARP Timing'!B9*VLOOKUP(C$1,'ARP Score'!$A$5:$M17,$A6)</f>
        <v>0</v>
      </c>
      <c r="D6" s="1048">
        <f>4*'ARP Timing'!C9*VLOOKUP(D$1,'ARP Score'!$A$5:$M17,$A6)</f>
        <v>58.782959999999989</v>
      </c>
      <c r="E6" s="1048">
        <f>4*'ARP Timing'!D9*VLOOKUP(E$1,'ARP Score'!$A$5:$M17,$A6)</f>
        <v>267.78904</v>
      </c>
      <c r="F6" s="1048">
        <f>4*'ARP Timing'!E9*VLOOKUP(F$1,'ARP Score'!$A$5:$M17,$A6)</f>
        <v>110.24799999999999</v>
      </c>
      <c r="G6" s="1048">
        <f>4*'ARP Timing'!F9*VLOOKUP(G$1,'ARP Score'!$A$5:$M17,$A6)</f>
        <v>110.24799999999999</v>
      </c>
      <c r="H6" s="1048">
        <f>4*'ARP Timing'!G9*VLOOKUP(H$1,'ARP Score'!$A$5:$M17,$A6)</f>
        <v>110.24799999999999</v>
      </c>
      <c r="I6" s="1048">
        <f>4*'ARP Timing'!H9*VLOOKUP(I$1,'ARP Score'!$A$5:$M17,$A6)</f>
        <v>110.24799999999999</v>
      </c>
      <c r="J6" s="1048">
        <f>4*'ARP Timing'!I9*VLOOKUP(J$1,'ARP Score'!$A$5:$M17,$A6)</f>
        <v>12.726000000000001</v>
      </c>
      <c r="K6" s="1048">
        <f>4*'ARP Timing'!J9*VLOOKUP(K$1,'ARP Score'!$A$5:$M17,$A6)</f>
        <v>12.726000000000001</v>
      </c>
      <c r="L6" s="1048">
        <f>4*'ARP Timing'!K9*VLOOKUP(L$1,'ARP Score'!$A$5:$M17,$A6)</f>
        <v>12.726000000000001</v>
      </c>
      <c r="M6" s="1048">
        <f>4*'ARP Timing'!L9*VLOOKUP(M$1,'ARP Score'!$A$5:$M17,$A6)</f>
        <v>12.726000000000001</v>
      </c>
      <c r="N6" s="1048">
        <f>4*'ARP Timing'!M9*VLOOKUP(N$1,'ARP Score'!$A$5:$M17,$A6)</f>
        <v>1.365</v>
      </c>
      <c r="O6" s="1048">
        <f>4*'ARP Timing'!N9*VLOOKUP(O$1,'ARP Score'!$A$5:$M17,$A6)</f>
        <v>1.365</v>
      </c>
      <c r="P6" s="1048">
        <f>4*'ARP Timing'!O9*VLOOKUP(P$1,'ARP Score'!$A$5:$M17,$A6)</f>
        <v>1.365</v>
      </c>
      <c r="Q6" s="1048">
        <f>4*'ARP Timing'!P9*VLOOKUP(Q$1,'ARP Score'!$A$5:$M17,$A6)</f>
        <v>1.365</v>
      </c>
      <c r="R6" s="1048">
        <f>4*'ARP Timing'!Q9*VLOOKUP(R$1,'ARP Score'!$A$5:$M17,$A6)</f>
        <v>-0.90100000000000025</v>
      </c>
      <c r="S6" s="1048">
        <f>4*'ARP Timing'!R9*VLOOKUP(S$1,'ARP Score'!$A$5:$M17,$A6)</f>
        <v>-0.90100000000000025</v>
      </c>
      <c r="T6" s="1048">
        <f>4*'ARP Timing'!S9*VLOOKUP(T$1,'ARP Score'!$A$5:$M17,$A6)</f>
        <v>-0.90100000000000025</v>
      </c>
      <c r="U6" s="1048">
        <f>4*'ARP Timing'!T9*VLOOKUP(U$1,'ARP Score'!$A$5:$M17,$A6)</f>
        <v>-0.90100000000000025</v>
      </c>
      <c r="V6" s="1048">
        <f>4*'ARP Timing'!U9*VLOOKUP(V$1,'ARP Score'!$A$5:$M17,$A6)</f>
        <v>-2.1500000000000004</v>
      </c>
      <c r="W6" s="1048">
        <f t="shared" si="0"/>
        <v>205.08100000000007</v>
      </c>
    </row>
    <row r="7" spans="1:23" x14ac:dyDescent="0.35">
      <c r="A7" s="1009">
        <v>8</v>
      </c>
      <c r="B7" s="33" t="s">
        <v>131</v>
      </c>
      <c r="C7" s="1048">
        <f>4*'ARP Timing'!B10*VLOOKUP(C$1,'ARP Score'!$A$5:$M18,$A7)</f>
        <v>0</v>
      </c>
      <c r="D7" s="1048">
        <f>4*'ARP Timing'!C10*VLOOKUP(D$1,'ARP Score'!$A$5:$M18,$A7)</f>
        <v>15.596</v>
      </c>
      <c r="E7" s="1048">
        <f>4*'ARP Timing'!D10*VLOOKUP(E$1,'ARP Score'!$A$5:$M18,$A7)</f>
        <v>15.596</v>
      </c>
      <c r="F7" s="1048">
        <f>4*'ARP Timing'!E10*VLOOKUP(F$1,'ARP Score'!$A$5:$M18,$A7)</f>
        <v>7.9489999999999998</v>
      </c>
      <c r="G7" s="1048">
        <f>4*'ARP Timing'!F10*VLOOKUP(G$1,'ARP Score'!$A$5:$M18,$A7)</f>
        <v>7.9489999999999998</v>
      </c>
      <c r="H7" s="1048">
        <f>4*'ARP Timing'!G10*VLOOKUP(H$1,'ARP Score'!$A$5:$M18,$A7)</f>
        <v>7.9489999999999998</v>
      </c>
      <c r="I7" s="1048">
        <f>4*'ARP Timing'!H10*VLOOKUP(I$1,'ARP Score'!$A$5:$M18,$A7)</f>
        <v>7.9489999999999998</v>
      </c>
      <c r="J7" s="1048">
        <f>4*'ARP Timing'!I10*VLOOKUP(J$1,'ARP Score'!$A$5:$M18,$A7)</f>
        <v>4.7519999999999998</v>
      </c>
      <c r="K7" s="1048">
        <f>4*'ARP Timing'!J10*VLOOKUP(K$1,'ARP Score'!$A$5:$M18,$A7)</f>
        <v>4.7519999999999998</v>
      </c>
      <c r="L7" s="1048">
        <f>4*'ARP Timing'!K10*VLOOKUP(L$1,'ARP Score'!$A$5:$M18,$A7)</f>
        <v>4.7519999999999998</v>
      </c>
      <c r="M7" s="1048">
        <f>4*'ARP Timing'!L10*VLOOKUP(M$1,'ARP Score'!$A$5:$M18,$A7)</f>
        <v>4.7519999999999998</v>
      </c>
      <c r="N7" s="1048">
        <f>4*'ARP Timing'!M10*VLOOKUP(N$1,'ARP Score'!$A$5:$M18,$A7)</f>
        <v>4.637999999999999</v>
      </c>
      <c r="O7" s="1048">
        <f>4*'ARP Timing'!N10*VLOOKUP(O$1,'ARP Score'!$A$5:$M18,$A7)</f>
        <v>4.637999999999999</v>
      </c>
      <c r="P7" s="1048">
        <f>4*'ARP Timing'!O10*VLOOKUP(P$1,'ARP Score'!$A$5:$M18,$A7)</f>
        <v>4.637999999999999</v>
      </c>
      <c r="Q7" s="1048">
        <f>4*'ARP Timing'!P10*VLOOKUP(Q$1,'ARP Score'!$A$5:$M18,$A7)</f>
        <v>4.637999999999999</v>
      </c>
      <c r="R7" s="1048">
        <f>4*'ARP Timing'!Q10*VLOOKUP(R$1,'ARP Score'!$A$5:$M18,$A7)</f>
        <v>1.8800000000000001</v>
      </c>
      <c r="S7" s="1048">
        <f>4*'ARP Timing'!R10*VLOOKUP(S$1,'ARP Score'!$A$5:$M18,$A7)</f>
        <v>1.8800000000000001</v>
      </c>
      <c r="T7" s="1048">
        <f>4*'ARP Timing'!S10*VLOOKUP(T$1,'ARP Score'!$A$5:$M18,$A7)</f>
        <v>1.8800000000000001</v>
      </c>
      <c r="U7" s="1048">
        <f>4*'ARP Timing'!T10*VLOOKUP(U$1,'ARP Score'!$A$5:$M18,$A7)</f>
        <v>1.8800000000000001</v>
      </c>
      <c r="V7" s="1048">
        <f>4*'ARP Timing'!U10*VLOOKUP(V$1,'ARP Score'!$A$5:$M18,$A7)</f>
        <v>1.446</v>
      </c>
      <c r="W7" s="1048">
        <f t="shared" si="0"/>
        <v>27.016999999999996</v>
      </c>
    </row>
    <row r="8" spans="1:23" x14ac:dyDescent="0.35">
      <c r="A8" s="1009">
        <v>9</v>
      </c>
      <c r="B8" s="1050" t="s">
        <v>395</v>
      </c>
      <c r="C8" s="1048">
        <f>4*'ARP Timing'!B$11*VLOOKUP(C$1,'ARP Score'!$A$5:$M19,$A8)</f>
        <v>0</v>
      </c>
      <c r="D8" s="1048">
        <f>0.6*SUM('ARP Score'!B5:B7)*4</f>
        <v>989.16719999999987</v>
      </c>
      <c r="E8" s="1047">
        <v>0</v>
      </c>
      <c r="F8" s="1048">
        <v>0</v>
      </c>
      <c r="G8" s="1048">
        <v>0</v>
      </c>
      <c r="H8" s="1048">
        <f>D8*0.4/0.6</f>
        <v>659.44479999999999</v>
      </c>
      <c r="I8" s="1048">
        <v>0</v>
      </c>
      <c r="J8" s="1009">
        <v>0</v>
      </c>
      <c r="K8" s="1048">
        <v>0</v>
      </c>
      <c r="L8" s="1048">
        <v>0</v>
      </c>
      <c r="M8" s="1048">
        <v>0</v>
      </c>
      <c r="N8" s="1048">
        <v>0</v>
      </c>
      <c r="O8" s="1048">
        <v>0</v>
      </c>
      <c r="P8" s="1048">
        <v>0</v>
      </c>
      <c r="Q8" s="1048">
        <v>0</v>
      </c>
      <c r="R8" s="1048">
        <v>0</v>
      </c>
      <c r="S8" s="1048">
        <v>0</v>
      </c>
      <c r="T8" s="1048">
        <v>0</v>
      </c>
      <c r="U8" s="1048">
        <v>0</v>
      </c>
      <c r="V8" s="1048">
        <v>0</v>
      </c>
      <c r="W8" s="1048">
        <f t="shared" si="0"/>
        <v>412.15299999999996</v>
      </c>
    </row>
    <row r="9" spans="1:23" x14ac:dyDescent="0.35">
      <c r="A9" s="1009">
        <v>10</v>
      </c>
      <c r="B9" s="1050" t="s">
        <v>150</v>
      </c>
      <c r="C9" s="1048">
        <f>4*'ARP Timing'!B$11*VLOOKUP(C$1,'ARP Score'!$A$5:$M20,$A9)</f>
        <v>0</v>
      </c>
      <c r="D9" s="1048">
        <f>4*'ARP Timing'!C$11*VLOOKUP(D$1,'ARP Score'!$A$5:$M20,$A9)</f>
        <v>24.693999999999999</v>
      </c>
      <c r="E9" s="1048">
        <f>4*'ARP Timing'!D$11*VLOOKUP(E$1,'ARP Score'!$A$5:$M20,$A9)</f>
        <v>24.693999999999999</v>
      </c>
      <c r="F9" s="1048">
        <f>4*'ARP Timing'!E$11*VLOOKUP(F$1,'ARP Score'!$A$5:$M20,$A9)</f>
        <v>46.79</v>
      </c>
      <c r="G9" s="1048">
        <f>4*'ARP Timing'!F$11*VLOOKUP(G$1,'ARP Score'!$A$5:$M20,$A9)</f>
        <v>46.79</v>
      </c>
      <c r="H9" s="1048">
        <f>4*'ARP Timing'!G$11*VLOOKUP(H$1,'ARP Score'!$A$5:$M20,$A9)</f>
        <v>46.79</v>
      </c>
      <c r="I9" s="1048">
        <f>4*'ARP Timing'!H$11*VLOOKUP(I$1,'ARP Score'!$A$5:$M20,$A9)</f>
        <v>46.79</v>
      </c>
      <c r="J9" s="1048">
        <f>4*'ARP Timing'!I$11*VLOOKUP(J$1,'ARP Score'!$A$5:$M20,$A9)</f>
        <v>38.595999999999997</v>
      </c>
      <c r="K9" s="1048">
        <f>4*'ARP Timing'!J$11*VLOOKUP(K$1,'ARP Score'!$A$5:$M20,$A9)</f>
        <v>38.595999999999997</v>
      </c>
      <c r="L9" s="1048">
        <f>4*'ARP Timing'!K$11*VLOOKUP(L$1,'ARP Score'!$A$5:$M20,$A9)</f>
        <v>38.595999999999997</v>
      </c>
      <c r="M9" s="1048">
        <f>4*'ARP Timing'!L$11*VLOOKUP(M$1,'ARP Score'!$A$5:$M20,$A9)</f>
        <v>38.595999999999997</v>
      </c>
      <c r="N9" s="1048">
        <f>4*'ARP Timing'!M$11*VLOOKUP(N$1,'ARP Score'!$A$5:$M20,$A9)</f>
        <v>31.911000000000001</v>
      </c>
      <c r="O9" s="1048">
        <f>4*'ARP Timing'!N$11*VLOOKUP(O$1,'ARP Score'!$A$5:$M20,$A9)</f>
        <v>31.911000000000001</v>
      </c>
      <c r="P9" s="1048">
        <f>4*'ARP Timing'!O$11*VLOOKUP(P$1,'ARP Score'!$A$5:$M20,$A9)</f>
        <v>31.911000000000001</v>
      </c>
      <c r="Q9" s="1048">
        <f>4*'ARP Timing'!P$11*VLOOKUP(Q$1,'ARP Score'!$A$5:$M20,$A9)</f>
        <v>31.911000000000001</v>
      </c>
      <c r="R9" s="1048">
        <f>4*'ARP Timing'!Q$11*VLOOKUP(R$1,'ARP Score'!$A$5:$M20,$A9)</f>
        <v>23.099</v>
      </c>
      <c r="S9" s="1048">
        <f>4*'ARP Timing'!R$11*VLOOKUP(S$1,'ARP Score'!$A$5:$M20,$A9)</f>
        <v>23.099</v>
      </c>
      <c r="T9" s="1048">
        <f>4*'ARP Timing'!S$11*VLOOKUP(T$1,'ARP Score'!$A$5:$M20,$A9)</f>
        <v>23.099</v>
      </c>
      <c r="U9" s="1048">
        <f>4*'ARP Timing'!T$11*VLOOKUP(U$1,'ARP Score'!$A$5:$M20,$A9)</f>
        <v>23.099</v>
      </c>
      <c r="V9" s="1048">
        <f>4*'ARP Timing'!U$11*VLOOKUP(V$1,'ARP Score'!$A$5:$M20,$A9)</f>
        <v>10.766999999999999</v>
      </c>
      <c r="W9" s="1048">
        <f t="shared" si="0"/>
        <v>152.74300000000005</v>
      </c>
    </row>
    <row r="10" spans="1:23" x14ac:dyDescent="0.35">
      <c r="A10" s="1054">
        <v>11</v>
      </c>
      <c r="B10" s="1050" t="s">
        <v>411</v>
      </c>
      <c r="C10" s="1048">
        <f>4*'ARP Timing'!B$11*VLOOKUP(C$1,'ARP Score'!$A$5:$M22,$A10)</f>
        <v>0</v>
      </c>
      <c r="D10" s="1048">
        <f>4*'ARP Timing'!C$11*VLOOKUP(D$1,'ARP Score'!$A$5:$M22,$A10)</f>
        <v>59.256</v>
      </c>
      <c r="E10" s="1048">
        <f>4*'ARP Timing'!D$11*VLOOKUP(E$1,'ARP Score'!$A$5:$M22,$A10)</f>
        <v>59.256</v>
      </c>
      <c r="F10" s="1048">
        <f>4*'ARP Timing'!E$11*VLOOKUP(F$1,'ARP Score'!$A$5:$M22,$A10)</f>
        <v>35.671000000000006</v>
      </c>
      <c r="G10" s="1048">
        <f>4*'ARP Timing'!F$11*VLOOKUP(G$1,'ARP Score'!$A$5:$M22,$A10)</f>
        <v>35.671000000000006</v>
      </c>
      <c r="H10" s="1048">
        <f>4*'ARP Timing'!G$11*VLOOKUP(H$1,'ARP Score'!$A$5:$M22,$A10)</f>
        <v>35.671000000000006</v>
      </c>
      <c r="I10" s="1048">
        <f>4*'ARP Timing'!H$11*VLOOKUP(I$1,'ARP Score'!$A$5:$M22,$A10)</f>
        <v>35.671000000000006</v>
      </c>
      <c r="J10" s="1048">
        <f>4*'ARP Timing'!I$11*VLOOKUP(J$1,'ARP Score'!$A$5:$M22,$A10)</f>
        <v>24.216000000000001</v>
      </c>
      <c r="K10" s="1048">
        <f>4*'ARP Timing'!J$11*VLOOKUP(K$1,'ARP Score'!$A$5:$M22,$A10)</f>
        <v>24.216000000000001</v>
      </c>
      <c r="L10" s="1048">
        <f>4*'ARP Timing'!K$11*VLOOKUP(L$1,'ARP Score'!$A$5:$M22,$A10)</f>
        <v>24.216000000000001</v>
      </c>
      <c r="M10" s="1048">
        <f>4*'ARP Timing'!L$11*VLOOKUP(M$1,'ARP Score'!$A$5:$M22,$A10)</f>
        <v>24.216000000000001</v>
      </c>
      <c r="N10" s="1048">
        <f>4*'ARP Timing'!M$11*VLOOKUP(N$1,'ARP Score'!$A$5:$M22,$A10)</f>
        <v>9.6430000000000007</v>
      </c>
      <c r="O10" s="1048">
        <f>4*'ARP Timing'!N$11*VLOOKUP(O$1,'ARP Score'!$A$5:$M22,$A10)</f>
        <v>9.6430000000000007</v>
      </c>
      <c r="P10" s="1048">
        <f>4*'ARP Timing'!O$11*VLOOKUP(P$1,'ARP Score'!$A$5:$M22,$A10)</f>
        <v>9.6430000000000007</v>
      </c>
      <c r="Q10" s="1048">
        <f>4*'ARP Timing'!P$11*VLOOKUP(Q$1,'ARP Score'!$A$5:$M22,$A10)</f>
        <v>9.6430000000000007</v>
      </c>
      <c r="R10" s="1048">
        <f>4*'ARP Timing'!Q$11*VLOOKUP(R$1,'ARP Score'!$A$5:$M22,$A10)</f>
        <v>4.5789999999999997</v>
      </c>
      <c r="S10" s="1048">
        <f>4*'ARP Timing'!R$11*VLOOKUP(S$1,'ARP Score'!$A$5:$M22,$A10)</f>
        <v>4.5789999999999997</v>
      </c>
      <c r="T10" s="1048">
        <f>4*'ARP Timing'!S$11*VLOOKUP(T$1,'ARP Score'!$A$5:$M22,$A10)</f>
        <v>4.5789999999999997</v>
      </c>
      <c r="U10" s="1048">
        <f>4*'ARP Timing'!T$11*VLOOKUP(U$1,'ARP Score'!$A$5:$M22,$A10)</f>
        <v>4.5789999999999997</v>
      </c>
      <c r="V10" s="1048">
        <f>4*'ARP Timing'!U$11*VLOOKUP(V$1,'ARP Score'!$A$5:$M22,$A10)</f>
        <v>2.9130000000000003</v>
      </c>
      <c r="W10" s="1048">
        <f t="shared" si="0"/>
        <v>103.73700000000002</v>
      </c>
    </row>
    <row r="11" spans="1:23" x14ac:dyDescent="0.35">
      <c r="A11" s="1009">
        <v>12</v>
      </c>
      <c r="B11" s="14" t="s">
        <v>159</v>
      </c>
      <c r="C11" s="1048">
        <f>4*'ARP Timing'!B12*VLOOKUP(C$1,'ARP Score'!$A$5:$M20,$A11)</f>
        <v>103</v>
      </c>
      <c r="D11" s="1048">
        <f>4*'ARP Timing'!C12*VLOOKUP(D$1,'ARP Score'!$A$5:$M20,$A11)</f>
        <v>0</v>
      </c>
      <c r="E11" s="1048">
        <f>4*'ARP Timing'!D12*VLOOKUP(E$1,'ARP Score'!$A$5:$M20,$A11)</f>
        <v>0</v>
      </c>
      <c r="F11" s="1048">
        <f>4*'ARP Timing'!E12*VLOOKUP(F$1,'ARP Score'!$A$5:$M20,$A11)</f>
        <v>0</v>
      </c>
      <c r="G11" s="1048">
        <f>4*'ARP Timing'!F12*VLOOKUP(G$1,'ARP Score'!$A$5:$M20,$A11)</f>
        <v>0</v>
      </c>
      <c r="H11" s="1048">
        <f>4*'ARP Timing'!G12*VLOOKUP(H$1,'ARP Score'!$A$5:$M20,$A11)</f>
        <v>0</v>
      </c>
      <c r="I11" s="1048">
        <f>4*'ARP Timing'!H12*VLOOKUP(I$1,'ARP Score'!$A$5:$M20,$A11)</f>
        <v>0</v>
      </c>
      <c r="J11" s="1048">
        <f>4*'ARP Timing'!I12*VLOOKUP(J$1,'ARP Score'!$A$5:$M20,$A11)</f>
        <v>0</v>
      </c>
      <c r="K11" s="1048">
        <f>4*'ARP Timing'!J12*VLOOKUP(K$1,'ARP Score'!$A$5:$M20,$A11)</f>
        <v>0</v>
      </c>
      <c r="L11" s="1048">
        <f>4*'ARP Timing'!K12*VLOOKUP(L$1,'ARP Score'!$A$5:$M20,$A11)</f>
        <v>0</v>
      </c>
      <c r="M11" s="1048">
        <f>4*'ARP Timing'!L12*VLOOKUP(M$1,'ARP Score'!$A$5:$M20,$A11)</f>
        <v>0</v>
      </c>
      <c r="N11" s="1048">
        <f>4*'ARP Timing'!M12*VLOOKUP(N$1,'ARP Score'!$A$5:$M20,$A11)</f>
        <v>0</v>
      </c>
      <c r="O11" s="1048">
        <f>4*'ARP Timing'!N12*VLOOKUP(O$1,'ARP Score'!$A$5:$M20,$A11)</f>
        <v>0</v>
      </c>
      <c r="P11" s="1048">
        <f>4*'ARP Timing'!O12*VLOOKUP(P$1,'ARP Score'!$A$5:$M20,$A11)</f>
        <v>0</v>
      </c>
      <c r="Q11" s="1048">
        <f>4*'ARP Timing'!P12*VLOOKUP(Q$1,'ARP Score'!$A$5:$M20,$A11)</f>
        <v>0</v>
      </c>
      <c r="R11" s="1048">
        <f>4*'ARP Timing'!Q12*VLOOKUP(R$1,'ARP Score'!$A$5:$M20,$A11)</f>
        <v>0</v>
      </c>
      <c r="S11" s="1048">
        <f>4*'ARP Timing'!R12*VLOOKUP(S$1,'ARP Score'!$A$5:$M20,$A11)</f>
        <v>0</v>
      </c>
      <c r="T11" s="1048">
        <f>4*'ARP Timing'!S12*VLOOKUP(T$1,'ARP Score'!$A$5:$M20,$A11)</f>
        <v>0</v>
      </c>
      <c r="U11" s="1048">
        <f>4*'ARP Timing'!T12*VLOOKUP(U$1,'ARP Score'!$A$5:$M20,$A11)</f>
        <v>0</v>
      </c>
      <c r="V11" s="1048">
        <f>4*'ARP Timing'!U12*VLOOKUP(V$1,'ARP Score'!$A$5:$M20,$A11)</f>
        <v>0</v>
      </c>
      <c r="W11" s="1048">
        <f t="shared" si="0"/>
        <v>25.75</v>
      </c>
    </row>
    <row r="12" spans="1:23" x14ac:dyDescent="0.35">
      <c r="A12" s="1009">
        <v>13</v>
      </c>
      <c r="B12" s="33" t="s">
        <v>109</v>
      </c>
      <c r="C12" s="1048">
        <f>4*'ARP Timing'!B13*VLOOKUP(C$1,'ARP Score'!$A$5:$M21,$A12)</f>
        <v>0</v>
      </c>
      <c r="D12" s="1048">
        <f>4*'ARP Timing'!C13*VLOOKUP(D$1,'ARP Score'!$A$5:$M21,$A12)</f>
        <v>51.102400000000003</v>
      </c>
      <c r="E12" s="1048">
        <f>4*'ARP Timing'!D13*VLOOKUP(E$1,'ARP Score'!$A$5:$M21,$A12)</f>
        <v>76.653599999999997</v>
      </c>
      <c r="F12" s="1048">
        <f>4*'ARP Timing'!E13*VLOOKUP(F$1,'ARP Score'!$A$5:$M21,$A12)</f>
        <v>90.260800000000003</v>
      </c>
      <c r="G12" s="1048">
        <f>4*'ARP Timing'!F13*VLOOKUP(G$1,'ARP Score'!$A$5:$M21,$A12)</f>
        <v>67.695599999999999</v>
      </c>
      <c r="H12" s="1048">
        <f>4*'ARP Timing'!G13*VLOOKUP(H$1,'ARP Score'!$A$5:$M21,$A12)</f>
        <v>45.130400000000002</v>
      </c>
      <c r="I12" s="1048">
        <f>4*'ARP Timing'!H13*VLOOKUP(I$1,'ARP Score'!$A$5:$M21,$A12)</f>
        <v>22.565200000000001</v>
      </c>
      <c r="J12" s="1048">
        <f>4*'ARP Timing'!I13*VLOOKUP(J$1,'ARP Score'!$A$5:$M21,$A12)</f>
        <v>15.652999999999999</v>
      </c>
      <c r="K12" s="1048">
        <f>4*'ARP Timing'!J13*VLOOKUP(K$1,'ARP Score'!$A$5:$M21,$A12)</f>
        <v>15.652999999999999</v>
      </c>
      <c r="L12" s="1048">
        <f>4*'ARP Timing'!K13*VLOOKUP(L$1,'ARP Score'!$A$5:$M21,$A12)</f>
        <v>15.652999999999999</v>
      </c>
      <c r="M12" s="1048">
        <f>4*'ARP Timing'!L13*VLOOKUP(M$1,'ARP Score'!$A$5:$M21,$A12)</f>
        <v>15.652999999999999</v>
      </c>
      <c r="N12" s="1048">
        <f>4*'ARP Timing'!M13*VLOOKUP(N$1,'ARP Score'!$A$5:$M21,$A12)</f>
        <v>3.9320000000000004</v>
      </c>
      <c r="O12" s="1048">
        <f>4*'ARP Timing'!N13*VLOOKUP(O$1,'ARP Score'!$A$5:$M21,$A12)</f>
        <v>3.9320000000000004</v>
      </c>
      <c r="P12" s="1048">
        <f>4*'ARP Timing'!O13*VLOOKUP(P$1,'ARP Score'!$A$5:$M21,$A12)</f>
        <v>3.9320000000000004</v>
      </c>
      <c r="Q12" s="1048">
        <f>4*'ARP Timing'!P13*VLOOKUP(Q$1,'ARP Score'!$A$5:$M21,$A12)</f>
        <v>3.9320000000000004</v>
      </c>
      <c r="R12" s="1048">
        <f>4*'ARP Timing'!Q13*VLOOKUP(R$1,'ARP Score'!$A$5:$M21,$A12)</f>
        <v>-0.74299999999999988</v>
      </c>
      <c r="S12" s="1048">
        <f>4*'ARP Timing'!R13*VLOOKUP(S$1,'ARP Score'!$A$5:$M21,$A12)</f>
        <v>-0.74299999999999988</v>
      </c>
      <c r="T12" s="1048">
        <f>4*'ARP Timing'!S13*VLOOKUP(T$1,'ARP Score'!$A$5:$M21,$A12)</f>
        <v>-0.74299999999999988</v>
      </c>
      <c r="U12" s="1048">
        <f>4*'ARP Timing'!T13*VLOOKUP(U$1,'ARP Score'!$A$5:$M21,$A12)</f>
        <v>-0.74299999999999988</v>
      </c>
      <c r="V12" s="1048">
        <f>4*'ARP Timing'!U13*VLOOKUP(V$1,'ARP Score'!$A$5:$M21,$A12)</f>
        <v>-21.606000000000002</v>
      </c>
      <c r="W12" s="1048">
        <f t="shared" si="0"/>
        <v>107.19400000000005</v>
      </c>
    </row>
    <row r="13" spans="1:23" x14ac:dyDescent="0.35">
      <c r="A13" s="1009">
        <v>15</v>
      </c>
      <c r="B13" s="1009" t="s">
        <v>824</v>
      </c>
      <c r="C13" s="1048">
        <f>0.3*'ARP Score'!$N5*4*'ARP Timing'!B6</f>
        <v>0</v>
      </c>
      <c r="D13" s="1048">
        <f>0.3*'ARP Score'!$N5*4*'ARP Timing'!C6</f>
        <v>1.7544</v>
      </c>
      <c r="E13" s="1048">
        <f>0.3*'ARP Score'!$N5*4*'ARP Timing'!D6</f>
        <v>2.3255999999999997</v>
      </c>
      <c r="F13" s="1048">
        <f>0.3*'ARP Score'!$N6*4*'ARP Timing'!E6</f>
        <v>1.5299999999999998</v>
      </c>
      <c r="G13" s="1048">
        <f>0.3*'ARP Score'!$N6*4*'ARP Timing'!F6</f>
        <v>1.5299999999999998</v>
      </c>
      <c r="H13" s="1048">
        <f>0.3*'ARP Score'!$N6*4*'ARP Timing'!G6</f>
        <v>1.5299999999999998</v>
      </c>
      <c r="I13" s="1048">
        <f>0.3*'ARP Score'!$N6*4*'ARP Timing'!H6</f>
        <v>1.5299999999999998</v>
      </c>
      <c r="J13" s="1048">
        <f>0.3*'ARP Score'!$N7*4*'ARP Timing'!I6</f>
        <v>0</v>
      </c>
      <c r="K13" s="1048">
        <f>0.3*'ARP Score'!$N7*4*'ARP Timing'!J6</f>
        <v>0</v>
      </c>
      <c r="L13" s="1048">
        <f>0.3*'ARP Score'!$N7*4*'ARP Timing'!K6</f>
        <v>0</v>
      </c>
      <c r="M13" s="1048">
        <f>0.3*'ARP Score'!$N7*4*'ARP Timing'!L6</f>
        <v>0</v>
      </c>
      <c r="N13" s="1048">
        <f>0.3*'ARP Score'!$N7*4*'ARP Timing'!M6</f>
        <v>0</v>
      </c>
      <c r="O13" s="1048">
        <f>0.3*'ARP Score'!$N7*4*'ARP Timing'!N6</f>
        <v>0</v>
      </c>
      <c r="P13" s="1048">
        <f>0.3*'ARP Score'!$N7*4*'ARP Timing'!O6</f>
        <v>0</v>
      </c>
      <c r="Q13" s="1048">
        <f>0.3*'ARP Score'!$N7*4*'ARP Timing'!P6</f>
        <v>0</v>
      </c>
      <c r="R13" s="1048">
        <f>0.3*'ARP Score'!$N7*4*'ARP Timing'!Q6</f>
        <v>0</v>
      </c>
      <c r="S13" s="1048">
        <f>0.3*'ARP Score'!$N7*4*'ARP Timing'!R6</f>
        <v>0</v>
      </c>
      <c r="T13" s="1048">
        <f>0.3*'ARP Score'!$N7*4*'ARP Timing'!S6</f>
        <v>0</v>
      </c>
      <c r="U13" s="1048">
        <f>0.3*'ARP Score'!$N7*4*'ARP Timing'!T6</f>
        <v>0</v>
      </c>
      <c r="V13" s="1048">
        <f>0.3*'ARP Score'!$N7*4*'ARP Timing'!U6</f>
        <v>0</v>
      </c>
      <c r="W13" s="1048">
        <f t="shared" si="0"/>
        <v>2.5499999999999994</v>
      </c>
    </row>
    <row r="14" spans="1:23" x14ac:dyDescent="0.35">
      <c r="A14" s="1009">
        <v>14</v>
      </c>
      <c r="B14" s="1009" t="s">
        <v>825</v>
      </c>
      <c r="C14" s="1048">
        <f>C13/0.3*0.2</f>
        <v>0</v>
      </c>
      <c r="D14" s="1048">
        <f t="shared" ref="D14:F14" si="1">D13/0.3*0.2</f>
        <v>1.1696</v>
      </c>
      <c r="E14" s="1048">
        <f t="shared" si="1"/>
        <v>1.5503999999999998</v>
      </c>
      <c r="F14" s="1048">
        <f t="shared" si="1"/>
        <v>1.02</v>
      </c>
      <c r="G14" s="1048">
        <f t="shared" ref="G14" si="2">G13/0.3*0.2</f>
        <v>1.02</v>
      </c>
      <c r="H14" s="1048">
        <f t="shared" ref="H14" si="3">H13/0.3*0.2</f>
        <v>1.02</v>
      </c>
      <c r="I14" s="1048">
        <f t="shared" ref="I14" si="4">I13/0.3*0.2</f>
        <v>1.02</v>
      </c>
      <c r="J14" s="1048">
        <f t="shared" ref="J14" si="5">J13/0.3*0.2</f>
        <v>0</v>
      </c>
      <c r="K14" s="1048">
        <f t="shared" ref="K14" si="6">K13/0.3*0.2</f>
        <v>0</v>
      </c>
      <c r="L14" s="1048">
        <f t="shared" ref="L14" si="7">L13/0.3*0.2</f>
        <v>0</v>
      </c>
      <c r="M14" s="1048">
        <f t="shared" ref="M14" si="8">M13/0.3*0.2</f>
        <v>0</v>
      </c>
      <c r="N14" s="1048">
        <f t="shared" ref="N14" si="9">N13/0.3*0.2</f>
        <v>0</v>
      </c>
      <c r="O14" s="1048">
        <f t="shared" ref="O14" si="10">O13/0.3*0.2</f>
        <v>0</v>
      </c>
      <c r="P14" s="1048">
        <f t="shared" ref="P14" si="11">P13/0.3*0.2</f>
        <v>0</v>
      </c>
      <c r="Q14" s="1048">
        <f t="shared" ref="Q14" si="12">Q13/0.3*0.2</f>
        <v>0</v>
      </c>
      <c r="R14" s="1048">
        <f t="shared" ref="R14" si="13">R13/0.3*0.2</f>
        <v>0</v>
      </c>
      <c r="S14" s="1048">
        <f t="shared" ref="S14" si="14">S13/0.3*0.2</f>
        <v>0</v>
      </c>
      <c r="T14" s="1048">
        <f t="shared" ref="T14" si="15">T13/0.3*0.2</f>
        <v>0</v>
      </c>
      <c r="U14" s="1048">
        <f t="shared" ref="U14" si="16">U13/0.3*0.2</f>
        <v>0</v>
      </c>
      <c r="V14" s="1048">
        <f t="shared" ref="V14" si="17">V13/0.3*0.2</f>
        <v>0</v>
      </c>
      <c r="W14" s="1048">
        <f t="shared" si="0"/>
        <v>1.6999999999999997</v>
      </c>
    </row>
    <row r="15" spans="1:23" x14ac:dyDescent="0.35">
      <c r="A15" s="1009">
        <v>14</v>
      </c>
      <c r="B15" s="1009" t="s">
        <v>521</v>
      </c>
      <c r="C15" s="1048">
        <f>C14/0.2*0.5</f>
        <v>0</v>
      </c>
      <c r="D15" s="1048">
        <f t="shared" ref="D15:F15" si="18">D14/0.2*0.5</f>
        <v>2.9239999999999999</v>
      </c>
      <c r="E15" s="1048">
        <f t="shared" si="18"/>
        <v>3.8759999999999994</v>
      </c>
      <c r="F15" s="1048">
        <f t="shared" si="18"/>
        <v>2.5499999999999998</v>
      </c>
      <c r="G15" s="1048">
        <f t="shared" ref="G15" si="19">G14/0.2*0.5</f>
        <v>2.5499999999999998</v>
      </c>
      <c r="H15" s="1048">
        <f t="shared" ref="H15" si="20">H14/0.2*0.5</f>
        <v>2.5499999999999998</v>
      </c>
      <c r="I15" s="1048">
        <f t="shared" ref="I15" si="21">I14/0.2*0.5</f>
        <v>2.5499999999999998</v>
      </c>
      <c r="J15" s="1048">
        <f t="shared" ref="J15" si="22">J14/0.2*0.5</f>
        <v>0</v>
      </c>
      <c r="K15" s="1048">
        <f t="shared" ref="K15" si="23">K14/0.2*0.5</f>
        <v>0</v>
      </c>
      <c r="L15" s="1048">
        <f t="shared" ref="L15" si="24">L14/0.2*0.5</f>
        <v>0</v>
      </c>
      <c r="M15" s="1048">
        <f t="shared" ref="M15" si="25">M14/0.2*0.5</f>
        <v>0</v>
      </c>
      <c r="N15" s="1048">
        <f t="shared" ref="N15" si="26">N14/0.2*0.5</f>
        <v>0</v>
      </c>
      <c r="O15" s="1048">
        <f t="shared" ref="O15" si="27">O14/0.2*0.5</f>
        <v>0</v>
      </c>
      <c r="P15" s="1048">
        <f t="shared" ref="P15" si="28">P14/0.2*0.5</f>
        <v>0</v>
      </c>
      <c r="Q15" s="1048">
        <f t="shared" ref="Q15" si="29">Q14/0.2*0.5</f>
        <v>0</v>
      </c>
      <c r="R15" s="1048">
        <f t="shared" ref="R15" si="30">R14/0.2*0.5</f>
        <v>0</v>
      </c>
      <c r="S15" s="1048">
        <f t="shared" ref="S15" si="31">S14/0.2*0.5</f>
        <v>0</v>
      </c>
      <c r="T15" s="1048">
        <f t="shared" ref="T15" si="32">T14/0.2*0.5</f>
        <v>0</v>
      </c>
      <c r="U15" s="1048">
        <f t="shared" ref="U15" si="33">U14/0.2*0.5</f>
        <v>0</v>
      </c>
      <c r="V15" s="1048">
        <f t="shared" ref="V15" si="34">V14/0.2*0.5</f>
        <v>0</v>
      </c>
      <c r="W15" s="1048">
        <f t="shared" si="0"/>
        <v>4.25</v>
      </c>
    </row>
    <row r="16" spans="1:23" x14ac:dyDescent="0.35">
      <c r="C16" s="1048"/>
      <c r="D16" s="1048"/>
      <c r="E16" s="1048"/>
      <c r="F16" s="1048"/>
      <c r="G16" s="1048"/>
      <c r="H16" s="1048"/>
      <c r="I16" s="1048"/>
      <c r="J16" s="1048"/>
      <c r="K16" s="1048"/>
      <c r="L16" s="1048"/>
      <c r="M16" s="1048"/>
      <c r="N16" s="1048"/>
      <c r="O16" s="1048"/>
      <c r="P16" s="1048"/>
      <c r="Q16" s="1048"/>
      <c r="R16" s="1048"/>
      <c r="S16" s="1048"/>
      <c r="T16" s="1048"/>
      <c r="U16" s="1048"/>
      <c r="V16" s="1048"/>
      <c r="W16" s="1048"/>
    </row>
    <row r="17" spans="1:23" x14ac:dyDescent="0.35">
      <c r="A17" s="1009" t="s">
        <v>826</v>
      </c>
      <c r="C17" s="1048"/>
      <c r="D17" s="1048"/>
      <c r="E17" s="1048"/>
      <c r="F17" s="1048"/>
      <c r="G17" s="1048"/>
      <c r="H17" s="1048"/>
      <c r="I17" s="1048"/>
      <c r="J17" s="1048"/>
      <c r="K17" s="1048"/>
      <c r="L17" s="1048"/>
      <c r="M17" s="1048"/>
      <c r="N17" s="1048"/>
      <c r="O17" s="1048"/>
      <c r="P17" s="1048"/>
      <c r="Q17" s="1048"/>
      <c r="R17" s="1048"/>
      <c r="S17" s="1048"/>
      <c r="T17" s="1048"/>
      <c r="U17" s="1048"/>
      <c r="V17" s="1048"/>
      <c r="W17" s="1048"/>
    </row>
    <row r="18" spans="1:23" x14ac:dyDescent="0.35">
      <c r="B18" s="506" t="s">
        <v>143</v>
      </c>
      <c r="C18" s="1048">
        <f>'ARP Score'!$BG5/'ARP Score'!$G5*C6</f>
        <v>0</v>
      </c>
      <c r="D18" s="1048">
        <f>'ARP Score'!$BG5/'ARP Score'!$G5*D6</f>
        <v>2.2132800000000001</v>
      </c>
      <c r="E18" s="1048">
        <f>'ARP Score'!$BG5/'ARP Score'!$G5*E6</f>
        <v>10.082720000000002</v>
      </c>
      <c r="F18" s="1048">
        <f>'ARP Score'!$BG6/'ARP Score'!$G6*F6</f>
        <v>7.1439999999999992</v>
      </c>
      <c r="G18" s="1048">
        <f>'ARP Score'!$BG6/'ARP Score'!$G6*G6</f>
        <v>7.1439999999999992</v>
      </c>
      <c r="H18" s="1048">
        <f>'ARP Score'!$BG6/'ARP Score'!$G6*H6</f>
        <v>7.1439999999999992</v>
      </c>
      <c r="I18" s="1048">
        <f>'ARP Score'!$BG6/'ARP Score'!$G6*I6</f>
        <v>7.1439999999999992</v>
      </c>
      <c r="J18" s="1048">
        <f>'ARP Score'!$BG7/'ARP Score'!$G7*J6</f>
        <v>0</v>
      </c>
      <c r="K18" s="1048">
        <f>'ARP Score'!$BG7/'ARP Score'!$G7*K6</f>
        <v>0</v>
      </c>
      <c r="L18" s="1048">
        <f>'ARP Score'!$BG7/'ARP Score'!$G7*L6</f>
        <v>0</v>
      </c>
      <c r="M18" s="1048">
        <f>'ARP Score'!$BG7/'ARP Score'!$G7*M6</f>
        <v>0</v>
      </c>
      <c r="N18" s="1048"/>
      <c r="O18" s="1048"/>
      <c r="P18" s="1048"/>
      <c r="Q18" s="1048"/>
      <c r="R18" s="1048"/>
      <c r="S18" s="1048"/>
      <c r="T18" s="1048"/>
      <c r="U18" s="1048"/>
      <c r="V18" s="1048"/>
      <c r="W18" s="1048"/>
    </row>
    <row r="19" spans="1:23" x14ac:dyDescent="0.35">
      <c r="B19" s="506" t="s">
        <v>827</v>
      </c>
      <c r="C19" s="1048">
        <f>'ARP Score'!$BI5/'ARP Score'!$G5*C6</f>
        <v>0</v>
      </c>
      <c r="D19" s="1048">
        <f>'ARP Score'!$BI5/'ARP Score'!$G5*D6</f>
        <v>15.128640000000001</v>
      </c>
      <c r="E19" s="1048">
        <f>'ARP Score'!$BI5/'ARP Score'!$G5*E6</f>
        <v>68.919360000000012</v>
      </c>
      <c r="F19" s="1048">
        <f>'ARP Score'!$BI6/'ARP Score'!$G6*F6</f>
        <v>5.6120000000000001</v>
      </c>
      <c r="G19" s="1048">
        <f>'ARP Score'!$BI6/'ARP Score'!$G6*G6</f>
        <v>5.6120000000000001</v>
      </c>
      <c r="H19" s="1048">
        <f>'ARP Score'!$BI6/'ARP Score'!$G6*H6</f>
        <v>5.6120000000000001</v>
      </c>
      <c r="I19" s="1048">
        <f>'ARP Score'!$BI6/'ARP Score'!$G6*I6</f>
        <v>5.6120000000000001</v>
      </c>
      <c r="J19" s="1048">
        <f>'ARP Score'!$B7/'ARP Score'!$G7*J6</f>
        <v>0.48599999999999993</v>
      </c>
      <c r="K19" s="1048">
        <f>'ARP Score'!$B7/'ARP Score'!$G7*K6</f>
        <v>0.48599999999999993</v>
      </c>
      <c r="L19" s="1048">
        <f>'ARP Score'!$B7/'ARP Score'!$G7*L6</f>
        <v>0.48599999999999993</v>
      </c>
      <c r="M19" s="1048">
        <f>'ARP Score'!$B7/'ARP Score'!$G7*M6</f>
        <v>0.48599999999999993</v>
      </c>
      <c r="N19" s="1048">
        <f>'ARP Score'!$B8/'ARP Score'!$G8*N6</f>
        <v>0</v>
      </c>
      <c r="O19" s="1048"/>
      <c r="P19" s="1048"/>
      <c r="Q19" s="1048"/>
      <c r="R19" s="1048"/>
      <c r="S19" s="1048"/>
      <c r="T19" s="1048"/>
      <c r="U19" s="1048"/>
      <c r="V19" s="1048"/>
      <c r="W19" s="1048"/>
    </row>
    <row r="20" spans="1:23" x14ac:dyDescent="0.35">
      <c r="B20" s="506" t="s">
        <v>148</v>
      </c>
      <c r="C20" s="1048">
        <f>'ARP Score'!$BF5/'ARP Score'!$G5*C6</f>
        <v>0</v>
      </c>
      <c r="D20" s="1048">
        <f>'ARP Score'!$BF5/'ARP Score'!$G5*D6</f>
        <v>3.2479199999999997</v>
      </c>
      <c r="E20" s="1048">
        <f>'ARP Score'!$BF5/'ARP Score'!$G5*E6</f>
        <v>14.796080000000002</v>
      </c>
      <c r="F20" s="1048">
        <f>'ARP Score'!$BF6/'ARP Score'!$G6*F6</f>
        <v>1.7329999999999999</v>
      </c>
      <c r="G20" s="1048">
        <f>'ARP Score'!$BF6/'ARP Score'!$G6*G6</f>
        <v>1.7329999999999999</v>
      </c>
      <c r="H20" s="1048">
        <f>'ARP Score'!$BF6/'ARP Score'!$G6*H6</f>
        <v>1.7329999999999999</v>
      </c>
      <c r="I20" s="1048">
        <f>'ARP Score'!$BF6/'ARP Score'!$G6*I6</f>
        <v>1.7329999999999999</v>
      </c>
      <c r="J20" s="1048">
        <f>'ARP Score'!$BF7/'ARP Score'!$G7*J6</f>
        <v>0</v>
      </c>
      <c r="K20" s="1048">
        <f>'ARP Score'!$BF7/'ARP Score'!$G7*K6</f>
        <v>0</v>
      </c>
      <c r="L20" s="1048">
        <f>'ARP Score'!$BF7/'ARP Score'!$G7*L6</f>
        <v>0</v>
      </c>
      <c r="M20" s="1048">
        <f>'ARP Score'!$BF7/'ARP Score'!$G7*M6</f>
        <v>0</v>
      </c>
      <c r="N20" s="1048"/>
      <c r="O20" s="1048"/>
      <c r="P20" s="1048"/>
      <c r="Q20" s="1048"/>
      <c r="R20" s="1048"/>
      <c r="S20" s="1048"/>
      <c r="T20" s="1048"/>
      <c r="U20" s="1048"/>
      <c r="V20" s="1048"/>
      <c r="W20" s="1048"/>
    </row>
    <row r="21" spans="1:23" x14ac:dyDescent="0.35">
      <c r="B21" s="1055" t="s">
        <v>463</v>
      </c>
      <c r="C21" s="1048">
        <f>15/40*(C6*'ARP Score'!$BD5/'ARP Score'!$G5)</f>
        <v>0</v>
      </c>
      <c r="D21" s="1048">
        <f>15/40*(D6*('ARP Score'!$BD5+'ARP Score'!$BE5)/'ARP Score'!$G5)</f>
        <v>13.2921</v>
      </c>
      <c r="E21" s="1048">
        <f>15/40*(E6*('ARP Score'!$BD5+'ARP Score'!$BE5)/'ARP Score'!$G5)</f>
        <v>60.552900000000008</v>
      </c>
      <c r="F21" s="1048">
        <f>15/40*(F6*('ARP Score'!$BD6+'ARP Score'!$BE6)/'ARP Score'!$G6)</f>
        <v>1.0687500000000001</v>
      </c>
      <c r="G21" s="1048">
        <f>15/40*(G6*('ARP Score'!$BD6+'ARP Score'!$BE6)/'ARP Score'!$G6)</f>
        <v>1.0687500000000001</v>
      </c>
      <c r="H21" s="1048">
        <f>15/40*(H6*('ARP Score'!$BD6+'ARP Score'!$BE6)/'ARP Score'!$G6)</f>
        <v>1.0687500000000001</v>
      </c>
      <c r="I21" s="1048">
        <f>15/40*(I6*('ARP Score'!$BD6+'ARP Score'!$BE6)/'ARP Score'!$G6)</f>
        <v>1.0687500000000001</v>
      </c>
      <c r="J21" s="1048">
        <f>15/40*(J6*('ARP Score'!$BD7+'ARP Score'!$BE7)/'ARP Score'!$G7)</f>
        <v>0.78750000000000009</v>
      </c>
      <c r="K21" s="1048">
        <f>15/40*(K6*('ARP Score'!$BD7+'ARP Score'!$BE7)/'ARP Score'!$G7)</f>
        <v>0.78750000000000009</v>
      </c>
      <c r="L21" s="1048">
        <f>15/40*(L6*('ARP Score'!$BD7+'ARP Score'!$BE7)/'ARP Score'!$G7)</f>
        <v>0.78750000000000009</v>
      </c>
      <c r="M21" s="1048">
        <f>15/40*(M6*('ARP Score'!$BD7+'ARP Score'!$BE7)/'ARP Score'!$G7)</f>
        <v>0.78750000000000009</v>
      </c>
      <c r="N21" s="1048"/>
      <c r="O21" s="1048"/>
      <c r="P21" s="1048"/>
      <c r="Q21" s="1048"/>
      <c r="R21" s="1048"/>
      <c r="S21" s="1048"/>
      <c r="T21" s="1048"/>
      <c r="U21" s="1048"/>
      <c r="V21" s="1048"/>
      <c r="W21" s="1048"/>
    </row>
    <row r="22" spans="1:23" x14ac:dyDescent="0.35">
      <c r="B22" s="1055" t="s">
        <v>828</v>
      </c>
      <c r="C22" s="1048"/>
      <c r="D22" s="1048">
        <f>D21/15*25</f>
        <v>22.153499999999998</v>
      </c>
      <c r="E22" s="1048">
        <f>E21/15*25</f>
        <v>100.92150000000002</v>
      </c>
      <c r="F22" s="1048">
        <f>F21/15*25</f>
        <v>1.7812500000000002</v>
      </c>
      <c r="G22" s="1048">
        <f>G21/15*25</f>
        <v>1.7812500000000002</v>
      </c>
      <c r="H22" s="1048">
        <f t="shared" ref="H22:J22" si="35">H21/15*25</f>
        <v>1.7812500000000002</v>
      </c>
      <c r="I22" s="1048">
        <f t="shared" si="35"/>
        <v>1.7812500000000002</v>
      </c>
      <c r="J22" s="1048">
        <f t="shared" si="35"/>
        <v>1.3125000000000002</v>
      </c>
      <c r="K22" s="1048">
        <f t="shared" ref="K22" si="36">K21/15*25</f>
        <v>1.3125000000000002</v>
      </c>
      <c r="L22" s="1048">
        <f t="shared" ref="L22" si="37">L21/15*25</f>
        <v>1.3125000000000002</v>
      </c>
      <c r="M22" s="1048">
        <f t="shared" ref="M22" si="38">M21/15*25</f>
        <v>1.3125000000000002</v>
      </c>
      <c r="N22" s="1048"/>
      <c r="O22" s="1048"/>
      <c r="P22" s="1048"/>
      <c r="Q22" s="1048"/>
      <c r="R22" s="1048"/>
      <c r="S22" s="1048"/>
      <c r="T22" s="1048"/>
      <c r="U22" s="1048"/>
      <c r="V22" s="1048"/>
      <c r="W22" s="1048"/>
    </row>
    <row r="23" spans="1:23" x14ac:dyDescent="0.35">
      <c r="B23" s="506" t="s">
        <v>475</v>
      </c>
      <c r="C23" s="1048">
        <f>'ARP Score'!$BB5/'ARP Score'!$G5*C6</f>
        <v>0</v>
      </c>
      <c r="D23" s="1048">
        <f>'ARP Score'!$BB5/'ARP Score'!$G5*D6</f>
        <v>2.9519999999999995</v>
      </c>
      <c r="E23" s="1048">
        <f>'ARP Score'!$BB5/'ARP Score'!$G5*E6</f>
        <v>13.448</v>
      </c>
      <c r="F23" s="1048">
        <f>'ARP Score'!$BB6/'ARP Score'!$G6*F6</f>
        <v>11.3</v>
      </c>
      <c r="G23" s="1048">
        <f>'ARP Score'!$BB6/'ARP Score'!$G6*G6</f>
        <v>11.3</v>
      </c>
      <c r="H23" s="1048">
        <f>'ARP Score'!$BB6/'ARP Score'!$G6*H6</f>
        <v>11.3</v>
      </c>
      <c r="I23" s="1048">
        <f>'ARP Score'!$BB6/'ARP Score'!$G6*I6</f>
        <v>11.3</v>
      </c>
      <c r="J23" s="1048">
        <f>'ARP Score'!$BB7/'ARP Score'!$G7*J6</f>
        <v>8.4</v>
      </c>
      <c r="K23" s="1048">
        <f>'ARP Score'!$BB7/'ARP Score'!$G7*K6</f>
        <v>8.4</v>
      </c>
      <c r="L23" s="1048">
        <f>'ARP Score'!$BB7/'ARP Score'!$G7*L6</f>
        <v>8.4</v>
      </c>
      <c r="M23" s="1048">
        <f>'ARP Score'!$BB7/'ARP Score'!$G7*M6</f>
        <v>8.4</v>
      </c>
      <c r="N23" s="1048">
        <f>'ARP Score'!$BB8/'ARP Score'!$G8*N6</f>
        <v>0.2</v>
      </c>
      <c r="O23" s="1048">
        <f>'ARP Score'!$BB8/'ARP Score'!$G8*O6</f>
        <v>0.2</v>
      </c>
      <c r="P23" s="1048">
        <f>'ARP Score'!$BB8/'ARP Score'!$G8*P6</f>
        <v>0.2</v>
      </c>
      <c r="Q23" s="1048">
        <f>'ARP Score'!$BB8/'ARP Score'!$G8*Q6</f>
        <v>0.2</v>
      </c>
      <c r="R23" s="1048"/>
      <c r="S23" s="1048"/>
      <c r="T23" s="1048"/>
      <c r="U23" s="1048"/>
      <c r="V23" s="1048"/>
      <c r="W23" s="1048"/>
    </row>
    <row r="24" spans="1:23" x14ac:dyDescent="0.35">
      <c r="B24" s="506" t="s">
        <v>476</v>
      </c>
      <c r="C24" s="1048">
        <f>'ARP Score'!$BH5/'ARP Score'!$G5*C6</f>
        <v>0</v>
      </c>
      <c r="D24" s="1048">
        <f>'ARP Score'!$BH5/'ARP Score'!$G5*D6</f>
        <v>-0.20447999999999997</v>
      </c>
      <c r="E24" s="1048">
        <f>'ARP Score'!$BH5/'ARP Score'!$G5*E6</f>
        <v>-0.93152000000000001</v>
      </c>
      <c r="F24" s="1048">
        <f>'ARP Score'!$BH6/'ARP Score'!$G6*F6</f>
        <v>81.608999999999995</v>
      </c>
      <c r="G24" s="1048">
        <f>'ARP Score'!$BH6/'ARP Score'!$G6*G6</f>
        <v>81.608999999999995</v>
      </c>
      <c r="H24" s="1048">
        <f>'ARP Score'!$BH6/'ARP Score'!$G6*H6</f>
        <v>81.608999999999995</v>
      </c>
      <c r="I24" s="1048">
        <f>'ARP Score'!$BH6/'ARP Score'!$G6*I6</f>
        <v>81.608999999999995</v>
      </c>
      <c r="J24" s="1048">
        <f>'ARP Score'!$BH7/'ARP Score'!$G7*J6</f>
        <v>1.3759999999999999</v>
      </c>
      <c r="K24" s="1048">
        <f>'ARP Score'!$BH7/'ARP Score'!$G7*K6</f>
        <v>1.3759999999999999</v>
      </c>
      <c r="L24" s="1048">
        <f>'ARP Score'!$BH7/'ARP Score'!$G7*L6</f>
        <v>1.3759999999999999</v>
      </c>
      <c r="M24" s="1048">
        <f>'ARP Score'!$BH7/'ARP Score'!$G7*M6</f>
        <v>1.3759999999999999</v>
      </c>
      <c r="N24" s="1048">
        <f>'ARP Score'!$BH8/'ARP Score'!$G8*N6</f>
        <v>-0.87500000000000011</v>
      </c>
      <c r="O24" s="1048">
        <f>'ARP Score'!$BH8/'ARP Score'!$G8*O6</f>
        <v>-0.87500000000000011</v>
      </c>
      <c r="P24" s="1048">
        <f>'ARP Score'!$BH8/'ARP Score'!$G8*P6</f>
        <v>-0.87500000000000011</v>
      </c>
      <c r="Q24" s="1048">
        <f>'ARP Score'!$BH8/'ARP Score'!$G8*Q6</f>
        <v>-0.87500000000000011</v>
      </c>
      <c r="R24" s="1048"/>
      <c r="S24" s="1048"/>
      <c r="T24" s="1048"/>
      <c r="U24" s="1048"/>
      <c r="V24" s="1048"/>
      <c r="W24" s="1048"/>
    </row>
    <row r="25" spans="1:23" x14ac:dyDescent="0.35">
      <c r="B25" s="506" t="s">
        <v>359</v>
      </c>
      <c r="C25" s="1048">
        <f>SUM(C18:C24)</f>
        <v>0</v>
      </c>
      <c r="D25" s="1048">
        <f t="shared" ref="D25:Q25" si="39">SUM(D18:D24)</f>
        <v>58.782959999999996</v>
      </c>
      <c r="E25" s="1048">
        <f t="shared" si="39"/>
        <v>267.78904000000006</v>
      </c>
      <c r="F25" s="1048">
        <f t="shared" si="39"/>
        <v>110.24799999999999</v>
      </c>
      <c r="G25" s="1048">
        <f t="shared" si="39"/>
        <v>110.24799999999999</v>
      </c>
      <c r="H25" s="1048">
        <f t="shared" si="39"/>
        <v>110.24799999999999</v>
      </c>
      <c r="I25" s="1048">
        <f t="shared" si="39"/>
        <v>110.24799999999999</v>
      </c>
      <c r="J25" s="1048">
        <f t="shared" si="39"/>
        <v>12.362</v>
      </c>
      <c r="K25" s="1048">
        <f t="shared" si="39"/>
        <v>12.362</v>
      </c>
      <c r="L25" s="1048">
        <f t="shared" si="39"/>
        <v>12.362</v>
      </c>
      <c r="M25" s="1048">
        <f t="shared" si="39"/>
        <v>12.362</v>
      </c>
      <c r="N25" s="1048">
        <f t="shared" si="39"/>
        <v>-0.67500000000000004</v>
      </c>
      <c r="O25" s="1048">
        <f t="shared" si="39"/>
        <v>-0.67500000000000004</v>
      </c>
      <c r="P25" s="1048">
        <f t="shared" si="39"/>
        <v>-0.67500000000000004</v>
      </c>
      <c r="Q25" s="1048">
        <f t="shared" si="39"/>
        <v>-0.67500000000000004</v>
      </c>
      <c r="R25" s="1048"/>
      <c r="S25" s="1048"/>
      <c r="T25" s="1048"/>
      <c r="U25" s="1048"/>
      <c r="V25" s="1048"/>
      <c r="W25" s="1048"/>
    </row>
    <row r="26" spans="1:23" x14ac:dyDescent="0.35">
      <c r="D26" s="1049">
        <f>D6-D25</f>
        <v>0</v>
      </c>
      <c r="E26" s="1049">
        <f t="shared" ref="E26:M26" si="40">E6-E25</f>
        <v>0</v>
      </c>
      <c r="F26" s="1049">
        <f t="shared" si="40"/>
        <v>0</v>
      </c>
      <c r="G26" s="1049">
        <f t="shared" si="40"/>
        <v>0</v>
      </c>
      <c r="H26" s="1049">
        <f t="shared" si="40"/>
        <v>0</v>
      </c>
      <c r="I26" s="1049">
        <f t="shared" si="40"/>
        <v>0</v>
      </c>
      <c r="J26" s="1049">
        <f t="shared" si="40"/>
        <v>0.36400000000000077</v>
      </c>
      <c r="K26" s="1049">
        <f t="shared" si="40"/>
        <v>0.36400000000000077</v>
      </c>
      <c r="L26" s="1049">
        <f t="shared" si="40"/>
        <v>0.36400000000000077</v>
      </c>
      <c r="M26" s="1049">
        <f t="shared" si="40"/>
        <v>0.36400000000000077</v>
      </c>
    </row>
    <row r="27" spans="1:23" x14ac:dyDescent="0.35">
      <c r="B27" s="1009" t="s">
        <v>829</v>
      </c>
      <c r="D27" s="83" t="s">
        <v>296</v>
      </c>
      <c r="E27" s="83" t="s">
        <v>180</v>
      </c>
      <c r="F27" s="83" t="s">
        <v>181</v>
      </c>
      <c r="G27" s="83" t="s">
        <v>182</v>
      </c>
      <c r="H27" s="83" t="s">
        <v>183</v>
      </c>
      <c r="I27" s="83" t="s">
        <v>184</v>
      </c>
      <c r="J27" s="83" t="s">
        <v>185</v>
      </c>
      <c r="K27" s="83" t="s">
        <v>186</v>
      </c>
      <c r="L27" s="83" t="s">
        <v>187</v>
      </c>
      <c r="M27" s="83" t="s">
        <v>188</v>
      </c>
      <c r="N27" s="83" t="s">
        <v>189</v>
      </c>
      <c r="O27" s="83" t="s">
        <v>190</v>
      </c>
      <c r="P27" s="83" t="s">
        <v>191</v>
      </c>
      <c r="Q27" s="83" t="s">
        <v>175</v>
      </c>
      <c r="R27" s="83" t="s">
        <v>176</v>
      </c>
      <c r="S27" s="83" t="s">
        <v>177</v>
      </c>
      <c r="T27" s="83" t="s">
        <v>820</v>
      </c>
      <c r="U27" s="83" t="s">
        <v>821</v>
      </c>
      <c r="V27" s="83" t="s">
        <v>822</v>
      </c>
    </row>
    <row r="28" spans="1:23" x14ac:dyDescent="0.35">
      <c r="B28" s="33"/>
      <c r="C28" s="1049" t="s">
        <v>359</v>
      </c>
      <c r="D28" s="1051">
        <f>SUM(D29:D43)</f>
        <v>5.8765000000000009</v>
      </c>
      <c r="E28" s="1051">
        <f t="shared" ref="E28:V28" si="41">SUM(E29:E43)</f>
        <v>11.753000000000002</v>
      </c>
      <c r="F28" s="1051">
        <f t="shared" si="41"/>
        <v>15.762320000000003</v>
      </c>
      <c r="G28" s="1051">
        <f t="shared" si="41"/>
        <v>19.771640000000005</v>
      </c>
      <c r="H28" s="1051">
        <f t="shared" si="41"/>
        <v>23.812229000000006</v>
      </c>
      <c r="I28" s="1051">
        <f t="shared" si="41"/>
        <v>27.852818000000006</v>
      </c>
      <c r="J28" s="1051">
        <f t="shared" si="41"/>
        <v>30.517977000000005</v>
      </c>
      <c r="K28" s="1051">
        <f t="shared" si="41"/>
        <v>33.183136000000005</v>
      </c>
      <c r="L28" s="1051">
        <f t="shared" si="41"/>
        <v>36.260924000000003</v>
      </c>
      <c r="M28" s="1051">
        <f t="shared" si="41"/>
        <v>39.338711999999994</v>
      </c>
      <c r="N28" s="1051">
        <f t="shared" si="41"/>
        <v>40.928439999999995</v>
      </c>
      <c r="O28" s="1051">
        <f t="shared" si="41"/>
        <v>42.518167999999996</v>
      </c>
      <c r="P28" s="1051">
        <f t="shared" si="41"/>
        <v>44.428388999999996</v>
      </c>
      <c r="Q28" s="1051">
        <f t="shared" si="41"/>
        <v>46.338610000000003</v>
      </c>
      <c r="R28" s="1051">
        <f t="shared" si="41"/>
        <v>47.279744500000007</v>
      </c>
      <c r="S28" s="1051">
        <f t="shared" si="41"/>
        <v>46.283419000000009</v>
      </c>
      <c r="T28" s="1051">
        <f t="shared" si="41"/>
        <v>45.578489500000011</v>
      </c>
      <c r="U28" s="1051">
        <f t="shared" si="41"/>
        <v>45.454798000000011</v>
      </c>
      <c r="V28" s="1051">
        <f t="shared" si="41"/>
        <v>45.360580000000013</v>
      </c>
    </row>
    <row r="29" spans="1:23" x14ac:dyDescent="0.35">
      <c r="A29" s="1009">
        <v>2021</v>
      </c>
      <c r="B29" s="33" t="s">
        <v>830</v>
      </c>
      <c r="C29" s="1049"/>
      <c r="D29" s="1009">
        <f>($D$9+$D$10)*'ARP Timing'!B$16</f>
        <v>5.8765000000000009</v>
      </c>
      <c r="E29" s="1009">
        <f>($D$9+$D$10)*'ARP Timing'!C$16</f>
        <v>5.8765000000000009</v>
      </c>
      <c r="F29" s="1009">
        <f>($D$9+$D$10)*'ARP Timing'!D$16</f>
        <v>4.11355</v>
      </c>
      <c r="G29" s="1009">
        <f>($D$9+$D$10)*'ARP Timing'!E$16</f>
        <v>4.11355</v>
      </c>
      <c r="H29" s="1009">
        <f>($D$9+$D$10)*'ARP Timing'!F$16</f>
        <v>4.11355</v>
      </c>
      <c r="I29" s="1009">
        <f>($D$9+$D$10)*'ARP Timing'!G$16</f>
        <v>4.11355</v>
      </c>
      <c r="J29" s="1009">
        <f>($D$9+$D$10)*'ARP Timing'!H$16</f>
        <v>4.11355</v>
      </c>
      <c r="K29" s="1009">
        <f>($D$9+$D$10)*'ARP Timing'!I$16</f>
        <v>4.11355</v>
      </c>
      <c r="L29" s="1009">
        <f>($D$9+$D$10)*'ARP Timing'!J$16</f>
        <v>4.11355</v>
      </c>
      <c r="M29" s="1009">
        <f>($D$9+$D$10)*'ARP Timing'!K$16</f>
        <v>4.11355</v>
      </c>
      <c r="N29" s="1009">
        <f>($D$9+$D$10)*'ARP Timing'!L$16</f>
        <v>4.11355</v>
      </c>
      <c r="O29" s="1009">
        <f>($D$9+$D$10)*'ARP Timing'!M$16</f>
        <v>4.11355</v>
      </c>
      <c r="P29" s="1009">
        <f>($D$9+$D$10)*'ARP Timing'!N$16</f>
        <v>3.987625</v>
      </c>
      <c r="Q29" s="1009">
        <f>($D$9+$D$10)*'ARP Timing'!O$16</f>
        <v>3.987625</v>
      </c>
      <c r="R29" s="1009">
        <f>($D$9+$D$10)*'ARP Timing'!P$16</f>
        <v>3.987625</v>
      </c>
      <c r="S29" s="1009">
        <f>($D$9+$D$10)*'ARP Timing'!Q$16</f>
        <v>3.987625</v>
      </c>
      <c r="T29" s="1009">
        <f>($D$9+$D$10)*'ARP Timing'!R$16</f>
        <v>3.987625</v>
      </c>
      <c r="U29" s="1009">
        <f>($D$9+$D$10)*'ARP Timing'!S$16</f>
        <v>3.987625</v>
      </c>
      <c r="V29" s="1009">
        <f>($D$9+$D$10)*'ARP Timing'!T$16</f>
        <v>3.987625</v>
      </c>
    </row>
    <row r="30" spans="1:23" x14ac:dyDescent="0.35">
      <c r="B30" s="33" t="s">
        <v>378</v>
      </c>
      <c r="C30" s="1049"/>
      <c r="E30" s="1009">
        <f>($E$9+$E$10)*'ARP Timing'!B$16</f>
        <v>5.8765000000000009</v>
      </c>
      <c r="F30" s="1009">
        <f>($E$9+$E$10)*'ARP Timing'!C$16</f>
        <v>5.8765000000000009</v>
      </c>
      <c r="G30" s="1009">
        <f>($E$9+$E$10)*'ARP Timing'!D$16</f>
        <v>4.11355</v>
      </c>
      <c r="H30" s="1009">
        <f>($E$9+$E$10)*'ARP Timing'!E$16</f>
        <v>4.11355</v>
      </c>
      <c r="I30" s="1009">
        <f>($E$9+$E$10)*'ARP Timing'!F$16</f>
        <v>4.11355</v>
      </c>
      <c r="J30" s="1009">
        <f>($E$9+$E$10)*'ARP Timing'!G$16</f>
        <v>4.11355</v>
      </c>
      <c r="K30" s="1009">
        <f>($E$9+$E$10)*'ARP Timing'!H$16</f>
        <v>4.11355</v>
      </c>
      <c r="L30" s="1009">
        <f>($E$9+$E$10)*'ARP Timing'!I$16</f>
        <v>4.11355</v>
      </c>
      <c r="M30" s="1009">
        <f>($E$9+$E$10)*'ARP Timing'!J$16</f>
        <v>4.11355</v>
      </c>
      <c r="N30" s="1009">
        <f>($E$9+$E$10)*'ARP Timing'!K$16</f>
        <v>4.11355</v>
      </c>
      <c r="O30" s="1009">
        <f>($E$9+$E$10)*'ARP Timing'!L$16</f>
        <v>4.11355</v>
      </c>
      <c r="P30" s="1009">
        <f>($E$9+$E$10)*'ARP Timing'!M$16</f>
        <v>4.11355</v>
      </c>
      <c r="Q30" s="1009">
        <f>($E$9+$E$10)*'ARP Timing'!N$16</f>
        <v>3.987625</v>
      </c>
      <c r="R30" s="1009">
        <f>($E$9+$E$10)*'ARP Timing'!O$16</f>
        <v>3.987625</v>
      </c>
      <c r="S30" s="1009">
        <f>($E$9+$E$10)*'ARP Timing'!P$16</f>
        <v>3.987625</v>
      </c>
      <c r="T30" s="1009">
        <f>($E$9+$E$10)*'ARP Timing'!Q$16</f>
        <v>3.987625</v>
      </c>
      <c r="U30" s="1009">
        <f>($E$9+$E$10)*'ARP Timing'!R$16</f>
        <v>3.987625</v>
      </c>
      <c r="V30" s="1009">
        <f>($E$9+$E$10)*'ARP Timing'!S$16</f>
        <v>3.987625</v>
      </c>
    </row>
    <row r="31" spans="1:23" x14ac:dyDescent="0.35">
      <c r="B31" s="33" t="s">
        <v>831</v>
      </c>
      <c r="C31" s="1049"/>
      <c r="F31" s="1009">
        <f>($F$9+$F$10)*'ARP Timing'!B$16</f>
        <v>5.7722700000000016</v>
      </c>
      <c r="G31" s="1009">
        <f>($F$9+$F$10)*'ARP Timing'!C$16</f>
        <v>5.7722700000000016</v>
      </c>
      <c r="H31" s="1009">
        <f>($F$9+$F$10)*'ARP Timing'!D$16</f>
        <v>4.0405890000000007</v>
      </c>
      <c r="I31" s="1009">
        <f>($F$9+$F$10)*'ARP Timing'!E$16</f>
        <v>4.0405890000000007</v>
      </c>
      <c r="J31" s="1009">
        <f>($F$9+$F$10)*'ARP Timing'!F$16</f>
        <v>4.0405890000000007</v>
      </c>
      <c r="K31" s="1009">
        <f>($F$9+$F$10)*'ARP Timing'!G$16</f>
        <v>4.0405890000000007</v>
      </c>
      <c r="L31" s="1009">
        <f>($F$9+$F$10)*'ARP Timing'!H$16</f>
        <v>4.0405890000000007</v>
      </c>
      <c r="M31" s="1009">
        <f>($F$9+$F$10)*'ARP Timing'!I$16</f>
        <v>4.0405890000000007</v>
      </c>
      <c r="N31" s="1009">
        <f>($F$9+$F$10)*'ARP Timing'!J$16</f>
        <v>4.0405890000000007</v>
      </c>
      <c r="O31" s="1009">
        <f>($F$9+$F$10)*'ARP Timing'!K$16</f>
        <v>4.0405890000000007</v>
      </c>
      <c r="P31" s="1009">
        <f>($F$9+$F$10)*'ARP Timing'!L$16</f>
        <v>4.0405890000000007</v>
      </c>
      <c r="Q31" s="1009">
        <f>($F$9+$F$10)*'ARP Timing'!M$16</f>
        <v>4.0405890000000007</v>
      </c>
      <c r="R31" s="1009">
        <f>($F$9+$F$10)*'ARP Timing'!N$16</f>
        <v>3.9168975000000006</v>
      </c>
      <c r="S31" s="1009">
        <f>($F$9+$F$10)*'ARP Timing'!O$16</f>
        <v>3.9168975000000006</v>
      </c>
      <c r="T31" s="1009">
        <f>($F$9+$F$10)*'ARP Timing'!P$16</f>
        <v>3.9168975000000006</v>
      </c>
      <c r="U31" s="1009">
        <f>($F$9+$F$10)*'ARP Timing'!Q$16</f>
        <v>3.9168975000000006</v>
      </c>
      <c r="V31" s="1009">
        <f>($F$9+$F$10)*'ARP Timing'!R$16</f>
        <v>3.9168975000000006</v>
      </c>
    </row>
    <row r="32" spans="1:23" x14ac:dyDescent="0.35">
      <c r="A32" s="1009">
        <v>2022</v>
      </c>
      <c r="B32" s="33" t="s">
        <v>247</v>
      </c>
      <c r="C32" s="1049"/>
      <c r="G32" s="1009">
        <f>($G$9+$G$10)*'ARP Timing'!B$16</f>
        <v>5.7722700000000016</v>
      </c>
      <c r="H32" s="1009">
        <f>($G$9+$G$10)*'ARP Timing'!C$16</f>
        <v>5.7722700000000016</v>
      </c>
      <c r="I32" s="1009">
        <f>($G$9+$G$10)*'ARP Timing'!D$16</f>
        <v>4.0405890000000007</v>
      </c>
      <c r="J32" s="1009">
        <f>($G$9+$G$10)*'ARP Timing'!E$16</f>
        <v>4.0405890000000007</v>
      </c>
      <c r="K32" s="1009">
        <f>($G$9+$G$10)*'ARP Timing'!F$16</f>
        <v>4.0405890000000007</v>
      </c>
      <c r="L32" s="1009">
        <f>($G$9+$G$10)*'ARP Timing'!G$16</f>
        <v>4.0405890000000007</v>
      </c>
      <c r="M32" s="1009">
        <f>($G$9+$G$10)*'ARP Timing'!H$16</f>
        <v>4.0405890000000007</v>
      </c>
      <c r="N32" s="1009">
        <f>($G$9+$G$10)*'ARP Timing'!I$16</f>
        <v>4.0405890000000007</v>
      </c>
      <c r="O32" s="1009">
        <f>($G$9+$G$10)*'ARP Timing'!J$16</f>
        <v>4.0405890000000007</v>
      </c>
      <c r="P32" s="1009">
        <f>($G$9+$G$10)*'ARP Timing'!K$16</f>
        <v>4.0405890000000007</v>
      </c>
      <c r="Q32" s="1009">
        <f>($G$9+$G$10)*'ARP Timing'!L$16</f>
        <v>4.0405890000000007</v>
      </c>
      <c r="R32" s="1009">
        <f>($G$9+$G$10)*'ARP Timing'!M$16</f>
        <v>4.0405890000000007</v>
      </c>
      <c r="S32" s="1009">
        <f>($G$9+$G$10)*'ARP Timing'!N$16</f>
        <v>3.9168975000000006</v>
      </c>
      <c r="T32" s="1009">
        <f>($G$9+$G$10)*'ARP Timing'!O$16</f>
        <v>3.9168975000000006</v>
      </c>
      <c r="U32" s="1009">
        <f>($G$9+$G$10)*'ARP Timing'!P$16</f>
        <v>3.9168975000000006</v>
      </c>
      <c r="V32" s="1009">
        <f>($G$9+$G$10)*'ARP Timing'!Q$16</f>
        <v>3.9168975000000006</v>
      </c>
    </row>
    <row r="33" spans="1:23" x14ac:dyDescent="0.35">
      <c r="B33" s="33" t="s">
        <v>248</v>
      </c>
      <c r="C33" s="1049"/>
      <c r="H33" s="1009">
        <f>($H$9+$H$10)*'ARP Timing'!B$16</f>
        <v>5.7722700000000016</v>
      </c>
      <c r="I33" s="1009">
        <f>($H$9+$H$10)*'ARP Timing'!C$16</f>
        <v>5.7722700000000016</v>
      </c>
      <c r="J33" s="1009">
        <f>($H$9+$H$10)*'ARP Timing'!D$16</f>
        <v>4.0405890000000007</v>
      </c>
      <c r="K33" s="1009">
        <f>($H$9+$H$10)*'ARP Timing'!E$16</f>
        <v>4.0405890000000007</v>
      </c>
      <c r="L33" s="1009">
        <f>($H$9+$H$10)*'ARP Timing'!F$16</f>
        <v>4.0405890000000007</v>
      </c>
      <c r="M33" s="1009">
        <f>($H$9+$H$10)*'ARP Timing'!G$16</f>
        <v>4.0405890000000007</v>
      </c>
      <c r="N33" s="1009">
        <f>($H$9+$H$10)*'ARP Timing'!H$16</f>
        <v>4.0405890000000007</v>
      </c>
      <c r="O33" s="1009">
        <f>($H$9+$H$10)*'ARP Timing'!I$16</f>
        <v>4.0405890000000007</v>
      </c>
      <c r="P33" s="1009">
        <f>($H$9+$H$10)*'ARP Timing'!J$16</f>
        <v>4.0405890000000007</v>
      </c>
      <c r="Q33" s="1009">
        <f>($H$9+$H$10)*'ARP Timing'!K$16</f>
        <v>4.0405890000000007</v>
      </c>
      <c r="R33" s="1009">
        <f>($H$9+$H$10)*'ARP Timing'!L$16</f>
        <v>4.0405890000000007</v>
      </c>
      <c r="S33" s="1009">
        <f>($H$9+$H$10)*'ARP Timing'!M$16</f>
        <v>4.0405890000000007</v>
      </c>
      <c r="T33" s="1009">
        <f>($H$9+$H$10)*'ARP Timing'!N$16</f>
        <v>3.9168975000000006</v>
      </c>
      <c r="U33" s="1009">
        <f>($H$9+$H$10)*'ARP Timing'!O$16</f>
        <v>3.9168975000000006</v>
      </c>
      <c r="V33" s="1009">
        <f>($H$9+$H$10)*'ARP Timing'!P$16</f>
        <v>3.9168975000000006</v>
      </c>
    </row>
    <row r="34" spans="1:23" x14ac:dyDescent="0.35">
      <c r="B34" s="33" t="s">
        <v>378</v>
      </c>
      <c r="C34" s="1049"/>
      <c r="H34" s="1049"/>
      <c r="I34" s="1009">
        <f>($I$9+$I10)*'ARP Timing'!B$16</f>
        <v>5.7722700000000016</v>
      </c>
      <c r="J34" s="1009">
        <f>($I$9+$I10)*'ARP Timing'!C$16</f>
        <v>5.7722700000000016</v>
      </c>
      <c r="K34" s="1009">
        <f>($I$9+$I10)*'ARP Timing'!D$16</f>
        <v>4.0405890000000007</v>
      </c>
      <c r="L34" s="1009">
        <f>($I$9+$I10)*'ARP Timing'!E$16</f>
        <v>4.0405890000000007</v>
      </c>
      <c r="M34" s="1009">
        <f>($I$9+$I10)*'ARP Timing'!F$16</f>
        <v>4.0405890000000007</v>
      </c>
      <c r="N34" s="1009">
        <f>($I$9+$I10)*'ARP Timing'!G$16</f>
        <v>4.0405890000000007</v>
      </c>
      <c r="O34" s="1009">
        <f>($I$9+$I10)*'ARP Timing'!H$16</f>
        <v>4.0405890000000007</v>
      </c>
      <c r="P34" s="1009">
        <f>($I$9+$I10)*'ARP Timing'!I$16</f>
        <v>4.0405890000000007</v>
      </c>
      <c r="Q34" s="1009">
        <f>($I$9+$I10)*'ARP Timing'!J$16</f>
        <v>4.0405890000000007</v>
      </c>
      <c r="R34" s="1009">
        <f>($I$9+$I10)*'ARP Timing'!K$16</f>
        <v>4.0405890000000007</v>
      </c>
      <c r="S34" s="1009">
        <f>($I$9+$I10)*'ARP Timing'!L$16</f>
        <v>4.0405890000000007</v>
      </c>
      <c r="T34" s="1009">
        <f>($I$9+$I10)*'ARP Timing'!M$16</f>
        <v>4.0405890000000007</v>
      </c>
      <c r="U34" s="1009">
        <f>($I$9+$I10)*'ARP Timing'!N$16</f>
        <v>3.9168975000000006</v>
      </c>
      <c r="V34" s="1009">
        <f>($I$9+$I10)*'ARP Timing'!O$16</f>
        <v>3.9168975000000006</v>
      </c>
    </row>
    <row r="35" spans="1:23" x14ac:dyDescent="0.35">
      <c r="B35" s="33" t="s">
        <v>831</v>
      </c>
      <c r="C35" s="1049"/>
      <c r="H35" s="1049"/>
      <c r="J35" s="1009">
        <f>($J$9+$J$10)*'ARP Timing'!B$16</f>
        <v>4.3968400000000001</v>
      </c>
      <c r="K35" s="1009">
        <f>($J$9+$J$10)*'ARP Timing'!C$16</f>
        <v>4.3968400000000001</v>
      </c>
      <c r="L35" s="1009">
        <f>($J$9+$J$10)*'ARP Timing'!D$16</f>
        <v>3.077788</v>
      </c>
      <c r="M35" s="1009">
        <f>($J$9+$J$10)*'ARP Timing'!E$16</f>
        <v>3.077788</v>
      </c>
      <c r="N35" s="1009">
        <f>($J$9+$J$10)*'ARP Timing'!F$16</f>
        <v>3.077788</v>
      </c>
      <c r="O35" s="1009">
        <f>($J$9+$J$10)*'ARP Timing'!G$16</f>
        <v>3.077788</v>
      </c>
      <c r="P35" s="1009">
        <f>($J$9+$J$10)*'ARP Timing'!H$16</f>
        <v>3.077788</v>
      </c>
      <c r="Q35" s="1009">
        <f>($J$9+$J$10)*'ARP Timing'!I$16</f>
        <v>3.077788</v>
      </c>
      <c r="R35" s="1009">
        <f>($J$9+$J$10)*'ARP Timing'!J$16</f>
        <v>3.077788</v>
      </c>
      <c r="S35" s="1009">
        <f>($J$9+$J$10)*'ARP Timing'!K$16</f>
        <v>3.077788</v>
      </c>
      <c r="T35" s="1009">
        <f>($J$9+$J$10)*'ARP Timing'!L$16</f>
        <v>3.077788</v>
      </c>
      <c r="U35" s="1009">
        <f>($J$9+$J$10)*'ARP Timing'!M$16</f>
        <v>3.077788</v>
      </c>
      <c r="V35" s="1009">
        <f>($J$9+$J$10)*'ARP Timing'!N$16</f>
        <v>2.9835699999999998</v>
      </c>
    </row>
    <row r="36" spans="1:23" x14ac:dyDescent="0.35">
      <c r="A36" s="1009">
        <v>2023</v>
      </c>
      <c r="B36" s="33" t="s">
        <v>247</v>
      </c>
      <c r="C36" s="1049"/>
      <c r="H36" s="1049"/>
      <c r="K36" s="1009">
        <f>($K$9+$K$10)*'ARP Timing'!B$16</f>
        <v>4.3968400000000001</v>
      </c>
      <c r="L36" s="1009">
        <f>($K$9+$K$10)*'ARP Timing'!C$16</f>
        <v>4.3968400000000001</v>
      </c>
      <c r="M36" s="1009">
        <f>($K$9+$K$10)*'ARP Timing'!D$16</f>
        <v>3.077788</v>
      </c>
      <c r="N36" s="1009">
        <f>($K$9+$K$10)*'ARP Timing'!E$16</f>
        <v>3.077788</v>
      </c>
      <c r="O36" s="1009">
        <f>($K$9+$K$10)*'ARP Timing'!F$16</f>
        <v>3.077788</v>
      </c>
      <c r="P36" s="1009">
        <f>($K$9+$K$10)*'ARP Timing'!G$16</f>
        <v>3.077788</v>
      </c>
      <c r="Q36" s="1009">
        <f>($K$9+$K$10)*'ARP Timing'!H$16</f>
        <v>3.077788</v>
      </c>
      <c r="R36" s="1009">
        <f>($K$9+$K$10)*'ARP Timing'!I$16</f>
        <v>3.077788</v>
      </c>
      <c r="S36" s="1009">
        <f>($K$9+$K$10)*'ARP Timing'!J$16</f>
        <v>3.077788</v>
      </c>
      <c r="T36" s="1009">
        <f>($K$9+$K$10)*'ARP Timing'!K$16</f>
        <v>3.077788</v>
      </c>
      <c r="U36" s="1009">
        <f>($K$9+$K$10)*'ARP Timing'!L$16</f>
        <v>3.077788</v>
      </c>
      <c r="V36" s="1009">
        <f>($K$9+$K$10)*'ARP Timing'!M$16</f>
        <v>3.077788</v>
      </c>
    </row>
    <row r="37" spans="1:23" x14ac:dyDescent="0.35">
      <c r="B37" s="33" t="s">
        <v>248</v>
      </c>
      <c r="C37" s="1049"/>
      <c r="H37" s="1049"/>
      <c r="L37" s="1009">
        <f>($L$9+$L$10)*'ARP Timing'!B$16</f>
        <v>4.3968400000000001</v>
      </c>
      <c r="M37" s="1009">
        <f>($L$9+$L$10)*'ARP Timing'!C$16</f>
        <v>4.3968400000000001</v>
      </c>
      <c r="N37" s="1009">
        <f>($L$9+$L$10)*'ARP Timing'!D$16</f>
        <v>3.077788</v>
      </c>
      <c r="O37" s="1009">
        <f>($L$9+$L$10)*'ARP Timing'!E$16</f>
        <v>3.077788</v>
      </c>
      <c r="P37" s="1009">
        <f>($L$9+$L$10)*'ARP Timing'!F$16</f>
        <v>3.077788</v>
      </c>
      <c r="Q37" s="1009">
        <f>($L$9+$L$10)*'ARP Timing'!G$16</f>
        <v>3.077788</v>
      </c>
      <c r="R37" s="1009">
        <f>($L$9+$L$10)*'ARP Timing'!H$16</f>
        <v>3.077788</v>
      </c>
      <c r="S37" s="1009">
        <f>($L$9+$L$10)*'ARP Timing'!I$16</f>
        <v>3.077788</v>
      </c>
      <c r="T37" s="1009">
        <f>($L$9+$L$10)*'ARP Timing'!J$16</f>
        <v>3.077788</v>
      </c>
      <c r="U37" s="1009">
        <f>($L$9+$L$10)*'ARP Timing'!K$16</f>
        <v>3.077788</v>
      </c>
      <c r="V37" s="1009">
        <f>($L$9+$L$10)*'ARP Timing'!L$16</f>
        <v>3.077788</v>
      </c>
    </row>
    <row r="38" spans="1:23" x14ac:dyDescent="0.35">
      <c r="B38" s="33" t="s">
        <v>378</v>
      </c>
      <c r="C38" s="1049"/>
      <c r="H38" s="1049"/>
      <c r="M38" s="1009">
        <f>($M$9+$M$10)*'ARP Timing'!B$16</f>
        <v>4.3968400000000001</v>
      </c>
      <c r="N38" s="1009">
        <f>($M$9+$M$10)*'ARP Timing'!C$16</f>
        <v>4.3968400000000001</v>
      </c>
      <c r="O38" s="1009">
        <f>($M$9+$M$10)*'ARP Timing'!D$16</f>
        <v>3.077788</v>
      </c>
      <c r="P38" s="1009">
        <f>($M$9+$M$10)*'ARP Timing'!E$16</f>
        <v>3.077788</v>
      </c>
      <c r="Q38" s="1009">
        <f>($M$9+$M$10)*'ARP Timing'!F$16</f>
        <v>3.077788</v>
      </c>
      <c r="R38" s="1009">
        <f>($M$9+$M$10)*'ARP Timing'!G$16</f>
        <v>3.077788</v>
      </c>
      <c r="S38" s="1009">
        <f>($M$9+$M$10)*'ARP Timing'!H$16</f>
        <v>3.077788</v>
      </c>
      <c r="T38" s="1009">
        <f>($M$9+$M$10)*'ARP Timing'!I$16</f>
        <v>3.077788</v>
      </c>
      <c r="U38" s="1009">
        <f>($M$9+$M$10)*'ARP Timing'!J$16</f>
        <v>3.077788</v>
      </c>
      <c r="V38" s="1009">
        <f>($M$9+$M$10)*'ARP Timing'!K$16</f>
        <v>3.077788</v>
      </c>
    </row>
    <row r="39" spans="1:23" x14ac:dyDescent="0.35">
      <c r="B39" s="33" t="s">
        <v>831</v>
      </c>
      <c r="C39" s="1049"/>
      <c r="H39" s="1049"/>
      <c r="N39" s="1009">
        <f>($N$9+$N$10)*'ARP Timing'!B$16</f>
        <v>2.9087800000000006</v>
      </c>
      <c r="O39" s="1009">
        <f>($N$9+$N$10)*'ARP Timing'!C$16</f>
        <v>2.9087800000000006</v>
      </c>
      <c r="P39" s="1009">
        <f>($N$9+$N$10)*'ARP Timing'!D$16</f>
        <v>2.036146</v>
      </c>
      <c r="Q39" s="1009">
        <f>($N$9+$N$10)*'ARP Timing'!E$16</f>
        <v>2.036146</v>
      </c>
      <c r="R39" s="1009">
        <f>($N$9+$N$10)*'ARP Timing'!F$16</f>
        <v>2.036146</v>
      </c>
      <c r="S39" s="1009">
        <f>($N$9+$N$10)*'ARP Timing'!G$16</f>
        <v>2.036146</v>
      </c>
      <c r="T39" s="1009">
        <f>($N$9+$N$10)*'ARP Timing'!H$16</f>
        <v>2.036146</v>
      </c>
      <c r="U39" s="1009">
        <f>($N$9+$N$10)*'ARP Timing'!I$16</f>
        <v>2.036146</v>
      </c>
      <c r="V39" s="1009">
        <f>($N$9+$N$10)*'ARP Timing'!J$16</f>
        <v>2.036146</v>
      </c>
    </row>
    <row r="40" spans="1:23" x14ac:dyDescent="0.35">
      <c r="A40" s="1009">
        <v>2024</v>
      </c>
      <c r="B40" s="33" t="s">
        <v>247</v>
      </c>
      <c r="C40" s="1049"/>
      <c r="H40" s="1049"/>
      <c r="O40" s="1009">
        <f>($O$9+$O$10)*'ARP Timing'!B$16</f>
        <v>2.9087800000000006</v>
      </c>
      <c r="P40" s="1009">
        <f>($O$9+$O$10)*'ARP Timing'!C$16</f>
        <v>2.9087800000000006</v>
      </c>
      <c r="Q40" s="1009">
        <f>($O$9+$O$10)*'ARP Timing'!D$16</f>
        <v>2.036146</v>
      </c>
      <c r="R40" s="1009">
        <f>($O$9+$O$10)*'ARP Timing'!E$16</f>
        <v>2.036146</v>
      </c>
      <c r="S40" s="1009">
        <f>($O$9+$O$10)*'ARP Timing'!F$16</f>
        <v>2.036146</v>
      </c>
      <c r="T40" s="1009">
        <f>($O$9+$O$10)*'ARP Timing'!G$16</f>
        <v>2.036146</v>
      </c>
      <c r="U40" s="1009">
        <f>($O$9+$O$10)*'ARP Timing'!H$16</f>
        <v>2.036146</v>
      </c>
      <c r="V40" s="1009">
        <f>($O$9+$O$10)*'ARP Timing'!I$16</f>
        <v>2.036146</v>
      </c>
    </row>
    <row r="41" spans="1:23" x14ac:dyDescent="0.35">
      <c r="B41" s="33" t="s">
        <v>248</v>
      </c>
      <c r="C41" s="1049"/>
      <c r="H41" s="1049"/>
      <c r="P41" s="1009">
        <f>($P$9+$P$10)*'ARP Timing'!B$16</f>
        <v>2.9087800000000006</v>
      </c>
      <c r="Q41" s="1009">
        <f>($P$9+$P$10)*'ARP Timing'!C$16</f>
        <v>2.9087800000000006</v>
      </c>
      <c r="R41" s="1009">
        <f>($P$9+$P$10)*'ARP Timing'!D$16</f>
        <v>2.036146</v>
      </c>
      <c r="S41" s="1009">
        <f>($P$9+$P$10)*'ARP Timing'!E$16</f>
        <v>2.036146</v>
      </c>
      <c r="T41" s="1009">
        <f>($P$9+$P$10)*'ARP Timing'!F$16</f>
        <v>2.036146</v>
      </c>
      <c r="U41" s="1009">
        <f>($P$9+$P$10)*'ARP Timing'!G$16</f>
        <v>2.036146</v>
      </c>
      <c r="V41" s="1009">
        <f>($P$9+$P$10)*'ARP Timing'!H$16</f>
        <v>2.036146</v>
      </c>
    </row>
    <row r="42" spans="1:23" x14ac:dyDescent="0.35">
      <c r="B42" s="33" t="s">
        <v>378</v>
      </c>
      <c r="C42" s="1049"/>
      <c r="H42" s="1049"/>
      <c r="Q42" s="1009">
        <f>($Q$9+$Q$10)*'ARP Timing'!B$16</f>
        <v>2.9087800000000006</v>
      </c>
      <c r="R42" s="1009">
        <f>($Q$9+$Q$10)*'ARP Timing'!C$16</f>
        <v>2.9087800000000006</v>
      </c>
      <c r="S42" s="1009">
        <f>($Q$9+$Q$10)*'ARP Timing'!D$16</f>
        <v>2.036146</v>
      </c>
      <c r="T42" s="1009">
        <f>($Q$9+$Q$10)*'ARP Timing'!E$16</f>
        <v>2.036146</v>
      </c>
      <c r="U42" s="1009">
        <f>($Q$9+$Q$10)*'ARP Timing'!F$16</f>
        <v>2.036146</v>
      </c>
      <c r="V42" s="1009">
        <f>($Q$9+$Q$10)*'ARP Timing'!G$16</f>
        <v>2.036146</v>
      </c>
    </row>
    <row r="43" spans="1:23" x14ac:dyDescent="0.35">
      <c r="B43" s="33" t="s">
        <v>831</v>
      </c>
      <c r="C43" s="1049"/>
      <c r="H43" s="1049"/>
      <c r="R43" s="1009">
        <f>($R$9+$R$10)*'ARP Timing'!B$16</f>
        <v>1.9374600000000002</v>
      </c>
      <c r="S43" s="1009">
        <f>($R$9+$R$10)*'ARP Timing'!C$16</f>
        <v>1.9374600000000002</v>
      </c>
      <c r="T43" s="1009">
        <f>($R$9+$R$10)*'ARP Timing'!D$16</f>
        <v>1.356222</v>
      </c>
      <c r="U43" s="1009">
        <f>($R$9+$R$10)*'ARP Timing'!E$16</f>
        <v>1.356222</v>
      </c>
      <c r="V43" s="1009">
        <f>($R$9+$R$10)*'ARP Timing'!F$16</f>
        <v>1.356222</v>
      </c>
    </row>
    <row r="44" spans="1:23" x14ac:dyDescent="0.35">
      <c r="S44" s="1009">
        <f>($S$9+$S$10)*'ARP Timing'!B$16</f>
        <v>1.9374600000000002</v>
      </c>
      <c r="T44" s="1009">
        <f>($S$9+$S$10)*'ARP Timing'!C$16</f>
        <v>1.9374600000000002</v>
      </c>
      <c r="U44" s="1009">
        <f>($S$9+$S$10)*'ARP Timing'!D$16</f>
        <v>1.356222</v>
      </c>
      <c r="V44" s="1009">
        <f>($S$9+$S$10)*'ARP Timing'!E$16</f>
        <v>1.356222</v>
      </c>
    </row>
    <row r="46" spans="1:23" x14ac:dyDescent="0.35">
      <c r="B46" s="1009" t="s">
        <v>832</v>
      </c>
      <c r="D46" s="83" t="s">
        <v>296</v>
      </c>
      <c r="E46" s="83" t="s">
        <v>180</v>
      </c>
      <c r="F46" s="83" t="s">
        <v>181</v>
      </c>
      <c r="G46" s="83" t="s">
        <v>182</v>
      </c>
      <c r="H46" s="83" t="s">
        <v>183</v>
      </c>
      <c r="I46" s="83" t="s">
        <v>184</v>
      </c>
      <c r="J46" s="83" t="s">
        <v>185</v>
      </c>
      <c r="K46" s="83" t="s">
        <v>186</v>
      </c>
      <c r="L46" s="83" t="s">
        <v>187</v>
      </c>
      <c r="M46" s="83" t="s">
        <v>188</v>
      </c>
      <c r="N46" s="83" t="s">
        <v>189</v>
      </c>
      <c r="O46" s="83" t="s">
        <v>190</v>
      </c>
      <c r="P46" s="83" t="s">
        <v>191</v>
      </c>
      <c r="Q46" s="83" t="s">
        <v>175</v>
      </c>
      <c r="R46" s="83" t="s">
        <v>176</v>
      </c>
      <c r="S46" s="83" t="s">
        <v>177</v>
      </c>
      <c r="T46" s="83" t="s">
        <v>820</v>
      </c>
      <c r="U46" s="83" t="s">
        <v>821</v>
      </c>
      <c r="V46" s="83" t="s">
        <v>822</v>
      </c>
    </row>
    <row r="47" spans="1:23" x14ac:dyDescent="0.35">
      <c r="B47" s="33"/>
      <c r="C47" s="1049" t="s">
        <v>359</v>
      </c>
      <c r="D47" s="1051">
        <f t="shared" ref="D47:U47" si="42">SUM(D48:D66)</f>
        <v>0</v>
      </c>
      <c r="E47" s="1051">
        <f t="shared" si="42"/>
        <v>0</v>
      </c>
      <c r="F47" s="1051">
        <f t="shared" si="42"/>
        <v>34.620851999999999</v>
      </c>
      <c r="G47" s="1051">
        <f t="shared" si="42"/>
        <v>50.996274799999995</v>
      </c>
      <c r="H47" s="1051">
        <f t="shared" si="42"/>
        <v>69.350031999999999</v>
      </c>
      <c r="I47" s="1051">
        <f t="shared" si="42"/>
        <v>79.295867999999999</v>
      </c>
      <c r="J47" s="1051">
        <f t="shared" si="42"/>
        <v>80.538927999999999</v>
      </c>
      <c r="K47" s="1051">
        <f t="shared" si="42"/>
        <v>80.122543199999996</v>
      </c>
      <c r="L47" s="1051">
        <f t="shared" si="42"/>
        <v>88.916719999999998</v>
      </c>
      <c r="M47" s="1051">
        <f t="shared" si="42"/>
        <v>92.213943999999998</v>
      </c>
      <c r="N47" s="1051">
        <f t="shared" si="42"/>
        <v>92.213943999999998</v>
      </c>
      <c r="O47" s="1051">
        <f t="shared" si="42"/>
        <v>94.213943999999998</v>
      </c>
      <c r="P47" s="1051">
        <f t="shared" si="42"/>
        <v>98.916719999999998</v>
      </c>
      <c r="Q47" s="1051">
        <f t="shared" si="42"/>
        <v>98.916719999999998</v>
      </c>
      <c r="R47" s="1051">
        <f t="shared" si="42"/>
        <v>99.081581199999988</v>
      </c>
      <c r="S47" s="1051">
        <f t="shared" si="42"/>
        <v>93.146578000000005</v>
      </c>
      <c r="T47" s="1051">
        <f t="shared" si="42"/>
        <v>86.552129999999991</v>
      </c>
      <c r="U47" s="1051">
        <f t="shared" si="42"/>
        <v>86.552129999999991</v>
      </c>
      <c r="V47" s="1051">
        <f>SUM(V48:V66)</f>
        <v>82.265738799999994</v>
      </c>
      <c r="W47" s="1009">
        <f>SUM(G47:V47)/4</f>
        <v>343.32344900000004</v>
      </c>
    </row>
    <row r="48" spans="1:23" x14ac:dyDescent="0.35">
      <c r="A48" s="1009">
        <v>2021</v>
      </c>
      <c r="B48" s="33" t="s">
        <v>830</v>
      </c>
      <c r="C48" s="1049"/>
      <c r="D48" s="1009">
        <f>($D$8)*'ARP Timing'!B17</f>
        <v>0</v>
      </c>
      <c r="E48" s="1009">
        <f>($D$8)*'ARP Timing'!C17</f>
        <v>0</v>
      </c>
      <c r="F48" s="1009">
        <f>($D$8)*'ARP Timing'!D17</f>
        <v>34.620851999999999</v>
      </c>
      <c r="G48" s="1009">
        <f>($D$8)*'ARP Timing'!E17</f>
        <v>45.996274799999995</v>
      </c>
      <c r="H48" s="1009">
        <f>($D$8)*'ARP Timing'!F17</f>
        <v>59.350031999999992</v>
      </c>
      <c r="I48" s="1009">
        <f>($D$8)*'ARP Timing'!G17</f>
        <v>64.295867999999999</v>
      </c>
      <c r="J48" s="1009">
        <f>($D$8)*'ARP Timing'!H17</f>
        <v>49.458359999999999</v>
      </c>
      <c r="K48" s="1009">
        <f>($D$8)*'ARP Timing'!I17</f>
        <v>49.458359999999999</v>
      </c>
      <c r="L48" s="1009">
        <f>($D$8)*'ARP Timing'!J17</f>
        <v>59.350031999999992</v>
      </c>
      <c r="M48" s="1009">
        <f>($D$8)*'ARP Timing'!K17</f>
        <v>59.350031999999992</v>
      </c>
      <c r="N48" s="1009">
        <f>($D$8)*'ARP Timing'!L17</f>
        <v>69.241703999999999</v>
      </c>
      <c r="O48" s="1009">
        <f>($D$8)*'ARP Timing'!M17</f>
        <v>69.241703999999999</v>
      </c>
      <c r="P48" s="1009">
        <f>($D$8)*'ARP Timing'!N17</f>
        <v>59.350031999999992</v>
      </c>
      <c r="Q48" s="1009">
        <f>($D$8)*'ARP Timing'!O17</f>
        <v>59.350031999999992</v>
      </c>
      <c r="R48" s="1009">
        <f>($D$8)*'ARP Timing'!P17</f>
        <v>52.920445199999989</v>
      </c>
      <c r="S48" s="1009">
        <f>($D$8)*'ARP Timing'!Q17</f>
        <v>46.985441999999992</v>
      </c>
      <c r="T48" s="1009">
        <f>($D$8)*'ARP Timing'!R17</f>
        <v>46.985441999999992</v>
      </c>
      <c r="U48" s="1009">
        <f>($D$8)*'ARP Timing'!S17</f>
        <v>46.985441999999992</v>
      </c>
      <c r="V48" s="1009">
        <f>($D$8)*'ARP Timing'!T17</f>
        <v>46.985441999999992</v>
      </c>
    </row>
    <row r="49" spans="1:22" x14ac:dyDescent="0.35">
      <c r="B49" s="33" t="s">
        <v>378</v>
      </c>
      <c r="C49" s="1049"/>
      <c r="E49" s="1009">
        <f>($E$8)*'ARP Timing'!B$17</f>
        <v>0</v>
      </c>
      <c r="F49" s="1009">
        <f>($E$8)*'ARP Timing'!C$16</f>
        <v>0</v>
      </c>
      <c r="G49" s="1009">
        <f>($E$8)*'ARP Timing'!D$16</f>
        <v>0</v>
      </c>
      <c r="H49" s="1009">
        <f>($E$8)*'ARP Timing'!E$16</f>
        <v>0</v>
      </c>
      <c r="I49" s="1009">
        <f>($E$8)*'ARP Timing'!F$16</f>
        <v>0</v>
      </c>
      <c r="J49" s="1009">
        <f>($E$8)*'ARP Timing'!G$16</f>
        <v>0</v>
      </c>
      <c r="K49" s="1009">
        <f>($E$8)*'ARP Timing'!H$16</f>
        <v>0</v>
      </c>
      <c r="L49" s="1009">
        <f>($E$8)*'ARP Timing'!I$16</f>
        <v>0</v>
      </c>
      <c r="M49" s="1009">
        <f>($E$8)*'ARP Timing'!J$16</f>
        <v>0</v>
      </c>
      <c r="N49" s="1009">
        <f>($E$8)*'ARP Timing'!K$16</f>
        <v>0</v>
      </c>
      <c r="O49" s="1009">
        <f>($E$8)*'ARP Timing'!L$16</f>
        <v>0</v>
      </c>
      <c r="P49" s="1009">
        <f>($E$8)*'ARP Timing'!M$16</f>
        <v>0</v>
      </c>
      <c r="Q49" s="1009">
        <f>($E$8)*'ARP Timing'!N$16</f>
        <v>0</v>
      </c>
      <c r="R49" s="1009">
        <f>($E$8)*'ARP Timing'!O$16</f>
        <v>0</v>
      </c>
      <c r="S49" s="1009">
        <f>($E$8)*'ARP Timing'!P$16</f>
        <v>0</v>
      </c>
      <c r="T49" s="1009">
        <f>($E$8)*'ARP Timing'!Q$16</f>
        <v>0</v>
      </c>
      <c r="U49" s="1009">
        <f>($E$8)*'ARP Timing'!R$16</f>
        <v>0</v>
      </c>
      <c r="V49" s="1009">
        <f>($E$8)*'ARP Timing'!S$16</f>
        <v>0</v>
      </c>
    </row>
    <row r="50" spans="1:22" x14ac:dyDescent="0.35">
      <c r="B50" s="33" t="s">
        <v>831</v>
      </c>
      <c r="C50" s="1049"/>
      <c r="F50" s="1009">
        <f>($F$8)*'ARP Timing'!C$17</f>
        <v>0</v>
      </c>
      <c r="G50" s="1009">
        <f>($F$8)*'ARP Timing'!D$17</f>
        <v>0</v>
      </c>
      <c r="H50" s="1009">
        <f>($F$8)*'ARP Timing'!E$17</f>
        <v>0</v>
      </c>
      <c r="I50" s="1009">
        <f>($F$8)*'ARP Timing'!F$17</f>
        <v>0</v>
      </c>
      <c r="J50" s="1009">
        <f>($F$8)*'ARP Timing'!G$17</f>
        <v>0</v>
      </c>
      <c r="K50" s="1009">
        <f>($F$8)*'ARP Timing'!H$17</f>
        <v>0</v>
      </c>
      <c r="L50" s="1009">
        <f>($F$8)*'ARP Timing'!I$17</f>
        <v>0</v>
      </c>
      <c r="M50" s="1009">
        <f>($F$8)*'ARP Timing'!J$17</f>
        <v>0</v>
      </c>
      <c r="N50" s="1009">
        <f>($F$8)*'ARP Timing'!K$17</f>
        <v>0</v>
      </c>
      <c r="O50" s="1009">
        <f>($F$8)*'ARP Timing'!L$17</f>
        <v>0</v>
      </c>
      <c r="P50" s="1009">
        <f>($F$8)*'ARP Timing'!M$17</f>
        <v>0</v>
      </c>
      <c r="Q50" s="1009">
        <f>($F$8)*'ARP Timing'!N$17</f>
        <v>0</v>
      </c>
      <c r="R50" s="1009">
        <f>($F$8)*'ARP Timing'!O$17</f>
        <v>0</v>
      </c>
      <c r="S50" s="1009">
        <f>($F$8)*'ARP Timing'!P$17</f>
        <v>0</v>
      </c>
      <c r="T50" s="1009">
        <f>($F$8)*'ARP Timing'!Q$17</f>
        <v>0</v>
      </c>
      <c r="U50" s="1009">
        <f>($F$8)*'ARP Timing'!R$17</f>
        <v>0</v>
      </c>
      <c r="V50" s="1009">
        <f>($F$8)*'ARP Timing'!S$17</f>
        <v>0</v>
      </c>
    </row>
    <row r="51" spans="1:22" x14ac:dyDescent="0.35">
      <c r="A51" s="1009">
        <v>2022</v>
      </c>
      <c r="B51" s="33" t="s">
        <v>247</v>
      </c>
      <c r="C51" s="1049"/>
      <c r="G51" s="1009">
        <f>($G$8)*'ARP Timing'!D$17</f>
        <v>0</v>
      </c>
      <c r="H51" s="1009">
        <f>($G$8)*'ARP Timing'!E$17</f>
        <v>0</v>
      </c>
      <c r="I51" s="1009">
        <f>($G$8)*'ARP Timing'!F$17</f>
        <v>0</v>
      </c>
      <c r="J51" s="1009">
        <f>($G$8)*'ARP Timing'!G$17</f>
        <v>0</v>
      </c>
      <c r="K51" s="1009">
        <f>($G$8)*'ARP Timing'!H$17</f>
        <v>0</v>
      </c>
      <c r="L51" s="1009">
        <f>($G$8)*'ARP Timing'!I$17</f>
        <v>0</v>
      </c>
      <c r="M51" s="1009">
        <f>($G$8)*'ARP Timing'!J$17</f>
        <v>0</v>
      </c>
      <c r="N51" s="1009">
        <f>($G$8)*'ARP Timing'!K$17</f>
        <v>0</v>
      </c>
      <c r="O51" s="1009">
        <f>($G$8)*'ARP Timing'!L$17</f>
        <v>0</v>
      </c>
      <c r="P51" s="1009">
        <f>($G$8)*'ARP Timing'!M$17</f>
        <v>0</v>
      </c>
      <c r="Q51" s="1009">
        <f>($G$8)*'ARP Timing'!N$17</f>
        <v>0</v>
      </c>
      <c r="R51" s="1009">
        <f>($G$8)*'ARP Timing'!O$17</f>
        <v>0</v>
      </c>
      <c r="S51" s="1009">
        <f>($G$8)*'ARP Timing'!P$17</f>
        <v>0</v>
      </c>
      <c r="T51" s="1009">
        <f>($G$8)*'ARP Timing'!Q$17</f>
        <v>0</v>
      </c>
      <c r="U51" s="1009">
        <f>($G$8)*'ARP Timing'!R$17</f>
        <v>0</v>
      </c>
      <c r="V51" s="1009">
        <f>($G$8)*'ARP Timing'!S$17</f>
        <v>0</v>
      </c>
    </row>
    <row r="52" spans="1:22" x14ac:dyDescent="0.35">
      <c r="B52" s="33" t="s">
        <v>248</v>
      </c>
      <c r="C52" s="1049"/>
      <c r="H52" s="1009">
        <f>($H$8)*'ARP Timing'!B$17</f>
        <v>0</v>
      </c>
      <c r="I52" s="1009">
        <f>($H$8)*'ARP Timing'!C$17</f>
        <v>0</v>
      </c>
      <c r="J52" s="1009">
        <f>($H$8)*'ARP Timing'!D$17</f>
        <v>23.080568000000003</v>
      </c>
      <c r="K52" s="1009">
        <f>($H$8)*'ARP Timing'!E$17</f>
        <v>30.6641832</v>
      </c>
      <c r="L52" s="1009">
        <f>($H$8)*'ARP Timing'!F$17</f>
        <v>39.566687999999999</v>
      </c>
      <c r="M52" s="1009">
        <f>($H$8)*'ARP Timing'!G$17</f>
        <v>42.863911999999999</v>
      </c>
      <c r="N52" s="1009">
        <f>($H$8)*'ARP Timing'!H$17</f>
        <v>32.972239999999999</v>
      </c>
      <c r="O52" s="1009">
        <f>($H$8)*'ARP Timing'!I$17</f>
        <v>32.972239999999999</v>
      </c>
      <c r="P52" s="1009">
        <f>($H$8)*'ARP Timing'!J$17</f>
        <v>39.566687999999999</v>
      </c>
      <c r="Q52" s="1009">
        <f>($H$8)*'ARP Timing'!K$17</f>
        <v>39.566687999999999</v>
      </c>
      <c r="R52" s="1009">
        <f>($H$8)*'ARP Timing'!L$17</f>
        <v>46.161136000000006</v>
      </c>
      <c r="S52" s="1009">
        <f>($H$8)*'ARP Timing'!M$17</f>
        <v>46.161136000000006</v>
      </c>
      <c r="T52" s="1009">
        <f>($H$8)*'ARP Timing'!N$17</f>
        <v>39.566687999999999</v>
      </c>
      <c r="U52" s="1009">
        <f>($H$8)*'ARP Timing'!O$17</f>
        <v>39.566687999999999</v>
      </c>
      <c r="V52" s="1009">
        <f>($H$8)*'ARP Timing'!P$17</f>
        <v>35.280296800000002</v>
      </c>
    </row>
    <row r="53" spans="1:22" x14ac:dyDescent="0.35">
      <c r="B53" s="33" t="s">
        <v>378</v>
      </c>
      <c r="C53" s="1049"/>
      <c r="H53" s="1049"/>
      <c r="I53" s="1009">
        <f>($I$8)*'ARP Timing'!B$17</f>
        <v>0</v>
      </c>
      <c r="J53" s="1009">
        <f>($I$8)*'ARP Timing'!C$17</f>
        <v>0</v>
      </c>
      <c r="K53" s="1009">
        <f>($I$8)*'ARP Timing'!D$17</f>
        <v>0</v>
      </c>
      <c r="L53" s="1009">
        <f>($I$8)*'ARP Timing'!E$17</f>
        <v>0</v>
      </c>
      <c r="M53" s="1009">
        <f>($I$8)*'ARP Timing'!F$17</f>
        <v>0</v>
      </c>
      <c r="N53" s="1009">
        <f>($I$8)*'ARP Timing'!G$17</f>
        <v>0</v>
      </c>
      <c r="O53" s="1009">
        <f>($I$8)*'ARP Timing'!H$17</f>
        <v>0</v>
      </c>
      <c r="P53" s="1009">
        <f>($I$8)*'ARP Timing'!I$17</f>
        <v>0</v>
      </c>
      <c r="Q53" s="1009">
        <f>($I$8)*'ARP Timing'!J$17</f>
        <v>0</v>
      </c>
      <c r="R53" s="1009">
        <f>($I$8)*'ARP Timing'!K$17</f>
        <v>0</v>
      </c>
      <c r="S53" s="1009">
        <f>($I$8)*'ARP Timing'!L$17</f>
        <v>0</v>
      </c>
      <c r="T53" s="1009">
        <f>($I$8)*'ARP Timing'!M$17</f>
        <v>0</v>
      </c>
      <c r="U53" s="1009">
        <f>($I$8)*'ARP Timing'!N$17</f>
        <v>0</v>
      </c>
      <c r="V53" s="1009">
        <f>($I$8)*'ARP Timing'!O$17</f>
        <v>0</v>
      </c>
    </row>
    <row r="54" spans="1:22" x14ac:dyDescent="0.35">
      <c r="B54" s="33" t="s">
        <v>831</v>
      </c>
      <c r="C54" s="1049"/>
      <c r="H54" s="1049"/>
    </row>
    <row r="55" spans="1:22" x14ac:dyDescent="0.35">
      <c r="A55" s="1009">
        <v>2023</v>
      </c>
      <c r="B55" s="33" t="s">
        <v>247</v>
      </c>
      <c r="C55" s="1049"/>
      <c r="H55" s="1049"/>
    </row>
    <row r="56" spans="1:22" x14ac:dyDescent="0.35">
      <c r="B56" s="33" t="s">
        <v>248</v>
      </c>
      <c r="C56" s="1049"/>
      <c r="H56" s="1049"/>
    </row>
    <row r="57" spans="1:22" x14ac:dyDescent="0.35">
      <c r="B57" s="33" t="s">
        <v>378</v>
      </c>
      <c r="C57" s="1049"/>
      <c r="H57" s="1049"/>
    </row>
    <row r="58" spans="1:22" x14ac:dyDescent="0.35">
      <c r="B58" s="33" t="s">
        <v>831</v>
      </c>
      <c r="C58" s="1049"/>
      <c r="H58" s="1049"/>
    </row>
    <row r="59" spans="1:22" x14ac:dyDescent="0.35">
      <c r="A59" s="1009">
        <v>2024</v>
      </c>
      <c r="B59" s="33" t="s">
        <v>247</v>
      </c>
      <c r="C59" s="1049"/>
      <c r="H59" s="1049"/>
    </row>
    <row r="60" spans="1:22" x14ac:dyDescent="0.35">
      <c r="B60" s="33" t="s">
        <v>248</v>
      </c>
      <c r="C60" s="1049"/>
      <c r="H60" s="1049"/>
    </row>
    <row r="61" spans="1:22" x14ac:dyDescent="0.35">
      <c r="B61" s="33" t="s">
        <v>378</v>
      </c>
      <c r="C61" s="1049"/>
      <c r="H61" s="1049"/>
    </row>
    <row r="62" spans="1:22" x14ac:dyDescent="0.35">
      <c r="B62" s="33" t="s">
        <v>831</v>
      </c>
      <c r="C62" s="1049"/>
      <c r="H62" s="1049"/>
    </row>
    <row r="63" spans="1:22" x14ac:dyDescent="0.35">
      <c r="A63" t="s">
        <v>955</v>
      </c>
      <c r="B63" s="33"/>
      <c r="C63" s="1049"/>
      <c r="G63">
        <v>5</v>
      </c>
      <c r="H63" s="1049">
        <v>10</v>
      </c>
      <c r="I63">
        <v>15</v>
      </c>
      <c r="J63">
        <v>8</v>
      </c>
      <c r="K63">
        <v>0</v>
      </c>
      <c r="L63">
        <v>-10</v>
      </c>
      <c r="M63">
        <v>-10</v>
      </c>
      <c r="N63">
        <v>-10</v>
      </c>
      <c r="O63">
        <v>-8</v>
      </c>
    </row>
    <row r="64" spans="1:22" x14ac:dyDescent="0.35">
      <c r="B64" s="33"/>
      <c r="C64" s="1049"/>
      <c r="H64" s="1049"/>
    </row>
    <row r="65" spans="2:24" x14ac:dyDescent="0.35">
      <c r="B65" s="33"/>
      <c r="C65" s="1049"/>
      <c r="H65" s="1049"/>
    </row>
    <row r="66" spans="2:24" x14ac:dyDescent="0.35">
      <c r="B66" s="33"/>
      <c r="C66" s="1049"/>
      <c r="H66" s="1049"/>
    </row>
    <row r="67" spans="2:24" x14ac:dyDescent="0.35">
      <c r="B67" s="33"/>
      <c r="C67" s="1049"/>
      <c r="H67" s="1049"/>
    </row>
    <row r="68" spans="2:24" x14ac:dyDescent="0.35">
      <c r="B68" s="33"/>
      <c r="C68" s="1049"/>
      <c r="H68" s="1049"/>
    </row>
    <row r="69" spans="2:24" x14ac:dyDescent="0.35">
      <c r="B69" s="33"/>
      <c r="C69" s="1049"/>
      <c r="H69" s="1049"/>
    </row>
    <row r="70" spans="2:24" x14ac:dyDescent="0.35">
      <c r="B70" s="33"/>
      <c r="C70" s="1049"/>
      <c r="H70" s="1049"/>
    </row>
    <row r="71" spans="2:24" x14ac:dyDescent="0.35">
      <c r="B71" s="33"/>
      <c r="C71" s="1049"/>
      <c r="H71" s="1049"/>
    </row>
    <row r="72" spans="2:24" x14ac:dyDescent="0.35">
      <c r="B72" s="33"/>
      <c r="C72" s="1049"/>
      <c r="H72" s="1049"/>
    </row>
    <row r="73" spans="2:24" x14ac:dyDescent="0.35">
      <c r="B73" s="33" t="s">
        <v>833</v>
      </c>
      <c r="C73" s="1047">
        <v>2021</v>
      </c>
      <c r="D73" s="1047">
        <v>2022</v>
      </c>
      <c r="E73" s="1047">
        <v>2023</v>
      </c>
      <c r="F73" s="1047">
        <v>2024</v>
      </c>
      <c r="G73" s="1047">
        <v>2025</v>
      </c>
      <c r="H73" s="1049"/>
    </row>
    <row r="74" spans="2:24" x14ac:dyDescent="0.35">
      <c r="B74" s="33" t="s">
        <v>730</v>
      </c>
      <c r="C74" s="1052">
        <f t="shared" ref="C74:C85" si="43">SUM(C4:E4)/4</f>
        <v>0.77600000000001046</v>
      </c>
      <c r="D74" s="1052">
        <f t="shared" ref="D74:D85" si="44">SUM(F4:I4)/4</f>
        <v>19.719000000000005</v>
      </c>
      <c r="E74" s="1052">
        <f t="shared" ref="E74:E85" si="45">SUM(J4:M4)/4</f>
        <v>1.4159999999999999</v>
      </c>
      <c r="F74" s="1052">
        <f t="shared" ref="F74:F85" si="46">SUM(N4:Q4)/4</f>
        <v>1.4790000000000001</v>
      </c>
      <c r="G74" s="1052">
        <f t="shared" ref="G74:G85" si="47">SUM(R4:U4)/4</f>
        <v>1.63</v>
      </c>
    </row>
    <row r="75" spans="2:24" x14ac:dyDescent="0.35">
      <c r="B75" s="33" t="s">
        <v>731</v>
      </c>
      <c r="C75" s="1052">
        <f t="shared" si="43"/>
        <v>19.722000000000016</v>
      </c>
      <c r="D75" s="1052">
        <f t="shared" si="44"/>
        <v>52.756999999999998</v>
      </c>
      <c r="E75" s="1052">
        <f t="shared" si="45"/>
        <v>12</v>
      </c>
      <c r="F75" s="1052">
        <f t="shared" si="46"/>
        <v>4.2219999999999995</v>
      </c>
      <c r="G75" s="1052">
        <f t="shared" si="47"/>
        <v>2.3719999999999999</v>
      </c>
      <c r="H75" s="1049"/>
    </row>
    <row r="76" spans="2:24" x14ac:dyDescent="0.35">
      <c r="B76" s="33" t="s">
        <v>52</v>
      </c>
      <c r="C76" s="1052">
        <f t="shared" si="43"/>
        <v>81.643000000000001</v>
      </c>
      <c r="D76" s="1052">
        <f t="shared" si="44"/>
        <v>110.24799999999999</v>
      </c>
      <c r="E76" s="1052">
        <f t="shared" si="45"/>
        <v>12.726000000000001</v>
      </c>
      <c r="F76" s="1052">
        <f t="shared" si="46"/>
        <v>1.365</v>
      </c>
      <c r="G76" s="1052">
        <f t="shared" si="47"/>
        <v>-0.90100000000000025</v>
      </c>
      <c r="H76" s="1049"/>
      <c r="O76" s="33"/>
      <c r="P76" s="33"/>
      <c r="Q76" s="33"/>
      <c r="R76" s="33"/>
      <c r="S76" s="1053"/>
      <c r="T76" s="1053"/>
      <c r="U76" s="1053"/>
      <c r="V76" s="14"/>
      <c r="W76" s="33"/>
      <c r="X76" s="33"/>
    </row>
    <row r="77" spans="2:24" x14ac:dyDescent="0.35">
      <c r="B77" s="33" t="s">
        <v>131</v>
      </c>
      <c r="C77" s="1052">
        <f t="shared" si="43"/>
        <v>7.798</v>
      </c>
      <c r="D77" s="1052">
        <f t="shared" si="44"/>
        <v>7.9489999999999998</v>
      </c>
      <c r="E77" s="1052">
        <f t="shared" si="45"/>
        <v>4.7519999999999998</v>
      </c>
      <c r="F77" s="1052">
        <f t="shared" si="46"/>
        <v>4.637999999999999</v>
      </c>
      <c r="G77" s="1052">
        <f t="shared" si="47"/>
        <v>1.8800000000000001</v>
      </c>
      <c r="H77" s="1049"/>
    </row>
    <row r="78" spans="2:24" x14ac:dyDescent="0.35">
      <c r="B78" s="1050" t="s">
        <v>395</v>
      </c>
      <c r="C78" s="1052">
        <f t="shared" si="43"/>
        <v>247.29179999999997</v>
      </c>
      <c r="D78" s="1052">
        <f t="shared" si="44"/>
        <v>164.8612</v>
      </c>
      <c r="E78" s="1052">
        <f t="shared" si="45"/>
        <v>0</v>
      </c>
      <c r="F78" s="1052">
        <f t="shared" si="46"/>
        <v>0</v>
      </c>
      <c r="G78" s="1052">
        <f t="shared" si="47"/>
        <v>0</v>
      </c>
      <c r="H78" s="1049"/>
      <c r="R78" s="1023"/>
      <c r="S78" s="1023"/>
    </row>
    <row r="79" spans="2:24" x14ac:dyDescent="0.35">
      <c r="B79" s="1050" t="s">
        <v>150</v>
      </c>
      <c r="C79" s="1052">
        <f t="shared" si="43"/>
        <v>12.347</v>
      </c>
      <c r="D79" s="1052">
        <f t="shared" si="44"/>
        <v>46.79</v>
      </c>
      <c r="E79" s="1052">
        <f t="shared" si="45"/>
        <v>38.595999999999997</v>
      </c>
      <c r="F79" s="1052">
        <f t="shared" si="46"/>
        <v>31.911000000000001</v>
      </c>
      <c r="G79" s="1052">
        <f t="shared" si="47"/>
        <v>23.099</v>
      </c>
      <c r="H79" s="1049"/>
      <c r="R79" s="1023"/>
      <c r="S79" s="1023"/>
    </row>
    <row r="80" spans="2:24" x14ac:dyDescent="0.35">
      <c r="B80" s="1050" t="s">
        <v>411</v>
      </c>
      <c r="C80" s="1052">
        <f t="shared" si="43"/>
        <v>29.628</v>
      </c>
      <c r="D80" s="1052">
        <f t="shared" si="44"/>
        <v>35.671000000000006</v>
      </c>
      <c r="E80" s="1052">
        <f t="shared" si="45"/>
        <v>24.216000000000001</v>
      </c>
      <c r="F80" s="1052">
        <f t="shared" si="46"/>
        <v>9.6430000000000007</v>
      </c>
      <c r="G80" s="1052">
        <f t="shared" si="47"/>
        <v>4.5789999999999997</v>
      </c>
      <c r="H80" s="1049"/>
      <c r="R80" s="1023"/>
      <c r="S80" s="1023"/>
    </row>
    <row r="81" spans="2:19" x14ac:dyDescent="0.35">
      <c r="B81" s="14" t="s">
        <v>159</v>
      </c>
      <c r="C81" s="1052">
        <f t="shared" si="43"/>
        <v>25.75</v>
      </c>
      <c r="D81" s="1052">
        <f t="shared" si="44"/>
        <v>0</v>
      </c>
      <c r="E81" s="1052">
        <f t="shared" si="45"/>
        <v>0</v>
      </c>
      <c r="F81" s="1052">
        <f t="shared" si="46"/>
        <v>0</v>
      </c>
      <c r="G81" s="1052">
        <f t="shared" si="47"/>
        <v>0</v>
      </c>
      <c r="H81" s="1049"/>
      <c r="R81" s="1023"/>
      <c r="S81" s="1023"/>
    </row>
    <row r="82" spans="2:19" x14ac:dyDescent="0.35">
      <c r="B82" s="33" t="s">
        <v>109</v>
      </c>
      <c r="C82" s="1052">
        <f t="shared" si="43"/>
        <v>31.939</v>
      </c>
      <c r="D82" s="1052">
        <f t="shared" si="44"/>
        <v>56.413000000000004</v>
      </c>
      <c r="E82" s="1052">
        <f t="shared" si="45"/>
        <v>15.652999999999999</v>
      </c>
      <c r="F82" s="1052">
        <f t="shared" si="46"/>
        <v>3.9320000000000004</v>
      </c>
      <c r="G82" s="1052">
        <f t="shared" si="47"/>
        <v>-0.74299999999999988</v>
      </c>
      <c r="R82" s="1023"/>
      <c r="S82" s="1023"/>
    </row>
    <row r="83" spans="2:19" x14ac:dyDescent="0.35">
      <c r="B83" s="1009" t="s">
        <v>824</v>
      </c>
      <c r="C83" s="1052">
        <f t="shared" si="43"/>
        <v>1.02</v>
      </c>
      <c r="D83" s="1052">
        <f t="shared" si="44"/>
        <v>1.5299999999999998</v>
      </c>
      <c r="E83" s="1052">
        <f t="shared" si="45"/>
        <v>0</v>
      </c>
      <c r="F83" s="1052">
        <f t="shared" si="46"/>
        <v>0</v>
      </c>
      <c r="G83" s="1052">
        <f t="shared" si="47"/>
        <v>0</v>
      </c>
      <c r="R83" s="1023"/>
      <c r="S83" s="1023"/>
    </row>
    <row r="84" spans="2:19" x14ac:dyDescent="0.35">
      <c r="B84" s="1009" t="s">
        <v>825</v>
      </c>
      <c r="C84" s="1052">
        <f t="shared" si="43"/>
        <v>0.67999999999999994</v>
      </c>
      <c r="D84" s="1052">
        <f t="shared" si="44"/>
        <v>1.02</v>
      </c>
      <c r="E84" s="1052">
        <f t="shared" si="45"/>
        <v>0</v>
      </c>
      <c r="F84" s="1052">
        <f t="shared" si="46"/>
        <v>0</v>
      </c>
      <c r="G84" s="1052">
        <f t="shared" si="47"/>
        <v>0</v>
      </c>
      <c r="R84" s="1023"/>
      <c r="S84" s="1023"/>
    </row>
    <row r="85" spans="2:19" x14ac:dyDescent="0.35">
      <c r="B85" s="1009" t="s">
        <v>521</v>
      </c>
      <c r="C85" s="1052">
        <f t="shared" si="43"/>
        <v>1.6999999999999997</v>
      </c>
      <c r="D85" s="1052">
        <f t="shared" si="44"/>
        <v>2.5499999999999998</v>
      </c>
      <c r="E85" s="1052">
        <f t="shared" si="45"/>
        <v>0</v>
      </c>
      <c r="F85" s="1052">
        <f t="shared" si="46"/>
        <v>0</v>
      </c>
      <c r="G85" s="1052">
        <f t="shared" si="47"/>
        <v>0</v>
      </c>
      <c r="R85" s="1023"/>
      <c r="S85" s="1023"/>
    </row>
    <row r="86" spans="2:19" x14ac:dyDescent="0.35">
      <c r="C86" s="1047">
        <v>2021</v>
      </c>
      <c r="D86" s="1047">
        <v>2022</v>
      </c>
      <c r="E86" s="1047">
        <v>2023</v>
      </c>
      <c r="F86" s="1047">
        <v>2024</v>
      </c>
      <c r="G86" s="1047">
        <v>2025</v>
      </c>
      <c r="R86" s="1023"/>
      <c r="S86" s="1023"/>
    </row>
    <row r="87" spans="2:19" x14ac:dyDescent="0.35">
      <c r="B87" s="1009" t="s">
        <v>834</v>
      </c>
      <c r="C87" s="1051">
        <f>SUM(C83:C85)</f>
        <v>3.3999999999999995</v>
      </c>
      <c r="D87" s="1051">
        <f t="shared" ref="D87:G87" si="48">SUM(D83:D85)</f>
        <v>5.0999999999999996</v>
      </c>
      <c r="E87" s="1051">
        <f t="shared" si="48"/>
        <v>0</v>
      </c>
      <c r="F87" s="1051">
        <f t="shared" si="48"/>
        <v>0</v>
      </c>
      <c r="G87" s="1051">
        <f t="shared" si="48"/>
        <v>0</v>
      </c>
      <c r="R87" s="1023"/>
      <c r="S87" s="1023"/>
    </row>
    <row r="90" spans="2:19" x14ac:dyDescent="0.35">
      <c r="B90" s="1009" t="s">
        <v>730</v>
      </c>
      <c r="C90" s="1052">
        <v>26.636000000000024</v>
      </c>
      <c r="D90" s="1052">
        <v>98.978999999999999</v>
      </c>
      <c r="E90" s="1052">
        <v>2.1159999999999997</v>
      </c>
      <c r="F90" s="1052">
        <v>2.1789999999999998</v>
      </c>
      <c r="G90" s="1052">
        <v>2.33</v>
      </c>
      <c r="H90" s="1052"/>
      <c r="I90" s="1052"/>
      <c r="J90" s="1052"/>
      <c r="K90" s="1052"/>
      <c r="L90" s="1052"/>
      <c r="M90" s="1052"/>
    </row>
    <row r="91" spans="2:19" x14ac:dyDescent="0.35">
      <c r="B91" s="1009" t="s">
        <v>731</v>
      </c>
      <c r="C91" s="1052">
        <v>47.722000000000016</v>
      </c>
      <c r="D91" s="1052">
        <v>52.756999999999998</v>
      </c>
      <c r="E91" s="1052">
        <v>12</v>
      </c>
      <c r="F91" s="1052">
        <v>4.2219999999999995</v>
      </c>
      <c r="G91" s="1052">
        <v>2.3719999999999999</v>
      </c>
      <c r="H91" s="1052"/>
      <c r="I91" s="1052"/>
      <c r="J91" s="1052"/>
      <c r="K91" s="1052"/>
      <c r="L91" s="1052"/>
      <c r="M91" s="1052"/>
    </row>
    <row r="92" spans="2:19" x14ac:dyDescent="0.35">
      <c r="B92" s="1009" t="s">
        <v>52</v>
      </c>
      <c r="C92" s="1052">
        <v>81.842999999999989</v>
      </c>
      <c r="D92" s="1052">
        <v>110.24799999999999</v>
      </c>
      <c r="E92" s="1052">
        <v>12.726000000000001</v>
      </c>
      <c r="F92" s="1052">
        <v>1.365</v>
      </c>
      <c r="G92" s="1052">
        <v>-0.90100000000000025</v>
      </c>
      <c r="H92" s="1052"/>
      <c r="I92" s="1052"/>
      <c r="J92" s="1052"/>
      <c r="K92" s="1052"/>
      <c r="L92" s="1052"/>
      <c r="M92" s="1052"/>
    </row>
    <row r="93" spans="2:19" x14ac:dyDescent="0.35">
      <c r="B93" s="1009" t="s">
        <v>131</v>
      </c>
      <c r="C93" s="1052">
        <v>7.798</v>
      </c>
      <c r="D93" s="1052">
        <v>7.9489999999999998</v>
      </c>
      <c r="E93" s="1052">
        <v>4.7519999999999998</v>
      </c>
      <c r="F93" s="1052">
        <v>4.637999999999999</v>
      </c>
      <c r="G93" s="1052">
        <v>1.8800000000000001</v>
      </c>
      <c r="H93" s="1052"/>
      <c r="I93" s="1052"/>
      <c r="J93" s="1052"/>
      <c r="K93" s="1052"/>
      <c r="L93" s="1052"/>
      <c r="M93" s="1052"/>
    </row>
    <row r="94" spans="2:19" x14ac:dyDescent="0.35">
      <c r="B94" s="1009" t="s">
        <v>395</v>
      </c>
      <c r="C94" s="1052">
        <v>283.95749999999998</v>
      </c>
      <c r="D94" s="1052">
        <v>77.092500000000001</v>
      </c>
      <c r="E94" s="1052">
        <v>1</v>
      </c>
      <c r="F94" s="1052">
        <v>0</v>
      </c>
      <c r="G94" s="1052">
        <v>0</v>
      </c>
      <c r="H94" s="1052"/>
      <c r="I94" s="1052"/>
      <c r="J94" s="1052"/>
      <c r="K94" s="1052"/>
      <c r="L94" s="1052"/>
      <c r="M94" s="1052"/>
    </row>
    <row r="95" spans="2:19" x14ac:dyDescent="0.35">
      <c r="B95" s="1009" t="s">
        <v>150</v>
      </c>
      <c r="C95" s="1052">
        <v>12.347</v>
      </c>
      <c r="D95" s="1052">
        <v>46.79</v>
      </c>
      <c r="E95" s="1052">
        <v>38.595999999999997</v>
      </c>
      <c r="F95" s="1052">
        <v>31.911000000000001</v>
      </c>
      <c r="G95" s="1052">
        <v>23.099</v>
      </c>
      <c r="H95" s="1052"/>
      <c r="I95" s="1052"/>
      <c r="J95" s="1052"/>
      <c r="K95" s="1052"/>
      <c r="L95" s="1052"/>
      <c r="M95" s="1052"/>
    </row>
    <row r="96" spans="2:19" x14ac:dyDescent="0.35">
      <c r="B96" s="1009" t="s">
        <v>411</v>
      </c>
      <c r="C96" s="1052">
        <v>2.286</v>
      </c>
      <c r="D96" s="1052">
        <v>4.6049999999999995</v>
      </c>
      <c r="E96" s="1052">
        <v>1.349</v>
      </c>
      <c r="F96" s="1052">
        <v>0.441</v>
      </c>
      <c r="G96" s="1052">
        <v>0.313</v>
      </c>
      <c r="H96" s="1052"/>
      <c r="I96" s="1052"/>
      <c r="J96" s="1052"/>
      <c r="K96" s="1052"/>
      <c r="L96" s="1052"/>
      <c r="M96" s="1052"/>
    </row>
    <row r="97" spans="2:13" x14ac:dyDescent="0.35">
      <c r="B97" s="1009" t="s">
        <v>159</v>
      </c>
      <c r="C97" s="1052">
        <v>25.75</v>
      </c>
      <c r="D97" s="1052">
        <v>0</v>
      </c>
      <c r="E97" s="1052">
        <v>0</v>
      </c>
      <c r="F97" s="1052">
        <v>0</v>
      </c>
      <c r="G97" s="1052">
        <v>0</v>
      </c>
      <c r="H97" s="1052"/>
      <c r="I97" s="1052"/>
      <c r="J97" s="1052"/>
      <c r="K97" s="1052"/>
      <c r="L97" s="1052"/>
      <c r="M97" s="1052"/>
    </row>
    <row r="98" spans="2:13" x14ac:dyDescent="0.35">
      <c r="B98" s="1009" t="s">
        <v>109</v>
      </c>
      <c r="C98" s="1052">
        <v>60.441000000000003</v>
      </c>
      <c r="D98" s="1052">
        <v>91.678999999999988</v>
      </c>
      <c r="E98" s="1052">
        <v>41.220000000000006</v>
      </c>
      <c r="F98" s="1052">
        <v>14.004000000000003</v>
      </c>
      <c r="G98" s="1052">
        <v>3.8530000000000006</v>
      </c>
      <c r="H98" s="1052"/>
      <c r="I98" s="1052"/>
      <c r="J98" s="1052"/>
      <c r="K98" s="1052"/>
      <c r="L98" s="1052"/>
      <c r="M98" s="1052"/>
    </row>
    <row r="99" spans="2:13" x14ac:dyDescent="0.35">
      <c r="C99" s="1047">
        <v>3.4</v>
      </c>
      <c r="D99" s="1047">
        <v>5.0999999999999996</v>
      </c>
      <c r="E99" s="1047">
        <v>0</v>
      </c>
      <c r="F99" s="1047">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6" t="s">
        <v>1529</v>
      </c>
      <c r="B1" s="76" t="s">
        <v>1530</v>
      </c>
      <c r="C1" s="76" t="s">
        <v>1531</v>
      </c>
      <c r="D1" s="76" t="s">
        <v>1532</v>
      </c>
      <c r="E1" s="76" t="s">
        <v>1533</v>
      </c>
      <c r="F1" s="76" t="s">
        <v>1534</v>
      </c>
      <c r="G1" s="76" t="s">
        <v>1007</v>
      </c>
      <c r="H1" s="76" t="s">
        <v>1008</v>
      </c>
      <c r="I1" s="76" t="s">
        <v>1009</v>
      </c>
      <c r="J1" s="76" t="s">
        <v>1010</v>
      </c>
      <c r="K1" s="76" t="s">
        <v>1011</v>
      </c>
      <c r="L1" s="76" t="s">
        <v>1012</v>
      </c>
    </row>
    <row r="2" spans="1:12" x14ac:dyDescent="0.35">
      <c r="A2">
        <v>4.5079018442711401E-2</v>
      </c>
      <c r="B2">
        <v>5.3878515900577198E-2</v>
      </c>
      <c r="C2">
        <v>8.2063006909154398E-2</v>
      </c>
      <c r="D2">
        <v>0.104421067414309</v>
      </c>
      <c r="E2" t="s">
        <v>1535</v>
      </c>
      <c r="F2" t="s">
        <v>1536</v>
      </c>
      <c r="G2">
        <v>13.106999999999999</v>
      </c>
      <c r="H2">
        <v>1.9913023575188999E-2</v>
      </c>
      <c r="I2">
        <v>16.824999999999999</v>
      </c>
      <c r="J2">
        <v>2.51411589895989E-2</v>
      </c>
      <c r="K2" t="s">
        <v>1013</v>
      </c>
      <c r="L2" t="s">
        <v>1014</v>
      </c>
    </row>
    <row r="3" spans="1:12" x14ac:dyDescent="0.35">
      <c r="A3">
        <v>4.5079018442711401E-2</v>
      </c>
      <c r="B3">
        <v>5.3878515900577198E-2</v>
      </c>
      <c r="C3">
        <v>8.2063006909154398E-2</v>
      </c>
      <c r="D3">
        <v>0.104421067414309</v>
      </c>
      <c r="E3" t="s">
        <v>1537</v>
      </c>
      <c r="F3" t="s">
        <v>1536</v>
      </c>
      <c r="G3">
        <v>13.368</v>
      </c>
      <c r="H3">
        <v>1.9913023575188999E-2</v>
      </c>
      <c r="I3">
        <v>17.248000000000001</v>
      </c>
      <c r="J3">
        <v>2.51411589895989E-2</v>
      </c>
      <c r="K3" t="s">
        <v>1015</v>
      </c>
      <c r="L3" t="s">
        <v>1014</v>
      </c>
    </row>
    <row r="4" spans="1:12" x14ac:dyDescent="0.35">
      <c r="A4">
        <v>3.9419555818651898E-2</v>
      </c>
      <c r="B4">
        <v>6.9938689583740596E-2</v>
      </c>
      <c r="C4">
        <v>7.2508506661211405E-2</v>
      </c>
      <c r="D4">
        <v>7.9737360467493398E-2</v>
      </c>
      <c r="E4" t="s">
        <v>1538</v>
      </c>
      <c r="F4" t="s">
        <v>1536</v>
      </c>
      <c r="G4">
        <v>13.603999999999999</v>
      </c>
      <c r="H4">
        <v>1.7654099341711402E-2</v>
      </c>
      <c r="I4">
        <v>17.582000000000001</v>
      </c>
      <c r="J4">
        <v>1.9364564007421099E-2</v>
      </c>
      <c r="K4" t="s">
        <v>1016</v>
      </c>
      <c r="L4" t="s">
        <v>1014</v>
      </c>
    </row>
    <row r="5" spans="1:12" x14ac:dyDescent="0.35">
      <c r="A5">
        <v>5.2824828770235303E-2</v>
      </c>
      <c r="B5">
        <v>5.1823422551402501E-2</v>
      </c>
      <c r="C5">
        <v>6.9052453854286294E-2</v>
      </c>
      <c r="D5">
        <v>0.10539397910227</v>
      </c>
      <c r="E5" t="s">
        <v>1539</v>
      </c>
      <c r="F5" t="s">
        <v>1536</v>
      </c>
      <c r="G5">
        <v>13.833</v>
      </c>
      <c r="H5">
        <v>1.6833284328138898E-2</v>
      </c>
      <c r="I5">
        <v>18.027999999999999</v>
      </c>
      <c r="J5">
        <v>2.5366852462745899E-2</v>
      </c>
      <c r="K5" t="s">
        <v>1017</v>
      </c>
      <c r="L5" t="s">
        <v>1014</v>
      </c>
    </row>
    <row r="6" spans="1:12" x14ac:dyDescent="0.35">
      <c r="A6">
        <v>3.85286878692137E-2</v>
      </c>
      <c r="B6">
        <v>0.132788480581229</v>
      </c>
      <c r="C6">
        <v>0.10231116414477499</v>
      </c>
      <c r="D6">
        <v>6.9175988166702701E-2</v>
      </c>
      <c r="E6" t="s">
        <v>1540</v>
      </c>
      <c r="F6" t="s">
        <v>1536</v>
      </c>
      <c r="G6">
        <v>14.173999999999999</v>
      </c>
      <c r="H6">
        <v>2.4651196414371399E-2</v>
      </c>
      <c r="I6">
        <v>18.332000000000001</v>
      </c>
      <c r="J6">
        <v>1.6862658087419598E-2</v>
      </c>
      <c r="K6" t="s">
        <v>1018</v>
      </c>
      <c r="L6" t="s">
        <v>1014</v>
      </c>
    </row>
    <row r="7" spans="1:12" x14ac:dyDescent="0.35">
      <c r="A7">
        <v>4.6230845754161802E-2</v>
      </c>
      <c r="B7">
        <v>7.6806429060699302E-2</v>
      </c>
      <c r="C7">
        <v>7.6908368677740299E-2</v>
      </c>
      <c r="D7">
        <v>6.5481053360561203E-2</v>
      </c>
      <c r="E7" t="s">
        <v>1541</v>
      </c>
      <c r="F7" t="s">
        <v>1536</v>
      </c>
      <c r="G7">
        <v>14.439</v>
      </c>
      <c r="H7">
        <v>1.8696204317764999E-2</v>
      </c>
      <c r="I7">
        <v>18.625</v>
      </c>
      <c r="J7">
        <v>1.59829805804057E-2</v>
      </c>
      <c r="K7" t="s">
        <v>1019</v>
      </c>
      <c r="L7" t="s">
        <v>1014</v>
      </c>
    </row>
    <row r="8" spans="1:12" x14ac:dyDescent="0.35">
      <c r="A8">
        <v>4.0000704948734103E-2</v>
      </c>
      <c r="B8">
        <v>5.9184461037305798E-2</v>
      </c>
      <c r="C8">
        <v>6.1773509542664397E-2</v>
      </c>
      <c r="D8">
        <v>4.4315280925248897E-2</v>
      </c>
      <c r="E8" t="s">
        <v>1542</v>
      </c>
      <c r="F8" t="s">
        <v>1536</v>
      </c>
      <c r="G8">
        <v>14.657</v>
      </c>
      <c r="H8">
        <v>1.5097998476348899E-2</v>
      </c>
      <c r="I8">
        <v>18.827999999999999</v>
      </c>
      <c r="J8">
        <v>1.0899328859060401E-2</v>
      </c>
      <c r="K8" t="s">
        <v>1020</v>
      </c>
      <c r="L8" t="s">
        <v>1014</v>
      </c>
    </row>
    <row r="9" spans="1:12" x14ac:dyDescent="0.35">
      <c r="A9">
        <v>2.5035607973723999E-2</v>
      </c>
      <c r="B9">
        <v>8.3819893360376693E-2</v>
      </c>
      <c r="C9">
        <v>3.6793688078589702E-2</v>
      </c>
      <c r="D9">
        <v>7.0854524877743894E-2</v>
      </c>
      <c r="E9" t="s">
        <v>1543</v>
      </c>
      <c r="F9" t="s">
        <v>1536</v>
      </c>
      <c r="G9">
        <v>14.79</v>
      </c>
      <c r="H9">
        <v>9.0741625162038507E-3</v>
      </c>
      <c r="I9">
        <v>19.152999999999999</v>
      </c>
      <c r="J9">
        <v>1.7261525387720401E-2</v>
      </c>
      <c r="K9" t="s">
        <v>1021</v>
      </c>
      <c r="L9" t="s">
        <v>1014</v>
      </c>
    </row>
    <row r="10" spans="1:12" x14ac:dyDescent="0.35">
      <c r="A10">
        <v>4.2906681103859E-2</v>
      </c>
      <c r="B10">
        <v>0.175097239288524</v>
      </c>
      <c r="C10">
        <v>0.10446834522691199</v>
      </c>
      <c r="D10">
        <v>5.2157088254066501E-2</v>
      </c>
      <c r="E10" t="s">
        <v>1544</v>
      </c>
      <c r="F10" t="s">
        <v>1536</v>
      </c>
      <c r="G10">
        <v>15.162000000000001</v>
      </c>
      <c r="H10">
        <v>2.5152129817444399E-2</v>
      </c>
      <c r="I10">
        <v>19.398</v>
      </c>
      <c r="J10">
        <v>1.27917297551299E-2</v>
      </c>
      <c r="K10" t="s">
        <v>1022</v>
      </c>
      <c r="L10" t="s">
        <v>1014</v>
      </c>
    </row>
    <row r="11" spans="1:12" x14ac:dyDescent="0.35">
      <c r="A11">
        <v>2.3157030840978501E-2</v>
      </c>
      <c r="B11">
        <v>4.0963848741786497E-2</v>
      </c>
      <c r="C11">
        <v>5.35423244430666E-2</v>
      </c>
      <c r="D11">
        <v>2.83404365976123E-2</v>
      </c>
      <c r="E11" t="s">
        <v>1545</v>
      </c>
      <c r="F11" t="s">
        <v>1536</v>
      </c>
      <c r="G11">
        <v>15.361000000000001</v>
      </c>
      <c r="H11">
        <v>1.3124917557050499E-2</v>
      </c>
      <c r="I11">
        <v>19.533999999999999</v>
      </c>
      <c r="J11">
        <v>7.0110320651612899E-3</v>
      </c>
      <c r="K11" t="s">
        <v>1023</v>
      </c>
      <c r="L11" t="s">
        <v>1014</v>
      </c>
    </row>
    <row r="12" spans="1:12" x14ac:dyDescent="0.35">
      <c r="A12">
        <v>3.55986781186481E-2</v>
      </c>
      <c r="B12">
        <v>3.3186191278740597E-2</v>
      </c>
      <c r="C12">
        <v>6.3703129067968198E-2</v>
      </c>
      <c r="D12">
        <v>5.6658506033298299E-2</v>
      </c>
      <c r="E12" t="s">
        <v>1546</v>
      </c>
      <c r="F12" t="s">
        <v>1536</v>
      </c>
      <c r="G12">
        <v>15.6</v>
      </c>
      <c r="H12">
        <v>1.5558882885228701E-2</v>
      </c>
      <c r="I12">
        <v>19.805</v>
      </c>
      <c r="J12">
        <v>1.38732466468721E-2</v>
      </c>
      <c r="K12" t="s">
        <v>1024</v>
      </c>
      <c r="L12" t="s">
        <v>1014</v>
      </c>
    </row>
    <row r="13" spans="1:12" x14ac:dyDescent="0.35">
      <c r="A13">
        <v>3.3109052200751603E-2</v>
      </c>
      <c r="B13">
        <v>8.9944620716435594E-2</v>
      </c>
      <c r="C13">
        <v>5.0679215853917103E-2</v>
      </c>
      <c r="D13">
        <v>7.6848944278385095E-2</v>
      </c>
      <c r="E13" t="s">
        <v>1547</v>
      </c>
      <c r="F13" t="s">
        <v>1536</v>
      </c>
      <c r="G13">
        <v>15.794</v>
      </c>
      <c r="H13">
        <v>1.2435897435897601E-2</v>
      </c>
      <c r="I13">
        <v>20.175000000000001</v>
      </c>
      <c r="J13">
        <v>1.8682150971976799E-2</v>
      </c>
      <c r="K13" t="s">
        <v>1025</v>
      </c>
      <c r="L13" t="s">
        <v>1014</v>
      </c>
    </row>
    <row r="14" spans="1:12" x14ac:dyDescent="0.35">
      <c r="A14">
        <v>4.91014015888558E-2</v>
      </c>
      <c r="B14">
        <v>6.5908483031781095E-2</v>
      </c>
      <c r="C14">
        <v>8.1389738888574495E-2</v>
      </c>
      <c r="D14">
        <v>7.93845743471608E-2</v>
      </c>
      <c r="E14" t="s">
        <v>1548</v>
      </c>
      <c r="F14" t="s">
        <v>1536</v>
      </c>
      <c r="G14">
        <v>16.106000000000002</v>
      </c>
      <c r="H14">
        <v>1.9754337090034199E-2</v>
      </c>
      <c r="I14">
        <v>20.564</v>
      </c>
      <c r="J14">
        <v>1.9281288723668001E-2</v>
      </c>
      <c r="K14" t="s">
        <v>1026</v>
      </c>
      <c r="L14" t="s">
        <v>1014</v>
      </c>
    </row>
    <row r="15" spans="1:12" x14ac:dyDescent="0.35">
      <c r="A15">
        <v>7.9177652454341899E-2</v>
      </c>
      <c r="B15">
        <v>7.1493559288280994E-2</v>
      </c>
      <c r="C15">
        <v>6.9283063617710403E-2</v>
      </c>
      <c r="D15">
        <v>8.6922582910256702E-2</v>
      </c>
      <c r="E15" t="s">
        <v>1549</v>
      </c>
      <c r="F15" t="s">
        <v>1536</v>
      </c>
      <c r="G15">
        <v>16.378</v>
      </c>
      <c r="H15">
        <v>1.68881162299763E-2</v>
      </c>
      <c r="I15">
        <v>20.997</v>
      </c>
      <c r="J15">
        <v>2.1056214744213299E-2</v>
      </c>
      <c r="K15" t="s">
        <v>1027</v>
      </c>
      <c r="L15" t="s">
        <v>1014</v>
      </c>
    </row>
    <row r="16" spans="1:12" x14ac:dyDescent="0.35">
      <c r="A16">
        <v>7.4767520593947104E-2</v>
      </c>
      <c r="B16">
        <v>8.5362600720222198E-2</v>
      </c>
      <c r="C16">
        <v>4.7217464684975501E-2</v>
      </c>
      <c r="D16">
        <v>8.4062519785650797E-2</v>
      </c>
      <c r="E16" t="s">
        <v>1550</v>
      </c>
      <c r="F16" t="s">
        <v>1536</v>
      </c>
      <c r="G16">
        <v>16.568000000000001</v>
      </c>
      <c r="H16">
        <v>1.1600928074246E-2</v>
      </c>
      <c r="I16">
        <v>21.425000000000001</v>
      </c>
      <c r="J16">
        <v>2.03838643615755E-2</v>
      </c>
      <c r="K16" t="s">
        <v>1028</v>
      </c>
      <c r="L16" t="s">
        <v>1014</v>
      </c>
    </row>
    <row r="17" spans="1:12" x14ac:dyDescent="0.35">
      <c r="A17">
        <v>8.4354048501589896E-2</v>
      </c>
      <c r="B17">
        <v>8.8313277531109999E-2</v>
      </c>
      <c r="C17">
        <v>6.8825586736247696E-2</v>
      </c>
      <c r="D17">
        <v>0.111750672708145</v>
      </c>
      <c r="E17" t="s">
        <v>1551</v>
      </c>
      <c r="F17" t="s">
        <v>1536</v>
      </c>
      <c r="G17">
        <v>16.846</v>
      </c>
      <c r="H17">
        <v>1.6779333655238898E-2</v>
      </c>
      <c r="I17">
        <v>22</v>
      </c>
      <c r="J17">
        <v>2.68378063010501E-2</v>
      </c>
      <c r="K17" t="s">
        <v>1029</v>
      </c>
      <c r="L17" t="s">
        <v>1014</v>
      </c>
    </row>
    <row r="18" spans="1:12" x14ac:dyDescent="0.35">
      <c r="A18">
        <v>0.124536540877934</v>
      </c>
      <c r="B18">
        <v>4.1616768277239702E-2</v>
      </c>
      <c r="C18">
        <v>0.100709384145876</v>
      </c>
      <c r="D18">
        <v>0.19875533747763099</v>
      </c>
      <c r="E18" t="s">
        <v>1552</v>
      </c>
      <c r="F18" t="s">
        <v>1536</v>
      </c>
      <c r="G18">
        <v>17.254999999999999</v>
      </c>
      <c r="H18">
        <v>2.42787605366259E-2</v>
      </c>
      <c r="I18">
        <v>23.02</v>
      </c>
      <c r="J18">
        <v>4.6363636363636399E-2</v>
      </c>
      <c r="K18" t="s">
        <v>1030</v>
      </c>
      <c r="L18" t="s">
        <v>1014</v>
      </c>
    </row>
    <row r="19" spans="1:12" x14ac:dyDescent="0.35">
      <c r="A19">
        <v>0.118186339709689</v>
      </c>
      <c r="B19">
        <v>7.4336480554695494E-2</v>
      </c>
      <c r="C19">
        <v>0.111980004946894</v>
      </c>
      <c r="D19">
        <v>0.27614966476000502</v>
      </c>
      <c r="E19" t="s">
        <v>1553</v>
      </c>
      <c r="F19" t="s">
        <v>1536</v>
      </c>
      <c r="G19">
        <v>17.719000000000001</v>
      </c>
      <c r="H19">
        <v>2.68907563025211E-2</v>
      </c>
      <c r="I19">
        <v>24.466999999999999</v>
      </c>
      <c r="J19">
        <v>6.2858384013900995E-2</v>
      </c>
      <c r="K19" t="s">
        <v>1031</v>
      </c>
      <c r="L19" t="s">
        <v>1014</v>
      </c>
    </row>
    <row r="20" spans="1:12" x14ac:dyDescent="0.35">
      <c r="A20">
        <v>0.112285409166716</v>
      </c>
      <c r="B20">
        <v>0.121923532437656</v>
      </c>
      <c r="C20">
        <v>0.119951580753957</v>
      </c>
      <c r="D20">
        <v>0.28126959643585903</v>
      </c>
      <c r="E20" t="s">
        <v>1554</v>
      </c>
      <c r="F20" t="s">
        <v>1536</v>
      </c>
      <c r="G20">
        <v>18.228000000000002</v>
      </c>
      <c r="H20">
        <v>2.8726226084993398E-2</v>
      </c>
      <c r="I20">
        <v>26.030999999999999</v>
      </c>
      <c r="J20">
        <v>6.3922834838762405E-2</v>
      </c>
      <c r="K20" t="s">
        <v>1032</v>
      </c>
      <c r="L20" t="s">
        <v>1014</v>
      </c>
    </row>
    <row r="21" spans="1:12" x14ac:dyDescent="0.35">
      <c r="A21">
        <v>0.10564888426900799</v>
      </c>
      <c r="B21">
        <v>0.139689749601554</v>
      </c>
      <c r="C21">
        <v>0.10861792322335199</v>
      </c>
      <c r="D21">
        <v>0.17691984955710299</v>
      </c>
      <c r="E21" t="s">
        <v>1555</v>
      </c>
      <c r="F21" t="s">
        <v>1536</v>
      </c>
      <c r="G21">
        <v>18.704000000000001</v>
      </c>
      <c r="H21">
        <v>2.6113671274961399E-2</v>
      </c>
      <c r="I21">
        <v>27.113</v>
      </c>
      <c r="J21">
        <v>4.15658253620683E-2</v>
      </c>
      <c r="K21" t="s">
        <v>1033</v>
      </c>
      <c r="L21" t="s">
        <v>1014</v>
      </c>
    </row>
    <row r="22" spans="1:12" x14ac:dyDescent="0.35">
      <c r="A22">
        <v>7.7418031911128199E-2</v>
      </c>
      <c r="B22">
        <v>7.47377264200315E-2</v>
      </c>
      <c r="C22">
        <v>8.2414004288707196E-2</v>
      </c>
      <c r="D22">
        <v>8.77241949354641E-2</v>
      </c>
      <c r="E22" t="s">
        <v>1556</v>
      </c>
      <c r="F22" t="s">
        <v>1536</v>
      </c>
      <c r="G22">
        <v>19.077999999999999</v>
      </c>
      <c r="H22">
        <v>1.99957228400343E-2</v>
      </c>
      <c r="I22">
        <v>27.689</v>
      </c>
      <c r="J22">
        <v>2.1244421495223698E-2</v>
      </c>
      <c r="K22" t="s">
        <v>1034</v>
      </c>
      <c r="L22" t="s">
        <v>1014</v>
      </c>
    </row>
    <row r="23" spans="1:12" x14ac:dyDescent="0.35">
      <c r="A23">
        <v>5.00188837807687E-2</v>
      </c>
      <c r="B23">
        <v>5.9076854521070303E-2</v>
      </c>
      <c r="C23">
        <v>9.99907756879512E-2</v>
      </c>
      <c r="D23">
        <v>1.9938623083631101E-2</v>
      </c>
      <c r="E23" t="s">
        <v>1557</v>
      </c>
      <c r="F23" t="s">
        <v>1536</v>
      </c>
      <c r="G23">
        <v>19.538</v>
      </c>
      <c r="H23">
        <v>2.4111542090365898E-2</v>
      </c>
      <c r="I23">
        <v>27.826000000000001</v>
      </c>
      <c r="J23">
        <v>4.9478132110223304E-3</v>
      </c>
      <c r="K23" t="s">
        <v>1035</v>
      </c>
      <c r="L23" t="s">
        <v>1014</v>
      </c>
    </row>
    <row r="24" spans="1:12" x14ac:dyDescent="0.35">
      <c r="A24">
        <v>7.6956317974106001E-2</v>
      </c>
      <c r="B24">
        <v>5.5091330920863602E-2</v>
      </c>
      <c r="C24">
        <v>6.2847909413525901E-2</v>
      </c>
      <c r="D24">
        <v>1.2710174962932599E-2</v>
      </c>
      <c r="E24" t="s">
        <v>1558</v>
      </c>
      <c r="F24" t="s">
        <v>1536</v>
      </c>
      <c r="G24">
        <v>19.838000000000001</v>
      </c>
      <c r="H24">
        <v>1.5354693417954699E-2</v>
      </c>
      <c r="I24">
        <v>27.914000000000001</v>
      </c>
      <c r="J24">
        <v>3.16250988284339E-3</v>
      </c>
      <c r="K24" t="s">
        <v>1036</v>
      </c>
      <c r="L24" t="s">
        <v>1014</v>
      </c>
    </row>
    <row r="25" spans="1:12" x14ac:dyDescent="0.35">
      <c r="A25">
        <v>6.8882772668885706E-2</v>
      </c>
      <c r="B25">
        <v>9.5097426388938394E-2</v>
      </c>
      <c r="C25">
        <v>5.9557775023163499E-2</v>
      </c>
      <c r="D25">
        <v>2.4583979224767301E-2</v>
      </c>
      <c r="E25" t="s">
        <v>1559</v>
      </c>
      <c r="F25" t="s">
        <v>1536</v>
      </c>
      <c r="G25">
        <v>20.126999999999999</v>
      </c>
      <c r="H25">
        <v>1.45680008065328E-2</v>
      </c>
      <c r="I25">
        <v>28.084</v>
      </c>
      <c r="J25">
        <v>6.0901339829475499E-3</v>
      </c>
      <c r="K25" t="s">
        <v>1037</v>
      </c>
      <c r="L25" t="s">
        <v>1014</v>
      </c>
    </row>
    <row r="26" spans="1:12" x14ac:dyDescent="0.35">
      <c r="A26">
        <v>4.46796784787249E-2</v>
      </c>
      <c r="B26">
        <v>5.9702158874865199E-2</v>
      </c>
      <c r="C26">
        <v>5.3094918319799497E-2</v>
      </c>
      <c r="D26">
        <v>1.9800669277978002E-2</v>
      </c>
      <c r="E26" t="s">
        <v>1560</v>
      </c>
      <c r="F26" t="s">
        <v>1536</v>
      </c>
      <c r="G26">
        <v>20.388999999999999</v>
      </c>
      <c r="H26">
        <v>1.30173398916877E-2</v>
      </c>
      <c r="I26">
        <v>28.222000000000001</v>
      </c>
      <c r="J26">
        <v>4.91382993875522E-3</v>
      </c>
      <c r="K26" t="s">
        <v>1038</v>
      </c>
      <c r="L26" t="s">
        <v>1014</v>
      </c>
    </row>
    <row r="27" spans="1:12" x14ac:dyDescent="0.35">
      <c r="A27">
        <v>3.3979822161052303E-2</v>
      </c>
      <c r="B27">
        <v>3.3961135638896502E-2</v>
      </c>
      <c r="C27">
        <v>5.3215140717762302E-2</v>
      </c>
      <c r="D27">
        <v>3.4743180507705002E-2</v>
      </c>
      <c r="E27" t="s">
        <v>1561</v>
      </c>
      <c r="F27" t="s">
        <v>1536</v>
      </c>
      <c r="G27">
        <v>20.655000000000001</v>
      </c>
      <c r="H27">
        <v>1.3046250429153101E-2</v>
      </c>
      <c r="I27">
        <v>28.463999999999999</v>
      </c>
      <c r="J27">
        <v>8.5748706682728902E-3</v>
      </c>
      <c r="K27" t="s">
        <v>1039</v>
      </c>
      <c r="L27" t="s">
        <v>1014</v>
      </c>
    </row>
    <row r="28" spans="1:12" x14ac:dyDescent="0.35">
      <c r="A28">
        <v>6.2157602764701697E-2</v>
      </c>
      <c r="B28">
        <v>4.6572413553721298E-2</v>
      </c>
      <c r="C28">
        <v>3.5515485276211803E-2</v>
      </c>
      <c r="D28">
        <v>8.7412684077270396E-3</v>
      </c>
      <c r="E28" t="s">
        <v>1562</v>
      </c>
      <c r="F28" t="s">
        <v>1536</v>
      </c>
      <c r="G28">
        <v>20.835999999999999</v>
      </c>
      <c r="H28">
        <v>8.7630113773904394E-3</v>
      </c>
      <c r="I28">
        <v>28.526</v>
      </c>
      <c r="J28">
        <v>2.17818999437891E-3</v>
      </c>
      <c r="K28" t="s">
        <v>1040</v>
      </c>
      <c r="L28" t="s">
        <v>1014</v>
      </c>
    </row>
    <row r="29" spans="1:12" x14ac:dyDescent="0.35">
      <c r="A29">
        <v>6.4679796349943294E-2</v>
      </c>
      <c r="B29">
        <v>0.11140543202132699</v>
      </c>
      <c r="C29">
        <v>5.3847641567893498E-2</v>
      </c>
      <c r="D29">
        <v>2.7482019859727602E-2</v>
      </c>
      <c r="E29" t="s">
        <v>1563</v>
      </c>
      <c r="F29" t="s">
        <v>1536</v>
      </c>
      <c r="G29">
        <v>21.111000000000001</v>
      </c>
      <c r="H29">
        <v>1.31983106162412E-2</v>
      </c>
      <c r="I29">
        <v>28.72</v>
      </c>
      <c r="J29">
        <v>6.8008132931360902E-3</v>
      </c>
      <c r="K29" t="s">
        <v>1041</v>
      </c>
      <c r="L29" t="s">
        <v>1014</v>
      </c>
    </row>
    <row r="30" spans="1:12" x14ac:dyDescent="0.35">
      <c r="A30">
        <v>7.4088172350420103E-2</v>
      </c>
      <c r="B30">
        <v>5.7739458159661701E-2</v>
      </c>
      <c r="C30">
        <v>8.3796072481744796E-2</v>
      </c>
      <c r="D30">
        <v>5.2825931688943499E-2</v>
      </c>
      <c r="E30" t="s">
        <v>1564</v>
      </c>
      <c r="F30" t="s">
        <v>1536</v>
      </c>
      <c r="G30">
        <v>21.54</v>
      </c>
      <c r="H30">
        <v>2.0321159585050302E-2</v>
      </c>
      <c r="I30">
        <v>29.091999999999999</v>
      </c>
      <c r="J30">
        <v>1.2952646239554401E-2</v>
      </c>
      <c r="K30" t="s">
        <v>1042</v>
      </c>
      <c r="L30" t="s">
        <v>1014</v>
      </c>
    </row>
    <row r="31" spans="1:12" x14ac:dyDescent="0.35">
      <c r="A31">
        <v>7.0308632461715301E-2</v>
      </c>
      <c r="B31">
        <v>4.6296846180206901E-2</v>
      </c>
      <c r="C31">
        <v>8.1880476726010801E-2</v>
      </c>
      <c r="D31">
        <v>4.0048809702137603E-2</v>
      </c>
      <c r="E31" t="s">
        <v>1565</v>
      </c>
      <c r="F31" t="s">
        <v>1536</v>
      </c>
      <c r="G31">
        <v>21.968</v>
      </c>
      <c r="H31">
        <v>1.9870009285051001E-2</v>
      </c>
      <c r="I31">
        <v>29.379000000000001</v>
      </c>
      <c r="J31">
        <v>9.8652550529356696E-3</v>
      </c>
      <c r="K31" t="s">
        <v>1043</v>
      </c>
      <c r="L31" t="s">
        <v>1014</v>
      </c>
    </row>
    <row r="32" spans="1:12" x14ac:dyDescent="0.35">
      <c r="A32">
        <v>6.1553542794543503E-2</v>
      </c>
      <c r="B32">
        <v>1.98663105662467E-2</v>
      </c>
      <c r="C32">
        <v>7.3501873886998997E-2</v>
      </c>
      <c r="D32">
        <v>5.4874269706492597E-2</v>
      </c>
      <c r="E32" t="s">
        <v>1566</v>
      </c>
      <c r="F32" t="s">
        <v>1536</v>
      </c>
      <c r="G32">
        <v>22.361000000000001</v>
      </c>
      <c r="H32">
        <v>1.7889657683903801E-2</v>
      </c>
      <c r="I32">
        <v>29.774000000000001</v>
      </c>
      <c r="J32">
        <v>1.3444977705163501E-2</v>
      </c>
      <c r="K32" t="s">
        <v>1044</v>
      </c>
      <c r="L32" t="s">
        <v>1014</v>
      </c>
    </row>
    <row r="33" spans="1:12" x14ac:dyDescent="0.35">
      <c r="A33">
        <v>5.8025197908700303E-2</v>
      </c>
      <c r="B33">
        <v>0.12112082718011299</v>
      </c>
      <c r="C33">
        <v>7.5383891455237398E-2</v>
      </c>
      <c r="D33">
        <v>4.34111575180351E-2</v>
      </c>
      <c r="E33" t="s">
        <v>1567</v>
      </c>
      <c r="F33" t="s">
        <v>1536</v>
      </c>
      <c r="G33">
        <v>22.771000000000001</v>
      </c>
      <c r="H33">
        <v>1.83354948347569E-2</v>
      </c>
      <c r="I33">
        <v>30.091999999999999</v>
      </c>
      <c r="J33">
        <v>1.0680459461274799E-2</v>
      </c>
      <c r="K33" t="s">
        <v>1045</v>
      </c>
      <c r="L33" t="s">
        <v>1014</v>
      </c>
    </row>
    <row r="34" spans="1:12" x14ac:dyDescent="0.35">
      <c r="A34">
        <v>6.7326294927223501E-2</v>
      </c>
      <c r="B34">
        <v>4.65097292728067E-2</v>
      </c>
      <c r="C34">
        <v>5.9424238450433299E-2</v>
      </c>
      <c r="D34">
        <v>5.0510789433123801E-2</v>
      </c>
      <c r="E34" t="s">
        <v>1568</v>
      </c>
      <c r="F34" t="s">
        <v>1536</v>
      </c>
      <c r="G34">
        <v>23.102</v>
      </c>
      <c r="H34">
        <v>1.4536032673137E-2</v>
      </c>
      <c r="I34">
        <v>30.465</v>
      </c>
      <c r="J34">
        <v>1.23953210155523E-2</v>
      </c>
      <c r="K34" t="s">
        <v>1046</v>
      </c>
      <c r="L34" t="s">
        <v>1014</v>
      </c>
    </row>
    <row r="35" spans="1:12" x14ac:dyDescent="0.35">
      <c r="A35">
        <v>8.4675701203493298E-2</v>
      </c>
      <c r="B35">
        <v>8.09066486989478E-2</v>
      </c>
      <c r="C35">
        <v>6.5619276167123694E-2</v>
      </c>
      <c r="D35">
        <v>8.0997725857898203E-2</v>
      </c>
      <c r="E35" t="s">
        <v>1569</v>
      </c>
      <c r="F35" t="s">
        <v>1536</v>
      </c>
      <c r="G35">
        <v>23.472000000000001</v>
      </c>
      <c r="H35">
        <v>1.6015929356765699E-2</v>
      </c>
      <c r="I35">
        <v>31.064</v>
      </c>
      <c r="J35">
        <v>1.9661907106515601E-2</v>
      </c>
      <c r="K35" t="s">
        <v>1047</v>
      </c>
      <c r="L35" t="s">
        <v>1014</v>
      </c>
    </row>
    <row r="36" spans="1:12" x14ac:dyDescent="0.35">
      <c r="A36">
        <v>7.2050406034996906E-2</v>
      </c>
      <c r="B36">
        <v>6.8549166168664605E-2</v>
      </c>
      <c r="C36">
        <v>5.8500992246239197E-2</v>
      </c>
      <c r="D36">
        <v>7.8709215306017405E-2</v>
      </c>
      <c r="E36" t="s">
        <v>1570</v>
      </c>
      <c r="F36" t="s">
        <v>1536</v>
      </c>
      <c r="G36">
        <v>23.808</v>
      </c>
      <c r="H36">
        <v>1.4314928425357899E-2</v>
      </c>
      <c r="I36">
        <v>31.658000000000001</v>
      </c>
      <c r="J36">
        <v>1.9121813031161401E-2</v>
      </c>
      <c r="K36" t="s">
        <v>1048</v>
      </c>
      <c r="L36" t="s">
        <v>1014</v>
      </c>
    </row>
    <row r="37" spans="1:12" x14ac:dyDescent="0.35">
      <c r="A37">
        <v>7.7759817693589403E-2</v>
      </c>
      <c r="B37">
        <v>7.0826828171957498E-2</v>
      </c>
      <c r="C37">
        <v>5.4682260590980698E-2</v>
      </c>
      <c r="D37">
        <v>7.3455131593814296E-2</v>
      </c>
      <c r="E37" t="s">
        <v>1571</v>
      </c>
      <c r="F37" t="s">
        <v>1536</v>
      </c>
      <c r="G37">
        <v>24.126999999999999</v>
      </c>
      <c r="H37">
        <v>1.33988575268817E-2</v>
      </c>
      <c r="I37">
        <v>32.223999999999997</v>
      </c>
      <c r="J37">
        <v>1.78785772948384E-2</v>
      </c>
      <c r="K37" t="s">
        <v>1049</v>
      </c>
      <c r="L37" t="s">
        <v>1014</v>
      </c>
    </row>
    <row r="38" spans="1:12" x14ac:dyDescent="0.35">
      <c r="A38">
        <v>7.7602845525897898E-2</v>
      </c>
      <c r="B38">
        <v>7.5755853629737399E-2</v>
      </c>
      <c r="C38">
        <v>0.101819091447914</v>
      </c>
      <c r="D38">
        <v>8.5137769356933707E-2</v>
      </c>
      <c r="E38" t="s">
        <v>1572</v>
      </c>
      <c r="F38" t="s">
        <v>1536</v>
      </c>
      <c r="G38">
        <v>24.719000000000001</v>
      </c>
      <c r="H38">
        <v>2.4536825962614601E-2</v>
      </c>
      <c r="I38">
        <v>32.889000000000003</v>
      </c>
      <c r="J38">
        <v>2.0636792452830299E-2</v>
      </c>
      <c r="K38" t="s">
        <v>1050</v>
      </c>
      <c r="L38" t="s">
        <v>1014</v>
      </c>
    </row>
    <row r="39" spans="1:12" x14ac:dyDescent="0.35">
      <c r="A39">
        <v>0.113838252689951</v>
      </c>
      <c r="B39">
        <v>6.1815502695247999E-2</v>
      </c>
      <c r="C39">
        <v>9.0287471336475605E-2</v>
      </c>
      <c r="D39">
        <v>0.11311171886032199</v>
      </c>
      <c r="E39" t="s">
        <v>1573</v>
      </c>
      <c r="F39" t="s">
        <v>1536</v>
      </c>
      <c r="G39">
        <v>25.259</v>
      </c>
      <c r="H39">
        <v>2.18455439135887E-2</v>
      </c>
      <c r="I39">
        <v>33.781999999999996</v>
      </c>
      <c r="J39">
        <v>2.7151935297515601E-2</v>
      </c>
      <c r="K39" t="s">
        <v>1051</v>
      </c>
      <c r="L39" t="s">
        <v>1014</v>
      </c>
    </row>
    <row r="40" spans="1:12" x14ac:dyDescent="0.35">
      <c r="A40">
        <v>0.10293672514128201</v>
      </c>
      <c r="B40">
        <v>9.6664179784869297E-2</v>
      </c>
      <c r="C40">
        <v>0.148038402658868</v>
      </c>
      <c r="D40">
        <v>0.121960082107911</v>
      </c>
      <c r="E40" t="s">
        <v>1574</v>
      </c>
      <c r="F40" t="s">
        <v>1536</v>
      </c>
      <c r="G40">
        <v>26.146000000000001</v>
      </c>
      <c r="H40">
        <v>3.5116196207292602E-2</v>
      </c>
      <c r="I40">
        <v>34.768000000000001</v>
      </c>
      <c r="J40">
        <v>2.9187141081049101E-2</v>
      </c>
      <c r="K40" t="s">
        <v>1052</v>
      </c>
      <c r="L40" t="s">
        <v>1014</v>
      </c>
    </row>
    <row r="41" spans="1:12" x14ac:dyDescent="0.35">
      <c r="A41">
        <v>0.100470180706661</v>
      </c>
      <c r="B41">
        <v>9.1027084037313494E-2</v>
      </c>
      <c r="C41">
        <v>7.0641984000731503E-2</v>
      </c>
      <c r="D41">
        <v>0.118355060703055</v>
      </c>
      <c r="E41" t="s">
        <v>1575</v>
      </c>
      <c r="F41" t="s">
        <v>1536</v>
      </c>
      <c r="G41">
        <v>26.596</v>
      </c>
      <c r="H41">
        <v>1.7211045666641198E-2</v>
      </c>
      <c r="I41">
        <v>35.753999999999998</v>
      </c>
      <c r="J41">
        <v>2.83594109526E-2</v>
      </c>
      <c r="K41" t="s">
        <v>1053</v>
      </c>
      <c r="L41" t="s">
        <v>1014</v>
      </c>
    </row>
    <row r="42" spans="1:12" x14ac:dyDescent="0.35">
      <c r="A42">
        <v>0.12552467874009099</v>
      </c>
      <c r="B42">
        <v>8.1451601423466094E-2</v>
      </c>
      <c r="C42">
        <v>0.106909632651843</v>
      </c>
      <c r="D42">
        <v>0.113864763230328</v>
      </c>
      <c r="E42" t="s">
        <v>1576</v>
      </c>
      <c r="F42" t="s">
        <v>1536</v>
      </c>
      <c r="G42">
        <v>27.28</v>
      </c>
      <c r="H42">
        <v>2.5718153105730199E-2</v>
      </c>
      <c r="I42">
        <v>36.731000000000002</v>
      </c>
      <c r="J42">
        <v>2.7325613917324101E-2</v>
      </c>
      <c r="K42" t="s">
        <v>1054</v>
      </c>
      <c r="L42" t="s">
        <v>1014</v>
      </c>
    </row>
    <row r="43" spans="1:12" x14ac:dyDescent="0.35">
      <c r="A43">
        <v>0.101539889707692</v>
      </c>
      <c r="B43">
        <v>0.163874229132176</v>
      </c>
      <c r="C43">
        <v>0.11299973225785501</v>
      </c>
      <c r="D43">
        <v>0.119816075191493</v>
      </c>
      <c r="E43" t="s">
        <v>1577</v>
      </c>
      <c r="F43" t="s">
        <v>1536</v>
      </c>
      <c r="G43">
        <v>28.02</v>
      </c>
      <c r="H43">
        <v>2.7126099706744799E-2</v>
      </c>
      <c r="I43">
        <v>37.784999999999997</v>
      </c>
      <c r="J43">
        <v>2.8695107674715899E-2</v>
      </c>
      <c r="K43" t="s">
        <v>1055</v>
      </c>
      <c r="L43" t="s">
        <v>1014</v>
      </c>
    </row>
    <row r="44" spans="1:12" x14ac:dyDescent="0.35">
      <c r="A44">
        <v>9.6919062654431398E-2</v>
      </c>
      <c r="B44">
        <v>4.1150587007602997E-2</v>
      </c>
      <c r="C44">
        <v>0.115930396885483</v>
      </c>
      <c r="D44">
        <v>0.138106666956619</v>
      </c>
      <c r="E44" t="s">
        <v>1578</v>
      </c>
      <c r="F44" t="s">
        <v>1536</v>
      </c>
      <c r="G44">
        <v>28.798999999999999</v>
      </c>
      <c r="H44">
        <v>2.7801570306923699E-2</v>
      </c>
      <c r="I44">
        <v>39.027000000000001</v>
      </c>
      <c r="J44">
        <v>3.2870186581977198E-2</v>
      </c>
      <c r="K44" t="s">
        <v>1056</v>
      </c>
      <c r="L44" t="s">
        <v>1014</v>
      </c>
    </row>
    <row r="45" spans="1:12" x14ac:dyDescent="0.35">
      <c r="A45">
        <v>0.102667735598145</v>
      </c>
      <c r="B45">
        <v>0.12591483160208999</v>
      </c>
      <c r="C45">
        <v>0.11071312036879399</v>
      </c>
      <c r="D45">
        <v>0.12373918134004901</v>
      </c>
      <c r="E45" t="s">
        <v>1579</v>
      </c>
      <c r="F45" t="s">
        <v>1536</v>
      </c>
      <c r="G45">
        <v>29.565000000000001</v>
      </c>
      <c r="H45">
        <v>2.65981457689504E-2</v>
      </c>
      <c r="I45">
        <v>40.182000000000002</v>
      </c>
      <c r="J45">
        <v>2.9594895841340601E-2</v>
      </c>
      <c r="K45" t="s">
        <v>1057</v>
      </c>
      <c r="L45" t="s">
        <v>1014</v>
      </c>
    </row>
    <row r="46" spans="1:12" x14ac:dyDescent="0.35">
      <c r="A46">
        <v>0.107873886984393</v>
      </c>
      <c r="B46">
        <v>8.2350511297398302E-2</v>
      </c>
      <c r="C46">
        <v>0.14097064786198199</v>
      </c>
      <c r="D46">
        <v>0.118188584098933</v>
      </c>
      <c r="E46" t="s">
        <v>1580</v>
      </c>
      <c r="F46" t="s">
        <v>1536</v>
      </c>
      <c r="G46">
        <v>30.556000000000001</v>
      </c>
      <c r="H46">
        <v>3.3519364112971399E-2</v>
      </c>
      <c r="I46">
        <v>41.32</v>
      </c>
      <c r="J46">
        <v>2.8321138818376401E-2</v>
      </c>
      <c r="K46" t="s">
        <v>1058</v>
      </c>
      <c r="L46" t="s">
        <v>1014</v>
      </c>
    </row>
    <row r="47" spans="1:12" x14ac:dyDescent="0.35">
      <c r="A47">
        <v>6.8864078536554199E-2</v>
      </c>
      <c r="B47">
        <v>9.6264819656522296E-2</v>
      </c>
      <c r="C47">
        <v>8.6310442735713797E-2</v>
      </c>
      <c r="D47">
        <v>9.9129163647753094E-2</v>
      </c>
      <c r="E47" t="s">
        <v>1581</v>
      </c>
      <c r="F47" t="s">
        <v>1536</v>
      </c>
      <c r="G47">
        <v>31.195</v>
      </c>
      <c r="H47">
        <v>2.0912423092027701E-2</v>
      </c>
      <c r="I47">
        <v>42.308</v>
      </c>
      <c r="J47">
        <v>2.39109390125847E-2</v>
      </c>
      <c r="K47" t="s">
        <v>1059</v>
      </c>
      <c r="L47" t="s">
        <v>1014</v>
      </c>
    </row>
    <row r="48" spans="1:12" x14ac:dyDescent="0.35">
      <c r="A48">
        <v>6.7510216956085903E-2</v>
      </c>
      <c r="B48">
        <v>9.0754628296435505E-2</v>
      </c>
      <c r="C48">
        <v>4.8692861535788202E-2</v>
      </c>
      <c r="D48">
        <v>8.4524586959714404E-2</v>
      </c>
      <c r="E48" t="s">
        <v>1582</v>
      </c>
      <c r="F48" t="s">
        <v>1536</v>
      </c>
      <c r="G48">
        <v>31.568000000000001</v>
      </c>
      <c r="H48">
        <v>1.1957044398140699E-2</v>
      </c>
      <c r="I48">
        <v>43.174999999999997</v>
      </c>
      <c r="J48">
        <v>2.0492578235794499E-2</v>
      </c>
      <c r="K48" t="s">
        <v>1060</v>
      </c>
      <c r="L48" t="s">
        <v>1014</v>
      </c>
    </row>
    <row r="49" spans="1:12" x14ac:dyDescent="0.35">
      <c r="A49">
        <v>6.2684205945477106E-2</v>
      </c>
      <c r="B49">
        <v>7.8781408158281802E-2</v>
      </c>
      <c r="C49">
        <v>6.2752816594642893E-2</v>
      </c>
      <c r="D49">
        <v>7.3171075998094998E-2</v>
      </c>
      <c r="E49" t="s">
        <v>1583</v>
      </c>
      <c r="F49" t="s">
        <v>1536</v>
      </c>
      <c r="G49">
        <v>32.052</v>
      </c>
      <c r="H49">
        <v>1.53319817536746E-2</v>
      </c>
      <c r="I49">
        <v>43.944000000000003</v>
      </c>
      <c r="J49">
        <v>1.7811233352634799E-2</v>
      </c>
      <c r="K49" t="s">
        <v>1061</v>
      </c>
      <c r="L49" t="s">
        <v>1014</v>
      </c>
    </row>
    <row r="50" spans="1:12" x14ac:dyDescent="0.35">
      <c r="A50">
        <v>5.1825632418063497E-2</v>
      </c>
      <c r="B50">
        <v>6.5520529029189395E-2</v>
      </c>
      <c r="C50">
        <v>7.2002334651775995E-2</v>
      </c>
      <c r="D50">
        <v>5.7261419360111997E-2</v>
      </c>
      <c r="E50" t="s">
        <v>1584</v>
      </c>
      <c r="F50" t="s">
        <v>1536</v>
      </c>
      <c r="G50">
        <v>32.613999999999997</v>
      </c>
      <c r="H50">
        <v>1.7534007238237701E-2</v>
      </c>
      <c r="I50">
        <v>44.56</v>
      </c>
      <c r="J50">
        <v>1.40178408884035E-2</v>
      </c>
      <c r="K50" t="s">
        <v>1062</v>
      </c>
      <c r="L50" t="s">
        <v>1014</v>
      </c>
    </row>
    <row r="51" spans="1:12" x14ac:dyDescent="0.35">
      <c r="A51">
        <v>3.9076838958162399E-2</v>
      </c>
      <c r="B51">
        <v>8.1541548822787496E-2</v>
      </c>
      <c r="C51">
        <v>6.5317850608274997E-2</v>
      </c>
      <c r="D51">
        <v>6.8572049720328196E-2</v>
      </c>
      <c r="E51" t="s">
        <v>1585</v>
      </c>
      <c r="F51" t="s">
        <v>1536</v>
      </c>
      <c r="G51">
        <v>33.134</v>
      </c>
      <c r="H51">
        <v>1.5944073097442901E-2</v>
      </c>
      <c r="I51">
        <v>45.305</v>
      </c>
      <c r="J51">
        <v>1.6719030520646199E-2</v>
      </c>
      <c r="K51" t="s">
        <v>1063</v>
      </c>
      <c r="L51" t="s">
        <v>1014</v>
      </c>
    </row>
    <row r="52" spans="1:12" x14ac:dyDescent="0.35">
      <c r="A52">
        <v>6.4698202701339205E-2</v>
      </c>
      <c r="B52">
        <v>3.4072636599968002E-2</v>
      </c>
      <c r="C52">
        <v>6.8068638365729198E-2</v>
      </c>
      <c r="D52">
        <v>4.8078704643683703E-2</v>
      </c>
      <c r="E52" t="s">
        <v>1586</v>
      </c>
      <c r="F52" t="s">
        <v>1536</v>
      </c>
      <c r="G52">
        <v>33.683999999999997</v>
      </c>
      <c r="H52">
        <v>1.65992635963059E-2</v>
      </c>
      <c r="I52">
        <v>45.84</v>
      </c>
      <c r="J52">
        <v>1.1808851120185501E-2</v>
      </c>
      <c r="K52" t="s">
        <v>1064</v>
      </c>
      <c r="L52" t="s">
        <v>1014</v>
      </c>
    </row>
    <row r="53" spans="1:12" x14ac:dyDescent="0.35">
      <c r="A53">
        <v>4.4829664945906803E-2</v>
      </c>
      <c r="B53">
        <v>4.8009313734526098E-2</v>
      </c>
      <c r="C53">
        <v>6.1455443169872802E-2</v>
      </c>
      <c r="D53">
        <v>1.01606507354322E-2</v>
      </c>
      <c r="E53" t="s">
        <v>1587</v>
      </c>
      <c r="F53" t="s">
        <v>1536</v>
      </c>
      <c r="G53">
        <v>34.19</v>
      </c>
      <c r="H53">
        <v>1.5021968887305399E-2</v>
      </c>
      <c r="I53">
        <v>45.956000000000003</v>
      </c>
      <c r="J53">
        <v>2.5305410122164998E-3</v>
      </c>
      <c r="K53" t="s">
        <v>1065</v>
      </c>
      <c r="L53" t="s">
        <v>1014</v>
      </c>
    </row>
    <row r="54" spans="1:12" x14ac:dyDescent="0.35">
      <c r="A54">
        <v>3.3496613159939903E-2</v>
      </c>
      <c r="B54">
        <v>7.5539459294806698E-3</v>
      </c>
      <c r="C54">
        <v>3.4722196261408399E-2</v>
      </c>
      <c r="D54">
        <v>3.7479666516224701E-3</v>
      </c>
      <c r="E54" t="s">
        <v>1588</v>
      </c>
      <c r="F54" t="s">
        <v>1536</v>
      </c>
      <c r="G54">
        <v>34.482999999999997</v>
      </c>
      <c r="H54">
        <v>8.5697572389587008E-3</v>
      </c>
      <c r="I54">
        <v>45.999000000000002</v>
      </c>
      <c r="J54">
        <v>9.3567760466539696E-4</v>
      </c>
      <c r="K54" t="s">
        <v>1066</v>
      </c>
      <c r="L54" t="s">
        <v>1014</v>
      </c>
    </row>
    <row r="55" spans="1:12" x14ac:dyDescent="0.35">
      <c r="A55">
        <v>3.7100673423204902E-2</v>
      </c>
      <c r="B55">
        <v>3.1269437697415199E-2</v>
      </c>
      <c r="C55">
        <v>5.5765239502398901E-2</v>
      </c>
      <c r="D55">
        <v>-5.3805310591299397E-3</v>
      </c>
      <c r="E55" t="s">
        <v>1589</v>
      </c>
      <c r="F55" t="s">
        <v>1536</v>
      </c>
      <c r="G55">
        <v>34.954000000000001</v>
      </c>
      <c r="H55">
        <v>1.36589043876694E-2</v>
      </c>
      <c r="I55">
        <v>45.936999999999998</v>
      </c>
      <c r="J55">
        <v>-1.3478553881607299E-3</v>
      </c>
      <c r="K55" t="s">
        <v>1067</v>
      </c>
      <c r="L55" t="s">
        <v>1014</v>
      </c>
    </row>
    <row r="56" spans="1:12" x14ac:dyDescent="0.35">
      <c r="A56">
        <v>5.3607020035561601E-2</v>
      </c>
      <c r="B56">
        <v>4.5007889346835098E-2</v>
      </c>
      <c r="C56">
        <v>4.7632291898301399E-2</v>
      </c>
      <c r="D56">
        <v>2.2658930308778699E-3</v>
      </c>
      <c r="E56" t="s">
        <v>1590</v>
      </c>
      <c r="F56" t="s">
        <v>1536</v>
      </c>
      <c r="G56">
        <v>35.363</v>
      </c>
      <c r="H56">
        <v>1.17010928649082E-2</v>
      </c>
      <c r="I56">
        <v>45.963000000000001</v>
      </c>
      <c r="J56">
        <v>5.6599255502098899E-4</v>
      </c>
      <c r="K56" t="s">
        <v>1068</v>
      </c>
      <c r="L56" t="s">
        <v>1014</v>
      </c>
    </row>
    <row r="57" spans="1:12" x14ac:dyDescent="0.35">
      <c r="A57">
        <v>2.6644627827705498E-2</v>
      </c>
      <c r="B57">
        <v>2.64126969592136E-2</v>
      </c>
      <c r="C57">
        <v>3.7969215238040602E-2</v>
      </c>
      <c r="D57">
        <v>-1.13086488994096E-3</v>
      </c>
      <c r="E57" t="s">
        <v>1591</v>
      </c>
      <c r="F57" t="s">
        <v>1536</v>
      </c>
      <c r="G57">
        <v>35.694000000000003</v>
      </c>
      <c r="H57">
        <v>9.3600656052936805E-3</v>
      </c>
      <c r="I57">
        <v>45.95</v>
      </c>
      <c r="J57">
        <v>-2.82836194330227E-4</v>
      </c>
      <c r="K57" t="s">
        <v>1069</v>
      </c>
      <c r="L57" t="s">
        <v>1014</v>
      </c>
    </row>
    <row r="58" spans="1:12" x14ac:dyDescent="0.35">
      <c r="A58">
        <v>4.3935723897537297E-2</v>
      </c>
      <c r="B58">
        <v>5.28225710519643E-2</v>
      </c>
      <c r="C58">
        <v>7.2018998740306803E-2</v>
      </c>
      <c r="D58">
        <v>4.3596665649268101E-3</v>
      </c>
      <c r="E58" t="s">
        <v>1592</v>
      </c>
      <c r="F58" t="s">
        <v>1536</v>
      </c>
      <c r="G58">
        <v>36.32</v>
      </c>
      <c r="H58">
        <v>1.7537961562167099E-2</v>
      </c>
      <c r="I58">
        <v>46</v>
      </c>
      <c r="J58">
        <v>1.0881392818280499E-3</v>
      </c>
      <c r="K58" t="s">
        <v>1070</v>
      </c>
      <c r="L58" t="s">
        <v>1014</v>
      </c>
    </row>
    <row r="59" spans="1:12" x14ac:dyDescent="0.35">
      <c r="A59">
        <v>3.93022623248813E-2</v>
      </c>
      <c r="B59">
        <v>4.0487191821635002E-2</v>
      </c>
      <c r="C59">
        <v>4.4330796852368702E-2</v>
      </c>
      <c r="D59">
        <v>1.4249428601276599E-2</v>
      </c>
      <c r="E59" t="s">
        <v>1593</v>
      </c>
      <c r="F59" t="s">
        <v>1536</v>
      </c>
      <c r="G59">
        <v>36.716000000000001</v>
      </c>
      <c r="H59">
        <v>1.09030837004405E-2</v>
      </c>
      <c r="I59">
        <v>46.162999999999997</v>
      </c>
      <c r="J59">
        <v>3.5434782608694299E-3</v>
      </c>
      <c r="K59" t="s">
        <v>1071</v>
      </c>
      <c r="L59" t="s">
        <v>1014</v>
      </c>
    </row>
    <row r="60" spans="1:12" x14ac:dyDescent="0.35">
      <c r="A60">
        <v>3.1206818640470101E-2</v>
      </c>
      <c r="B60">
        <v>6.08178890509075E-2</v>
      </c>
      <c r="C60">
        <v>4.3619950255883798E-2</v>
      </c>
      <c r="D60">
        <v>1.29734153291148E-2</v>
      </c>
      <c r="E60" t="s">
        <v>1594</v>
      </c>
      <c r="F60" t="s">
        <v>1536</v>
      </c>
      <c r="G60">
        <v>37.11</v>
      </c>
      <c r="H60">
        <v>1.07310164505936E-2</v>
      </c>
      <c r="I60">
        <v>46.311999999999998</v>
      </c>
      <c r="J60">
        <v>3.22769317418703E-3</v>
      </c>
      <c r="K60" t="s">
        <v>1072</v>
      </c>
      <c r="L60" t="s">
        <v>1014</v>
      </c>
    </row>
    <row r="61" spans="1:12" x14ac:dyDescent="0.35">
      <c r="A61">
        <v>2.4937045869749999E-2</v>
      </c>
      <c r="B61">
        <v>5.0188195911601098E-2</v>
      </c>
      <c r="C61">
        <v>4.8053419713626901E-2</v>
      </c>
      <c r="D61">
        <v>8.1435979249952998E-3</v>
      </c>
      <c r="E61" t="s">
        <v>1595</v>
      </c>
      <c r="F61" t="s">
        <v>1536</v>
      </c>
      <c r="G61">
        <v>37.548000000000002</v>
      </c>
      <c r="H61">
        <v>1.1802748585286999E-2</v>
      </c>
      <c r="I61">
        <v>46.405999999999999</v>
      </c>
      <c r="J61">
        <v>2.0297115218517198E-3</v>
      </c>
      <c r="K61" t="s">
        <v>1073</v>
      </c>
      <c r="L61" t="s">
        <v>1014</v>
      </c>
    </row>
    <row r="62" spans="1:12" x14ac:dyDescent="0.35">
      <c r="A62">
        <v>4.8021891562025902E-2</v>
      </c>
      <c r="B62">
        <v>-1.5869949670850401E-2</v>
      </c>
      <c r="C62">
        <v>5.3895269710959599E-2</v>
      </c>
      <c r="D62">
        <v>2.2424648618448499E-2</v>
      </c>
      <c r="E62" t="s">
        <v>1596</v>
      </c>
      <c r="F62" t="s">
        <v>1536</v>
      </c>
      <c r="G62">
        <v>38.043999999999997</v>
      </c>
      <c r="H62">
        <v>1.3209758176201E-2</v>
      </c>
      <c r="I62">
        <v>46.664000000000001</v>
      </c>
      <c r="J62">
        <v>5.5596259104426799E-3</v>
      </c>
      <c r="K62" t="s">
        <v>1074</v>
      </c>
      <c r="L62" t="s">
        <v>1014</v>
      </c>
    </row>
    <row r="63" spans="1:12" x14ac:dyDescent="0.35">
      <c r="A63">
        <v>3.2831975950411901E-2</v>
      </c>
      <c r="B63">
        <v>9.4485381047573203E-3</v>
      </c>
      <c r="C63">
        <v>4.6526948089148097E-2</v>
      </c>
      <c r="D63">
        <v>1.2400816449865701E-2</v>
      </c>
      <c r="E63" t="s">
        <v>1597</v>
      </c>
      <c r="F63" t="s">
        <v>1536</v>
      </c>
      <c r="G63">
        <v>38.478999999999999</v>
      </c>
      <c r="H63">
        <v>1.1434128903375E-2</v>
      </c>
      <c r="I63">
        <v>46.808</v>
      </c>
      <c r="J63">
        <v>3.0858906223212301E-3</v>
      </c>
      <c r="K63" t="s">
        <v>1075</v>
      </c>
      <c r="L63" t="s">
        <v>1014</v>
      </c>
    </row>
    <row r="64" spans="1:12" x14ac:dyDescent="0.35">
      <c r="A64">
        <v>3.1711964087017402E-2</v>
      </c>
      <c r="B64">
        <v>2.1519541922931699E-2</v>
      </c>
      <c r="C64">
        <v>3.7630817464174598E-2</v>
      </c>
      <c r="D64">
        <v>1.6508679737656601E-2</v>
      </c>
      <c r="E64" t="s">
        <v>1598</v>
      </c>
      <c r="F64" t="s">
        <v>1536</v>
      </c>
      <c r="G64">
        <v>38.835999999999999</v>
      </c>
      <c r="H64">
        <v>9.2777878843004497E-3</v>
      </c>
      <c r="I64">
        <v>47</v>
      </c>
      <c r="J64">
        <v>4.1018629294138397E-3</v>
      </c>
      <c r="K64" t="s">
        <v>1076</v>
      </c>
      <c r="L64" t="s">
        <v>1014</v>
      </c>
    </row>
    <row r="65" spans="1:12" x14ac:dyDescent="0.35">
      <c r="A65">
        <v>2.8237310351865798E-2</v>
      </c>
      <c r="B65">
        <v>2.6513418939119401E-2</v>
      </c>
      <c r="C65">
        <v>4.0884190168569902E-2</v>
      </c>
      <c r="D65">
        <v>2.40435812756121E-2</v>
      </c>
      <c r="E65" t="s">
        <v>1599</v>
      </c>
      <c r="F65" t="s">
        <v>1536</v>
      </c>
      <c r="G65">
        <v>39.226999999999997</v>
      </c>
      <c r="H65">
        <v>1.0067978164589601E-2</v>
      </c>
      <c r="I65">
        <v>47.28</v>
      </c>
      <c r="J65">
        <v>5.9574468085106204E-3</v>
      </c>
      <c r="K65" t="s">
        <v>1077</v>
      </c>
      <c r="L65" t="s">
        <v>1014</v>
      </c>
    </row>
    <row r="66" spans="1:12" x14ac:dyDescent="0.35">
      <c r="A66">
        <v>2.86487834236928E-2</v>
      </c>
      <c r="B66">
        <v>-1.00878062845416E-2</v>
      </c>
      <c r="C66">
        <v>1.47648166353573E-2</v>
      </c>
      <c r="D66">
        <v>2.5106061305751201E-2</v>
      </c>
      <c r="E66" t="s">
        <v>1600</v>
      </c>
      <c r="F66" t="s">
        <v>1536</v>
      </c>
      <c r="G66">
        <v>39.371000000000002</v>
      </c>
      <c r="H66">
        <v>3.6709409335409201E-3</v>
      </c>
      <c r="I66">
        <v>47.573999999999998</v>
      </c>
      <c r="J66">
        <v>6.2182741116749698E-3</v>
      </c>
      <c r="K66" t="s">
        <v>1078</v>
      </c>
      <c r="L66" t="s">
        <v>1014</v>
      </c>
    </row>
    <row r="67" spans="1:12" x14ac:dyDescent="0.35">
      <c r="A67">
        <v>-4.2153079272678803E-3</v>
      </c>
      <c r="B67">
        <v>-9.8843189037382002E-3</v>
      </c>
      <c r="C67">
        <v>1.2042523964300099E-2</v>
      </c>
      <c r="D67">
        <v>4.1753162692227598E-2</v>
      </c>
      <c r="E67" t="s">
        <v>1601</v>
      </c>
      <c r="F67" t="s">
        <v>1536</v>
      </c>
      <c r="G67">
        <v>39.488999999999997</v>
      </c>
      <c r="H67">
        <v>2.9971298671609401E-3</v>
      </c>
      <c r="I67">
        <v>48.063000000000002</v>
      </c>
      <c r="J67">
        <v>1.02787236725943E-2</v>
      </c>
      <c r="K67" t="s">
        <v>1079</v>
      </c>
      <c r="L67" t="s">
        <v>1014</v>
      </c>
    </row>
    <row r="68" spans="1:12" x14ac:dyDescent="0.35">
      <c r="A68">
        <v>2.1224970793817698E-2</v>
      </c>
      <c r="B68">
        <v>5.6401548408471199E-3</v>
      </c>
      <c r="C68">
        <v>3.4679470629119601E-2</v>
      </c>
      <c r="D68">
        <v>3.6953475595025202E-2</v>
      </c>
      <c r="E68" t="s">
        <v>1602</v>
      </c>
      <c r="F68" t="s">
        <v>1536</v>
      </c>
      <c r="G68">
        <v>39.826999999999998</v>
      </c>
      <c r="H68">
        <v>8.5593456405581598E-3</v>
      </c>
      <c r="I68">
        <v>48.500999999999998</v>
      </c>
      <c r="J68">
        <v>9.1130391361338194E-3</v>
      </c>
      <c r="K68" t="s">
        <v>1080</v>
      </c>
      <c r="L68" t="s">
        <v>1014</v>
      </c>
    </row>
    <row r="69" spans="1:12" x14ac:dyDescent="0.35">
      <c r="A69">
        <v>2.4413629868112598E-2</v>
      </c>
      <c r="B69">
        <v>4.55022354216461E-3</v>
      </c>
      <c r="C69">
        <v>5.3779833992726497E-2</v>
      </c>
      <c r="D69">
        <v>4.4006184582173501E-2</v>
      </c>
      <c r="E69" t="s">
        <v>1603</v>
      </c>
      <c r="F69" t="s">
        <v>1536</v>
      </c>
      <c r="G69">
        <v>40.351999999999997</v>
      </c>
      <c r="H69">
        <v>1.3182012202777E-2</v>
      </c>
      <c r="I69">
        <v>49.026000000000003</v>
      </c>
      <c r="J69">
        <v>1.08245190820808E-2</v>
      </c>
      <c r="K69" t="s">
        <v>1081</v>
      </c>
      <c r="L69" t="s">
        <v>1014</v>
      </c>
    </row>
    <row r="70" spans="1:12" x14ac:dyDescent="0.35">
      <c r="A70">
        <v>3.8220568833408297E-2</v>
      </c>
      <c r="B70">
        <v>-6.8268953681047701E-3</v>
      </c>
      <c r="C70">
        <v>6.6318650583382599E-2</v>
      </c>
      <c r="D70">
        <v>2.5866237951436302E-2</v>
      </c>
      <c r="E70" t="s">
        <v>1604</v>
      </c>
      <c r="F70" t="s">
        <v>1536</v>
      </c>
      <c r="G70">
        <v>41.005000000000003</v>
      </c>
      <c r="H70">
        <v>1.61825931800159E-2</v>
      </c>
      <c r="I70">
        <v>49.34</v>
      </c>
      <c r="J70">
        <v>6.4047648186675897E-3</v>
      </c>
      <c r="K70" t="s">
        <v>1082</v>
      </c>
      <c r="L70" t="s">
        <v>1014</v>
      </c>
    </row>
    <row r="71" spans="1:12" x14ac:dyDescent="0.35">
      <c r="A71">
        <v>3.9129087464599803E-2</v>
      </c>
      <c r="B71">
        <v>1.9164012541417402E-2</v>
      </c>
      <c r="C71">
        <v>5.3726223643289599E-2</v>
      </c>
      <c r="D71">
        <v>3.4070959420577702E-2</v>
      </c>
      <c r="E71" t="s">
        <v>1605</v>
      </c>
      <c r="F71" t="s">
        <v>1536</v>
      </c>
      <c r="G71">
        <v>41.545000000000002</v>
      </c>
      <c r="H71">
        <v>1.3169125716376E-2</v>
      </c>
      <c r="I71">
        <v>49.755000000000003</v>
      </c>
      <c r="J71">
        <v>8.4110255370895004E-3</v>
      </c>
      <c r="K71" t="s">
        <v>1083</v>
      </c>
      <c r="L71" t="s">
        <v>1014</v>
      </c>
    </row>
    <row r="72" spans="1:12" x14ac:dyDescent="0.35">
      <c r="A72">
        <v>3.8454021368670203E-2</v>
      </c>
      <c r="B72">
        <v>2.9219770282175001E-2</v>
      </c>
      <c r="C72">
        <v>5.1713813262120399E-2</v>
      </c>
      <c r="D72">
        <v>3.6092988240003197E-2</v>
      </c>
      <c r="E72" t="s">
        <v>1606</v>
      </c>
      <c r="F72" t="s">
        <v>1536</v>
      </c>
      <c r="G72">
        <v>42.072000000000003</v>
      </c>
      <c r="H72">
        <v>1.2685040317727899E-2</v>
      </c>
      <c r="I72">
        <v>50.198</v>
      </c>
      <c r="J72">
        <v>8.9036277761027592E-3</v>
      </c>
      <c r="K72" t="s">
        <v>1084</v>
      </c>
      <c r="L72" t="s">
        <v>1014</v>
      </c>
    </row>
    <row r="73" spans="1:12" x14ac:dyDescent="0.35">
      <c r="A73">
        <v>3.5013174112648898E-2</v>
      </c>
      <c r="B73">
        <v>8.3996255435596599E-3</v>
      </c>
      <c r="C73">
        <v>2.4659104438458999E-2</v>
      </c>
      <c r="D73">
        <v>2.13651369698558E-2</v>
      </c>
      <c r="E73" t="s">
        <v>1607</v>
      </c>
      <c r="F73" t="s">
        <v>1536</v>
      </c>
      <c r="G73">
        <v>42.329000000000001</v>
      </c>
      <c r="H73">
        <v>6.1085757748620103E-3</v>
      </c>
      <c r="I73">
        <v>50.463999999999999</v>
      </c>
      <c r="J73">
        <v>5.29901589704762E-3</v>
      </c>
      <c r="K73" t="s">
        <v>1085</v>
      </c>
      <c r="L73" t="s">
        <v>1014</v>
      </c>
    </row>
    <row r="74" spans="1:12" x14ac:dyDescent="0.35">
      <c r="A74">
        <v>3.19577361885768E-2</v>
      </c>
      <c r="B74">
        <v>5.5666299963321703E-2</v>
      </c>
      <c r="C74">
        <v>1.7884305064996799E-2</v>
      </c>
      <c r="D74">
        <v>3.2571809116936898E-2</v>
      </c>
      <c r="E74" t="s">
        <v>1608</v>
      </c>
      <c r="F74" t="s">
        <v>1536</v>
      </c>
      <c r="G74">
        <v>42.517000000000003</v>
      </c>
      <c r="H74">
        <v>4.4413995133361101E-3</v>
      </c>
      <c r="I74">
        <v>50.87</v>
      </c>
      <c r="J74">
        <v>8.0453392517438899E-3</v>
      </c>
      <c r="K74" t="s">
        <v>1086</v>
      </c>
      <c r="L74" t="s">
        <v>1014</v>
      </c>
    </row>
    <row r="75" spans="1:12" x14ac:dyDescent="0.35">
      <c r="A75">
        <v>4.4899260052234199E-2</v>
      </c>
      <c r="B75">
        <v>3.99278081765242E-2</v>
      </c>
      <c r="C75">
        <v>4.3789897152202203E-2</v>
      </c>
      <c r="D75">
        <v>2.2279292577718199E-2</v>
      </c>
      <c r="E75" t="s">
        <v>1609</v>
      </c>
      <c r="F75" t="s">
        <v>1536</v>
      </c>
      <c r="G75">
        <v>42.975000000000001</v>
      </c>
      <c r="H75">
        <v>1.0772161723545901E-2</v>
      </c>
      <c r="I75">
        <v>51.151000000000003</v>
      </c>
      <c r="J75">
        <v>5.5238844112444098E-3</v>
      </c>
      <c r="K75" t="s">
        <v>1087</v>
      </c>
      <c r="L75" t="s">
        <v>1014</v>
      </c>
    </row>
    <row r="76" spans="1:12" x14ac:dyDescent="0.35">
      <c r="A76">
        <v>5.0215068802573502E-2</v>
      </c>
      <c r="B76">
        <v>2.3053377277420399E-2</v>
      </c>
      <c r="C76">
        <v>3.6032445200426998E-2</v>
      </c>
      <c r="D76">
        <v>2.6056753006691701E-2</v>
      </c>
      <c r="E76" t="s">
        <v>1610</v>
      </c>
      <c r="F76" t="s">
        <v>1536</v>
      </c>
      <c r="G76">
        <v>43.356999999999999</v>
      </c>
      <c r="H76">
        <v>8.8888888888889496E-3</v>
      </c>
      <c r="I76">
        <v>51.481000000000002</v>
      </c>
      <c r="J76">
        <v>6.45148677445206E-3</v>
      </c>
      <c r="K76" t="s">
        <v>1088</v>
      </c>
      <c r="L76" t="s">
        <v>1014</v>
      </c>
    </row>
    <row r="77" spans="1:12" x14ac:dyDescent="0.35">
      <c r="A77">
        <v>4.1025346631292002E-2</v>
      </c>
      <c r="B77">
        <v>3.2561998713341901E-2</v>
      </c>
      <c r="C77">
        <v>5.2865449677459202E-2</v>
      </c>
      <c r="D77">
        <v>2.13020937510979E-2</v>
      </c>
      <c r="E77" t="s">
        <v>1611</v>
      </c>
      <c r="F77" t="s">
        <v>1536</v>
      </c>
      <c r="G77">
        <v>43.918999999999997</v>
      </c>
      <c r="H77">
        <v>1.29621514403671E-2</v>
      </c>
      <c r="I77">
        <v>51.753</v>
      </c>
      <c r="J77">
        <v>5.2835026514637101E-3</v>
      </c>
      <c r="K77" t="s">
        <v>1089</v>
      </c>
      <c r="L77" t="s">
        <v>1014</v>
      </c>
    </row>
    <row r="78" spans="1:12" x14ac:dyDescent="0.35">
      <c r="A78">
        <v>4.6770164599538401E-2</v>
      </c>
      <c r="B78">
        <v>3.00519488200592E-2</v>
      </c>
      <c r="C78">
        <v>6.2050852369377699E-2</v>
      </c>
      <c r="D78">
        <v>1.9463013158635498E-2</v>
      </c>
      <c r="E78" t="s">
        <v>1612</v>
      </c>
      <c r="F78" t="s">
        <v>1536</v>
      </c>
      <c r="G78">
        <v>44.585000000000001</v>
      </c>
      <c r="H78">
        <v>1.5164279696714401E-2</v>
      </c>
      <c r="I78">
        <v>52.003</v>
      </c>
      <c r="J78">
        <v>4.8306378374200999E-3</v>
      </c>
      <c r="K78" t="s">
        <v>1090</v>
      </c>
      <c r="L78" t="s">
        <v>1014</v>
      </c>
    </row>
    <row r="79" spans="1:12" x14ac:dyDescent="0.35">
      <c r="A79">
        <v>5.4994617531312101E-2</v>
      </c>
      <c r="B79">
        <v>2.9679316947533299E-2</v>
      </c>
      <c r="C79">
        <v>6.0821876360983101E-2</v>
      </c>
      <c r="D79">
        <v>3.2856918868300999E-2</v>
      </c>
      <c r="E79" t="s">
        <v>1613</v>
      </c>
      <c r="F79" t="s">
        <v>1536</v>
      </c>
      <c r="G79">
        <v>45.247999999999998</v>
      </c>
      <c r="H79">
        <v>1.48704721318829E-2</v>
      </c>
      <c r="I79">
        <v>52.424999999999997</v>
      </c>
      <c r="J79">
        <v>8.1149164471279196E-3</v>
      </c>
      <c r="K79" t="s">
        <v>1091</v>
      </c>
      <c r="L79" t="s">
        <v>1014</v>
      </c>
    </row>
    <row r="80" spans="1:12" x14ac:dyDescent="0.35">
      <c r="A80">
        <v>2.3822978628153201E-2</v>
      </c>
      <c r="B80">
        <v>2.0057150963272801E-2</v>
      </c>
      <c r="C80">
        <v>3.9922896172757301E-2</v>
      </c>
      <c r="D80">
        <v>3.0012482573731999E-2</v>
      </c>
      <c r="E80" t="s">
        <v>1614</v>
      </c>
      <c r="F80" t="s">
        <v>1536</v>
      </c>
      <c r="G80">
        <v>45.692999999999998</v>
      </c>
      <c r="H80">
        <v>9.8346888260254506E-3</v>
      </c>
      <c r="I80">
        <v>52.814</v>
      </c>
      <c r="J80">
        <v>7.4201239866476002E-3</v>
      </c>
      <c r="K80" t="s">
        <v>1092</v>
      </c>
      <c r="L80" t="s">
        <v>1014</v>
      </c>
    </row>
    <row r="81" spans="1:12" x14ac:dyDescent="0.35">
      <c r="A81">
        <v>3.1803231650019199E-2</v>
      </c>
      <c r="B81">
        <v>1.4432124176051201E-2</v>
      </c>
      <c r="C81">
        <v>6.0046453160524503E-2</v>
      </c>
      <c r="D81">
        <v>2.2222434897181301E-2</v>
      </c>
      <c r="E81" t="s">
        <v>1615</v>
      </c>
      <c r="F81" t="s">
        <v>1536</v>
      </c>
      <c r="G81">
        <v>46.363999999999997</v>
      </c>
      <c r="H81">
        <v>1.46849626857506E-2</v>
      </c>
      <c r="I81">
        <v>53.104999999999997</v>
      </c>
      <c r="J81">
        <v>5.5099026773204303E-3</v>
      </c>
      <c r="K81" t="s">
        <v>1093</v>
      </c>
      <c r="L81" t="s">
        <v>1014</v>
      </c>
    </row>
    <row r="82" spans="1:12" x14ac:dyDescent="0.35">
      <c r="A82">
        <v>5.92740793130948E-2</v>
      </c>
      <c r="B82">
        <v>2.8330647899498702E-2</v>
      </c>
      <c r="C82">
        <v>6.4935137330784501E-2</v>
      </c>
      <c r="D82">
        <v>2.9085137772108E-2</v>
      </c>
      <c r="E82" t="s">
        <v>1616</v>
      </c>
      <c r="F82" t="s">
        <v>1536</v>
      </c>
      <c r="G82">
        <v>47.098999999999997</v>
      </c>
      <c r="H82">
        <v>1.5852816840652199E-2</v>
      </c>
      <c r="I82">
        <v>53.487000000000002</v>
      </c>
      <c r="J82">
        <v>7.1932962997835999E-3</v>
      </c>
      <c r="K82" t="s">
        <v>1094</v>
      </c>
      <c r="L82" t="s">
        <v>1014</v>
      </c>
    </row>
    <row r="83" spans="1:12" x14ac:dyDescent="0.35">
      <c r="A83">
        <v>3.6833081072387398E-2</v>
      </c>
      <c r="B83">
        <v>7.0464261662823505E-2</v>
      </c>
      <c r="C83">
        <v>4.34077415784246E-2</v>
      </c>
      <c r="D83">
        <v>3.5768290293157798E-2</v>
      </c>
      <c r="E83" t="s">
        <v>1617</v>
      </c>
      <c r="F83" t="s">
        <v>1536</v>
      </c>
      <c r="G83">
        <v>47.601999999999997</v>
      </c>
      <c r="H83">
        <v>1.0679632263954599E-2</v>
      </c>
      <c r="I83">
        <v>53.959000000000003</v>
      </c>
      <c r="J83">
        <v>8.8245741955990092E-3</v>
      </c>
      <c r="K83" t="s">
        <v>1095</v>
      </c>
      <c r="L83" t="s">
        <v>1014</v>
      </c>
    </row>
    <row r="84" spans="1:12" x14ac:dyDescent="0.35">
      <c r="A84">
        <v>5.1769155239957503E-2</v>
      </c>
      <c r="B84">
        <v>5.3870047588526803E-3</v>
      </c>
      <c r="C84">
        <v>5.9429132401131797E-2</v>
      </c>
      <c r="D84">
        <v>3.9413809912278698E-2</v>
      </c>
      <c r="E84" t="s">
        <v>1618</v>
      </c>
      <c r="F84" t="s">
        <v>1536</v>
      </c>
      <c r="G84">
        <v>48.293999999999997</v>
      </c>
      <c r="H84">
        <v>1.4537204319146299E-2</v>
      </c>
      <c r="I84">
        <v>54.482999999999997</v>
      </c>
      <c r="J84">
        <v>9.7110769287791499E-3</v>
      </c>
      <c r="K84" t="s">
        <v>1096</v>
      </c>
      <c r="L84" t="s">
        <v>1014</v>
      </c>
    </row>
    <row r="85" spans="1:12" x14ac:dyDescent="0.35">
      <c r="A85">
        <v>5.3985249536158401E-2</v>
      </c>
      <c r="B85">
        <v>4.8480456964960797E-2</v>
      </c>
      <c r="C85">
        <v>7.7879333039596599E-2</v>
      </c>
      <c r="D85">
        <v>1.0688095589023601E-2</v>
      </c>
      <c r="E85" t="s">
        <v>1619</v>
      </c>
      <c r="F85" t="s">
        <v>1536</v>
      </c>
      <c r="G85">
        <v>49.207999999999998</v>
      </c>
      <c r="H85">
        <v>1.8925746469540702E-2</v>
      </c>
      <c r="I85">
        <v>54.628</v>
      </c>
      <c r="J85">
        <v>2.66138061413668E-3</v>
      </c>
      <c r="K85" t="s">
        <v>1097</v>
      </c>
      <c r="L85" t="s">
        <v>1014</v>
      </c>
    </row>
    <row r="86" spans="1:12" x14ac:dyDescent="0.35">
      <c r="A86">
        <v>2.1158982786186002E-2</v>
      </c>
      <c r="B86">
        <v>3.6386290478485302E-2</v>
      </c>
      <c r="C86">
        <v>1.91574066493869E-2</v>
      </c>
      <c r="D86">
        <v>7.9315148019272197E-3</v>
      </c>
      <c r="E86" t="s">
        <v>1620</v>
      </c>
      <c r="F86" t="s">
        <v>1536</v>
      </c>
      <c r="G86">
        <v>49.442</v>
      </c>
      <c r="H86">
        <v>4.7553243375060301E-3</v>
      </c>
      <c r="I86">
        <v>54.735999999999997</v>
      </c>
      <c r="J86">
        <v>1.9770081276999601E-3</v>
      </c>
      <c r="K86" t="s">
        <v>1098</v>
      </c>
      <c r="L86" t="s">
        <v>1014</v>
      </c>
    </row>
    <row r="87" spans="1:12" x14ac:dyDescent="0.35">
      <c r="A87">
        <v>2.2052154501282398E-2</v>
      </c>
      <c r="B87">
        <v>1.9883287825612099E-2</v>
      </c>
      <c r="C87">
        <v>2.5316754451185201E-2</v>
      </c>
      <c r="D87">
        <v>2.0767815828135701E-2</v>
      </c>
      <c r="E87" t="s">
        <v>1621</v>
      </c>
      <c r="F87" t="s">
        <v>1536</v>
      </c>
      <c r="G87">
        <v>49.752000000000002</v>
      </c>
      <c r="H87">
        <v>6.2699728975366097E-3</v>
      </c>
      <c r="I87">
        <v>55.018000000000001</v>
      </c>
      <c r="J87">
        <v>5.1520023384976597E-3</v>
      </c>
      <c r="K87" t="s">
        <v>1099</v>
      </c>
      <c r="L87" t="s">
        <v>1014</v>
      </c>
    </row>
    <row r="88" spans="1:12" x14ac:dyDescent="0.35">
      <c r="A88">
        <v>2.7438615126695699E-2</v>
      </c>
      <c r="B88">
        <v>5.2374465161812503E-2</v>
      </c>
      <c r="C88">
        <v>3.8739820782161899E-2</v>
      </c>
      <c r="D88">
        <v>1.0657034721188501E-2</v>
      </c>
      <c r="E88" t="s">
        <v>1622</v>
      </c>
      <c r="F88" t="s">
        <v>1536</v>
      </c>
      <c r="G88">
        <v>50.226999999999997</v>
      </c>
      <c r="H88">
        <v>9.5473548802056402E-3</v>
      </c>
      <c r="I88">
        <v>55.164000000000001</v>
      </c>
      <c r="J88">
        <v>2.6536769784435399E-3</v>
      </c>
      <c r="K88" t="s">
        <v>1100</v>
      </c>
      <c r="L88" t="s">
        <v>1014</v>
      </c>
    </row>
    <row r="89" spans="1:12" x14ac:dyDescent="0.35">
      <c r="A89">
        <v>2.9370792816648401E-2</v>
      </c>
      <c r="B89">
        <v>4.1076934031538899E-2</v>
      </c>
      <c r="C89">
        <v>4.6254885206873202E-2</v>
      </c>
      <c r="D89">
        <v>-9.9690396175571294E-3</v>
      </c>
      <c r="E89" t="s">
        <v>1623</v>
      </c>
      <c r="F89" t="s">
        <v>1536</v>
      </c>
      <c r="G89">
        <v>50.798000000000002</v>
      </c>
      <c r="H89">
        <v>1.13683875206563E-2</v>
      </c>
      <c r="I89">
        <v>55.026000000000003</v>
      </c>
      <c r="J89">
        <v>-2.5016314988035599E-3</v>
      </c>
      <c r="K89" t="s">
        <v>1101</v>
      </c>
      <c r="L89" t="s">
        <v>1014</v>
      </c>
    </row>
    <row r="90" spans="1:12" x14ac:dyDescent="0.35">
      <c r="A90">
        <v>2.5261592124571599E-2</v>
      </c>
      <c r="B90">
        <v>5.8581566563336001E-3</v>
      </c>
      <c r="C90">
        <v>3.8335869645315497E-2</v>
      </c>
      <c r="D90">
        <v>-1.04267601108922E-2</v>
      </c>
      <c r="E90" t="s">
        <v>1624</v>
      </c>
      <c r="F90" t="s">
        <v>1536</v>
      </c>
      <c r="G90">
        <v>51.277999999999999</v>
      </c>
      <c r="H90">
        <v>9.4491909130280903E-3</v>
      </c>
      <c r="I90">
        <v>54.881999999999998</v>
      </c>
      <c r="J90">
        <v>-2.61694471704299E-3</v>
      </c>
      <c r="K90" t="s">
        <v>1102</v>
      </c>
      <c r="L90" t="s">
        <v>1014</v>
      </c>
    </row>
    <row r="91" spans="1:12" x14ac:dyDescent="0.35">
      <c r="A91">
        <v>2.6883329197386899E-2</v>
      </c>
      <c r="B91">
        <v>1.4672046081608801E-2</v>
      </c>
      <c r="C91">
        <v>5.5488923116520997E-2</v>
      </c>
      <c r="D91">
        <v>1.90848323659343E-2</v>
      </c>
      <c r="E91" t="s">
        <v>1625</v>
      </c>
      <c r="F91" t="s">
        <v>1536</v>
      </c>
      <c r="G91">
        <v>51.975000000000001</v>
      </c>
      <c r="H91">
        <v>1.35925738133313E-2</v>
      </c>
      <c r="I91">
        <v>55.142000000000003</v>
      </c>
      <c r="J91">
        <v>4.7374366823367299E-3</v>
      </c>
      <c r="K91" t="s">
        <v>1103</v>
      </c>
      <c r="L91" t="s">
        <v>1014</v>
      </c>
    </row>
    <row r="92" spans="1:12" x14ac:dyDescent="0.35">
      <c r="A92">
        <v>2.57889573012124E-2</v>
      </c>
      <c r="B92">
        <v>3.5352763805176303E-2</v>
      </c>
      <c r="C92">
        <v>3.4689577494526398E-2</v>
      </c>
      <c r="D92">
        <v>8.1492648352745594E-3</v>
      </c>
      <c r="E92" t="s">
        <v>1626</v>
      </c>
      <c r="F92" t="s">
        <v>1536</v>
      </c>
      <c r="G92">
        <v>52.42</v>
      </c>
      <c r="H92">
        <v>8.5618085618086592E-3</v>
      </c>
      <c r="I92">
        <v>55.253999999999998</v>
      </c>
      <c r="J92">
        <v>2.03111965470959E-3</v>
      </c>
      <c r="K92" t="s">
        <v>1104</v>
      </c>
      <c r="L92" t="s">
        <v>1014</v>
      </c>
    </row>
    <row r="93" spans="1:12" x14ac:dyDescent="0.35">
      <c r="A93">
        <v>2.8170464275272301E-2</v>
      </c>
      <c r="B93">
        <v>2.5395981622951001E-2</v>
      </c>
      <c r="C93">
        <v>2.9547347848341E-2</v>
      </c>
      <c r="D93">
        <v>1.8368205985927599E-2</v>
      </c>
      <c r="E93" t="s">
        <v>1627</v>
      </c>
      <c r="F93" t="s">
        <v>1536</v>
      </c>
      <c r="G93">
        <v>52.802999999999997</v>
      </c>
      <c r="H93">
        <v>7.3063716138877001E-3</v>
      </c>
      <c r="I93">
        <v>55.506</v>
      </c>
      <c r="J93">
        <v>4.5607557823867896E-3</v>
      </c>
      <c r="K93" t="s">
        <v>1105</v>
      </c>
      <c r="L93" t="s">
        <v>1014</v>
      </c>
    </row>
    <row r="94" spans="1:12" x14ac:dyDescent="0.35">
      <c r="A94">
        <v>2.40619409805858E-2</v>
      </c>
      <c r="B94">
        <v>9.9983702538513092E-3</v>
      </c>
      <c r="C94">
        <v>2.2073085991106502E-2</v>
      </c>
      <c r="D94">
        <v>3.0096377482488099E-2</v>
      </c>
      <c r="E94" t="s">
        <v>1628</v>
      </c>
      <c r="F94" t="s">
        <v>1536</v>
      </c>
      <c r="G94">
        <v>53.091999999999999</v>
      </c>
      <c r="H94">
        <v>5.4731738726967504E-3</v>
      </c>
      <c r="I94">
        <v>55.918999999999997</v>
      </c>
      <c r="J94">
        <v>7.4406370482469298E-3</v>
      </c>
      <c r="K94" t="s">
        <v>1106</v>
      </c>
      <c r="L94" t="s">
        <v>1014</v>
      </c>
    </row>
    <row r="95" spans="1:12" x14ac:dyDescent="0.35">
      <c r="A95">
        <v>2.70873737268695E-2</v>
      </c>
      <c r="B95">
        <v>1.7716185249098602E-2</v>
      </c>
      <c r="C95">
        <v>2.3867747826854101E-2</v>
      </c>
      <c r="D95">
        <v>2.3524161594785199E-2</v>
      </c>
      <c r="E95" t="s">
        <v>1629</v>
      </c>
      <c r="F95" t="s">
        <v>1536</v>
      </c>
      <c r="G95">
        <v>53.405999999999999</v>
      </c>
      <c r="H95">
        <v>5.91426203571155E-3</v>
      </c>
      <c r="I95">
        <v>56.244999999999997</v>
      </c>
      <c r="J95">
        <v>5.8298610490172802E-3</v>
      </c>
      <c r="K95" t="s">
        <v>1107</v>
      </c>
      <c r="L95" t="s">
        <v>1014</v>
      </c>
    </row>
    <row r="96" spans="1:12" x14ac:dyDescent="0.35">
      <c r="A96">
        <v>1.7542540867755401E-2</v>
      </c>
      <c r="B96">
        <v>2.9283418694515902E-2</v>
      </c>
      <c r="C96">
        <v>1.3096071782226999E-2</v>
      </c>
      <c r="D96">
        <v>4.0598599880798903E-3</v>
      </c>
      <c r="E96" t="s">
        <v>1630</v>
      </c>
      <c r="F96" t="s">
        <v>1536</v>
      </c>
      <c r="G96">
        <v>53.58</v>
      </c>
      <c r="H96">
        <v>3.2580608920345102E-3</v>
      </c>
      <c r="I96">
        <v>56.302</v>
      </c>
      <c r="J96">
        <v>1.01342341541466E-3</v>
      </c>
      <c r="K96" t="s">
        <v>1108</v>
      </c>
      <c r="L96" t="s">
        <v>1014</v>
      </c>
    </row>
    <row r="97" spans="1:12" x14ac:dyDescent="0.35">
      <c r="A97">
        <v>2.3240038949048102E-2</v>
      </c>
      <c r="B97">
        <v>3.6370296177081797E-2</v>
      </c>
      <c r="C97">
        <v>2.0612838101556001E-2</v>
      </c>
      <c r="D97">
        <v>1.8816279960193898E-2</v>
      </c>
      <c r="E97" t="s">
        <v>1631</v>
      </c>
      <c r="F97" t="s">
        <v>1536</v>
      </c>
      <c r="G97">
        <v>53.853999999999999</v>
      </c>
      <c r="H97">
        <v>5.1138484509145599E-3</v>
      </c>
      <c r="I97">
        <v>56.564999999999998</v>
      </c>
      <c r="J97">
        <v>4.6712372562254202E-3</v>
      </c>
      <c r="K97" t="s">
        <v>1109</v>
      </c>
      <c r="L97" t="s">
        <v>1014</v>
      </c>
    </row>
    <row r="98" spans="1:12" x14ac:dyDescent="0.35">
      <c r="A98">
        <v>1.4387423449919501E-2</v>
      </c>
      <c r="B98">
        <v>1.8449816517922799E-2</v>
      </c>
      <c r="C98">
        <v>3.3921123111567301E-2</v>
      </c>
      <c r="D98">
        <v>2.9526755688726598E-2</v>
      </c>
      <c r="E98" t="s">
        <v>1632</v>
      </c>
      <c r="F98" t="s">
        <v>1536</v>
      </c>
      <c r="G98">
        <v>54.305</v>
      </c>
      <c r="H98">
        <v>8.3744940023024999E-3</v>
      </c>
      <c r="I98">
        <v>56.978000000000002</v>
      </c>
      <c r="J98">
        <v>7.3013347476356101E-3</v>
      </c>
      <c r="K98" t="s">
        <v>1110</v>
      </c>
      <c r="L98" t="s">
        <v>1014</v>
      </c>
    </row>
    <row r="99" spans="1:12" x14ac:dyDescent="0.35">
      <c r="A99">
        <v>2.2496438657089599E-2</v>
      </c>
      <c r="B99">
        <v>3.3991498444716703E-2</v>
      </c>
      <c r="C99">
        <v>2.3479894269272002E-2</v>
      </c>
      <c r="D99">
        <v>1.7453105874537699E-2</v>
      </c>
      <c r="E99" t="s">
        <v>1633</v>
      </c>
      <c r="F99" t="s">
        <v>1536</v>
      </c>
      <c r="G99">
        <v>54.621000000000002</v>
      </c>
      <c r="H99">
        <v>5.8189853604639899E-3</v>
      </c>
      <c r="I99">
        <v>57.225000000000001</v>
      </c>
      <c r="J99">
        <v>4.3350064937344203E-3</v>
      </c>
      <c r="K99" t="s">
        <v>1111</v>
      </c>
      <c r="L99" t="s">
        <v>1014</v>
      </c>
    </row>
    <row r="100" spans="1:12" x14ac:dyDescent="0.35">
      <c r="A100">
        <v>2.90726218207682E-2</v>
      </c>
      <c r="B100">
        <v>2.3185974053502999E-2</v>
      </c>
      <c r="C100">
        <v>3.5391871305663798E-2</v>
      </c>
      <c r="D100">
        <v>3.5482240520336501E-2</v>
      </c>
      <c r="E100" t="s">
        <v>1634</v>
      </c>
      <c r="F100" t="s">
        <v>1536</v>
      </c>
      <c r="G100">
        <v>55.097999999999999</v>
      </c>
      <c r="H100">
        <v>8.7329049266764401E-3</v>
      </c>
      <c r="I100">
        <v>57.725999999999999</v>
      </c>
      <c r="J100">
        <v>8.7549148099605994E-3</v>
      </c>
      <c r="K100" t="s">
        <v>1112</v>
      </c>
      <c r="L100" t="s">
        <v>1014</v>
      </c>
    </row>
    <row r="101" spans="1:12" x14ac:dyDescent="0.35">
      <c r="A101">
        <v>1.88663260541506E-2</v>
      </c>
      <c r="B101">
        <v>3.3254108726641599E-2</v>
      </c>
      <c r="C101">
        <v>3.4634574022881899E-2</v>
      </c>
      <c r="D101">
        <v>3.3748767658719397E-2</v>
      </c>
      <c r="E101" t="s">
        <v>1635</v>
      </c>
      <c r="F101" t="s">
        <v>1536</v>
      </c>
      <c r="G101">
        <v>55.569000000000003</v>
      </c>
      <c r="H101">
        <v>8.5484046607862095E-3</v>
      </c>
      <c r="I101">
        <v>58.207000000000001</v>
      </c>
      <c r="J101">
        <v>8.3324671725046907E-3</v>
      </c>
      <c r="K101" t="s">
        <v>1113</v>
      </c>
      <c r="L101" t="s">
        <v>1014</v>
      </c>
    </row>
    <row r="102" spans="1:12" x14ac:dyDescent="0.35">
      <c r="A102">
        <v>1.9752209109685798E-2</v>
      </c>
      <c r="B102">
        <v>3.4122786590531799E-2</v>
      </c>
      <c r="C102">
        <v>1.8555272424330301E-2</v>
      </c>
      <c r="D102">
        <v>4.0528253340275301E-2</v>
      </c>
      <c r="E102" t="s">
        <v>1636</v>
      </c>
      <c r="F102" t="s">
        <v>1536</v>
      </c>
      <c r="G102">
        <v>55.825000000000003</v>
      </c>
      <c r="H102">
        <v>4.6068851337977001E-3</v>
      </c>
      <c r="I102">
        <v>58.787999999999997</v>
      </c>
      <c r="J102">
        <v>9.9816173312487991E-3</v>
      </c>
      <c r="K102" t="s">
        <v>1114</v>
      </c>
      <c r="L102" t="s">
        <v>1014</v>
      </c>
    </row>
    <row r="103" spans="1:12" x14ac:dyDescent="0.35">
      <c r="A103">
        <v>2.3426148348960799E-2</v>
      </c>
      <c r="B103">
        <v>2.6924495262994098E-2</v>
      </c>
      <c r="C103">
        <v>3.10950653969519E-2</v>
      </c>
      <c r="D103">
        <v>2.8884969324625399E-2</v>
      </c>
      <c r="E103" t="s">
        <v>1637</v>
      </c>
      <c r="F103" t="s">
        <v>1536</v>
      </c>
      <c r="G103">
        <v>56.253999999999998</v>
      </c>
      <c r="H103">
        <v>7.6847290640393896E-3</v>
      </c>
      <c r="I103">
        <v>59.207999999999998</v>
      </c>
      <c r="J103">
        <v>7.1443151663605998E-3</v>
      </c>
      <c r="K103" t="s">
        <v>1115</v>
      </c>
      <c r="L103" t="s">
        <v>1014</v>
      </c>
    </row>
    <row r="104" spans="1:12" x14ac:dyDescent="0.35">
      <c r="A104">
        <v>1.6481276503132601E-2</v>
      </c>
      <c r="B104">
        <v>2.0844963333619401E-2</v>
      </c>
      <c r="C104">
        <v>1.5303746558651399E-2</v>
      </c>
      <c r="D104">
        <v>2.2275298720186399E-2</v>
      </c>
      <c r="E104" t="s">
        <v>1638</v>
      </c>
      <c r="F104" t="s">
        <v>1536</v>
      </c>
      <c r="G104">
        <v>56.468000000000004</v>
      </c>
      <c r="H104">
        <v>3.8041739254097702E-3</v>
      </c>
      <c r="I104">
        <v>59.534999999999997</v>
      </c>
      <c r="J104">
        <v>5.5229023104985701E-3</v>
      </c>
      <c r="K104" t="s">
        <v>1116</v>
      </c>
      <c r="L104" t="s">
        <v>1014</v>
      </c>
    </row>
    <row r="105" spans="1:12" x14ac:dyDescent="0.35">
      <c r="A105">
        <v>1.77105887350755E-2</v>
      </c>
      <c r="B105">
        <v>5.6392491810183902E-2</v>
      </c>
      <c r="C105">
        <v>1.3670147091618101E-2</v>
      </c>
      <c r="D105">
        <v>2.3245190160411201E-2</v>
      </c>
      <c r="E105" t="s">
        <v>1639</v>
      </c>
      <c r="F105" t="s">
        <v>1536</v>
      </c>
      <c r="G105">
        <v>56.66</v>
      </c>
      <c r="H105">
        <v>3.4001558404759299E-3</v>
      </c>
      <c r="I105">
        <v>59.878</v>
      </c>
      <c r="J105">
        <v>5.7613168724279804E-3</v>
      </c>
      <c r="K105" t="s">
        <v>1117</v>
      </c>
      <c r="L105" t="s">
        <v>1014</v>
      </c>
    </row>
    <row r="106" spans="1:12" x14ac:dyDescent="0.35">
      <c r="A106">
        <v>2.24149830534284E-2</v>
      </c>
      <c r="B106">
        <v>9.43340099661172E-3</v>
      </c>
      <c r="C106">
        <v>4.4785324127958097E-2</v>
      </c>
      <c r="D106">
        <v>2.1616654614663E-2</v>
      </c>
      <c r="E106" t="s">
        <v>1640</v>
      </c>
      <c r="F106" t="s">
        <v>1536</v>
      </c>
      <c r="G106">
        <v>57.283999999999999</v>
      </c>
      <c r="H106">
        <v>1.1013060360042499E-2</v>
      </c>
      <c r="I106">
        <v>60.198999999999998</v>
      </c>
      <c r="J106">
        <v>5.3609004976786804E-3</v>
      </c>
      <c r="K106" t="s">
        <v>1118</v>
      </c>
      <c r="L106" t="s">
        <v>1014</v>
      </c>
    </row>
    <row r="107" spans="1:12" x14ac:dyDescent="0.35">
      <c r="A107">
        <v>2.7006131410312901E-2</v>
      </c>
      <c r="B107">
        <v>-2.1272525988481301E-2</v>
      </c>
      <c r="C107">
        <v>5.7381634098421204E-3</v>
      </c>
      <c r="D107">
        <v>4.4593389946305803E-3</v>
      </c>
      <c r="E107" t="s">
        <v>1641</v>
      </c>
      <c r="F107" t="s">
        <v>1536</v>
      </c>
      <c r="G107">
        <v>57.366</v>
      </c>
      <c r="H107">
        <v>1.4314642832204999E-3</v>
      </c>
      <c r="I107">
        <v>60.265999999999998</v>
      </c>
      <c r="J107">
        <v>1.1129752985929999E-3</v>
      </c>
      <c r="K107" t="s">
        <v>1119</v>
      </c>
      <c r="L107" t="s">
        <v>1014</v>
      </c>
    </row>
    <row r="108" spans="1:12" x14ac:dyDescent="0.35">
      <c r="A108">
        <v>1.7195373350960198E-2</v>
      </c>
      <c r="B108">
        <v>2.3444846886997699E-2</v>
      </c>
      <c r="C108">
        <v>2.6760970425558899E-2</v>
      </c>
      <c r="D108">
        <v>1.9993530620905801E-2</v>
      </c>
      <c r="E108" t="s">
        <v>1642</v>
      </c>
      <c r="F108" t="s">
        <v>1536</v>
      </c>
      <c r="G108">
        <v>57.746000000000002</v>
      </c>
      <c r="H108">
        <v>6.62413276156615E-3</v>
      </c>
      <c r="I108">
        <v>60.564999999999998</v>
      </c>
      <c r="J108">
        <v>4.9613380678989998E-3</v>
      </c>
      <c r="K108" t="s">
        <v>1120</v>
      </c>
      <c r="L108" t="s">
        <v>1014</v>
      </c>
    </row>
    <row r="109" spans="1:12" x14ac:dyDescent="0.35">
      <c r="A109">
        <v>2.7544322225657499E-2</v>
      </c>
      <c r="B109">
        <v>1.3803868113502E-2</v>
      </c>
      <c r="C109">
        <v>3.2814056779429501E-2</v>
      </c>
      <c r="D109">
        <v>1.3007743413415899E-2</v>
      </c>
      <c r="E109" t="s">
        <v>1643</v>
      </c>
      <c r="F109" t="s">
        <v>1536</v>
      </c>
      <c r="G109">
        <v>58.213999999999999</v>
      </c>
      <c r="H109">
        <v>8.1044574515982699E-3</v>
      </c>
      <c r="I109">
        <v>60.761000000000003</v>
      </c>
      <c r="J109">
        <v>3.2361925204327201E-3</v>
      </c>
      <c r="K109" t="s">
        <v>1121</v>
      </c>
      <c r="L109" t="s">
        <v>1014</v>
      </c>
    </row>
    <row r="110" spans="1:12" x14ac:dyDescent="0.35">
      <c r="A110">
        <v>1.7773223680601899E-2</v>
      </c>
      <c r="B110">
        <v>1.36962800731413E-2</v>
      </c>
      <c r="C110">
        <v>2.76992412803541E-2</v>
      </c>
      <c r="D110">
        <v>2.2772194889475902E-2</v>
      </c>
      <c r="E110" t="s">
        <v>1644</v>
      </c>
      <c r="F110" t="s">
        <v>1536</v>
      </c>
      <c r="G110">
        <v>58.613</v>
      </c>
      <c r="H110">
        <v>6.8540213694301402E-3</v>
      </c>
      <c r="I110">
        <v>61.103999999999999</v>
      </c>
      <c r="J110">
        <v>5.6450683826796402E-3</v>
      </c>
      <c r="K110" t="s">
        <v>1122</v>
      </c>
      <c r="L110" t="s">
        <v>1014</v>
      </c>
    </row>
    <row r="111" spans="1:12" x14ac:dyDescent="0.35">
      <c r="A111">
        <v>1.0067171002752701E-2</v>
      </c>
      <c r="B111">
        <v>2.65913479501769E-2</v>
      </c>
      <c r="C111">
        <v>9.5884799897107999E-3</v>
      </c>
      <c r="D111">
        <v>2.7578432526699701E-2</v>
      </c>
      <c r="E111" t="s">
        <v>1645</v>
      </c>
      <c r="F111" t="s">
        <v>1536</v>
      </c>
      <c r="G111">
        <v>58.753</v>
      </c>
      <c r="H111">
        <v>2.3885486154948698E-3</v>
      </c>
      <c r="I111">
        <v>61.521000000000001</v>
      </c>
      <c r="J111">
        <v>6.8244304791831301E-3</v>
      </c>
      <c r="K111" t="s">
        <v>1123</v>
      </c>
      <c r="L111" t="s">
        <v>1014</v>
      </c>
    </row>
    <row r="112" spans="1:12" x14ac:dyDescent="0.35">
      <c r="A112">
        <v>1.05839184448571E-2</v>
      </c>
      <c r="B112">
        <v>9.2223862003817398E-3</v>
      </c>
      <c r="C112">
        <v>1.9268623425193102E-2</v>
      </c>
      <c r="D112">
        <v>1.0181522541022199E-2</v>
      </c>
      <c r="E112" t="s">
        <v>1646</v>
      </c>
      <c r="F112" t="s">
        <v>1536</v>
      </c>
      <c r="G112">
        <v>59.033999999999999</v>
      </c>
      <c r="H112">
        <v>4.7827344986639498E-3</v>
      </c>
      <c r="I112">
        <v>61.677</v>
      </c>
      <c r="J112">
        <v>2.5357195104109801E-3</v>
      </c>
      <c r="K112" t="s">
        <v>1124</v>
      </c>
      <c r="L112" t="s">
        <v>1014</v>
      </c>
    </row>
    <row r="113" spans="1:12" x14ac:dyDescent="0.35">
      <c r="A113">
        <v>1.26121897911931E-2</v>
      </c>
      <c r="B113">
        <v>2.8333969394931401E-2</v>
      </c>
      <c r="C113">
        <v>3.3061309623051399E-2</v>
      </c>
      <c r="D113">
        <v>2.5996696664996499E-2</v>
      </c>
      <c r="E113" t="s">
        <v>1647</v>
      </c>
      <c r="F113" t="s">
        <v>1536</v>
      </c>
      <c r="G113">
        <v>59.515999999999998</v>
      </c>
      <c r="H113">
        <v>8.1647863942813093E-3</v>
      </c>
      <c r="I113">
        <v>62.073999999999998</v>
      </c>
      <c r="J113">
        <v>6.4367592457479396E-3</v>
      </c>
      <c r="K113" t="s">
        <v>1125</v>
      </c>
      <c r="L113" t="s">
        <v>1014</v>
      </c>
    </row>
    <row r="114" spans="1:12" x14ac:dyDescent="0.35">
      <c r="A114">
        <v>3.2090280398078302E-4</v>
      </c>
      <c r="B114">
        <v>-1.66473304304918E-2</v>
      </c>
      <c r="C114">
        <v>6.3326118015940604E-3</v>
      </c>
      <c r="D114">
        <v>1.3539104320199301E-3</v>
      </c>
      <c r="E114" t="s">
        <v>1648</v>
      </c>
      <c r="F114" t="s">
        <v>1536</v>
      </c>
      <c r="G114">
        <v>59.61</v>
      </c>
      <c r="H114">
        <v>1.57940721822714E-3</v>
      </c>
      <c r="I114">
        <v>62.094999999999999</v>
      </c>
      <c r="J114">
        <v>3.3830589296646201E-4</v>
      </c>
      <c r="K114" t="s">
        <v>1126</v>
      </c>
      <c r="L114" t="s">
        <v>1014</v>
      </c>
    </row>
    <row r="115" spans="1:12" x14ac:dyDescent="0.35">
      <c r="A115">
        <v>7.2384308298694099E-3</v>
      </c>
      <c r="B115">
        <v>2.5981704959145799E-2</v>
      </c>
      <c r="C115">
        <v>2.14418814289523E-2</v>
      </c>
      <c r="D115">
        <v>2.5146473935451202E-3</v>
      </c>
      <c r="E115" t="s">
        <v>1649</v>
      </c>
      <c r="F115" t="s">
        <v>1536</v>
      </c>
      <c r="G115">
        <v>59.927</v>
      </c>
      <c r="H115">
        <v>5.3178996812615099E-3</v>
      </c>
      <c r="I115">
        <v>62.134</v>
      </c>
      <c r="J115">
        <v>6.2806989290598004E-4</v>
      </c>
      <c r="K115" t="s">
        <v>1127</v>
      </c>
      <c r="L115" t="s">
        <v>1014</v>
      </c>
    </row>
    <row r="116" spans="1:12" x14ac:dyDescent="0.35">
      <c r="A116">
        <v>1.2387156771827E-2</v>
      </c>
      <c r="B116">
        <v>2.6407820145390601E-2</v>
      </c>
      <c r="C116">
        <v>3.1605845001569703E-2</v>
      </c>
      <c r="D116">
        <v>2.4885302644445099E-2</v>
      </c>
      <c r="E116" t="s">
        <v>1650</v>
      </c>
      <c r="F116" t="s">
        <v>1536</v>
      </c>
      <c r="G116">
        <v>60.395000000000003</v>
      </c>
      <c r="H116">
        <v>7.8095015602317498E-3</v>
      </c>
      <c r="I116">
        <v>62.517000000000003</v>
      </c>
      <c r="J116">
        <v>6.1640969517495802E-3</v>
      </c>
      <c r="K116" t="s">
        <v>1128</v>
      </c>
      <c r="L116" t="s">
        <v>1014</v>
      </c>
    </row>
    <row r="117" spans="1:12" x14ac:dyDescent="0.35">
      <c r="A117">
        <v>1.0631455336088899E-2</v>
      </c>
      <c r="B117">
        <v>1.29075602616771E-2</v>
      </c>
      <c r="C117">
        <v>3.6519198475668799E-2</v>
      </c>
      <c r="D117">
        <v>2.2777873103542599E-2</v>
      </c>
      <c r="E117" t="s">
        <v>1651</v>
      </c>
      <c r="F117" t="s">
        <v>1536</v>
      </c>
      <c r="G117">
        <v>60.939</v>
      </c>
      <c r="H117">
        <v>9.0073681596158899E-3</v>
      </c>
      <c r="I117">
        <v>62.87</v>
      </c>
      <c r="J117">
        <v>5.6464641617479704E-3</v>
      </c>
      <c r="K117" t="s">
        <v>1129</v>
      </c>
      <c r="L117" t="s">
        <v>1014</v>
      </c>
    </row>
    <row r="118" spans="1:12" x14ac:dyDescent="0.35">
      <c r="A118">
        <v>7.8778546175835001E-3</v>
      </c>
      <c r="B118">
        <v>1.19346323256166E-2</v>
      </c>
      <c r="C118">
        <v>3.4639204699016303E-2</v>
      </c>
      <c r="D118">
        <v>1.61297394114919E-2</v>
      </c>
      <c r="E118" t="s">
        <v>1652</v>
      </c>
      <c r="F118" t="s">
        <v>1536</v>
      </c>
      <c r="G118">
        <v>61.46</v>
      </c>
      <c r="H118">
        <v>8.5495331396971998E-3</v>
      </c>
      <c r="I118">
        <v>63.122</v>
      </c>
      <c r="J118">
        <v>4.0082710354700799E-3</v>
      </c>
      <c r="K118" t="s">
        <v>1130</v>
      </c>
      <c r="L118" t="s">
        <v>1014</v>
      </c>
    </row>
    <row r="119" spans="1:12" x14ac:dyDescent="0.35">
      <c r="A119">
        <v>2.2971603454798002E-2</v>
      </c>
      <c r="B119">
        <v>3.4068264295770097E-2</v>
      </c>
      <c r="C119">
        <v>6.1370356227924201E-2</v>
      </c>
      <c r="D119">
        <v>2.99883116478201E-2</v>
      </c>
      <c r="E119" t="s">
        <v>1653</v>
      </c>
      <c r="F119" t="s">
        <v>1536</v>
      </c>
      <c r="G119">
        <v>62.381999999999998</v>
      </c>
      <c r="H119">
        <v>1.5001627074519901E-2</v>
      </c>
      <c r="I119">
        <v>63.59</v>
      </c>
      <c r="J119">
        <v>7.4142137448116596E-3</v>
      </c>
      <c r="K119" t="s">
        <v>1131</v>
      </c>
      <c r="L119" t="s">
        <v>1014</v>
      </c>
    </row>
    <row r="120" spans="1:12" x14ac:dyDescent="0.35">
      <c r="A120">
        <v>2.21977740334749E-2</v>
      </c>
      <c r="B120">
        <v>3.6824162588046098E-2</v>
      </c>
      <c r="C120">
        <v>5.6562220210462498E-2</v>
      </c>
      <c r="D120">
        <v>1.6964868305367399E-2</v>
      </c>
      <c r="E120" t="s">
        <v>1654</v>
      </c>
      <c r="F120" t="s">
        <v>1536</v>
      </c>
      <c r="G120">
        <v>63.246000000000002</v>
      </c>
      <c r="H120">
        <v>1.3850149081466E-2</v>
      </c>
      <c r="I120">
        <v>63.857999999999997</v>
      </c>
      <c r="J120">
        <v>4.2144991350840898E-3</v>
      </c>
      <c r="K120" t="s">
        <v>1132</v>
      </c>
      <c r="L120" t="s">
        <v>1014</v>
      </c>
    </row>
    <row r="121" spans="1:12" x14ac:dyDescent="0.35">
      <c r="A121">
        <v>2.4473399596212499E-2</v>
      </c>
      <c r="B121">
        <v>5.00811045761866E-2</v>
      </c>
      <c r="C121">
        <v>4.9726482376824199E-2</v>
      </c>
      <c r="D121">
        <v>3.4513513517111301E-2</v>
      </c>
      <c r="E121" t="s">
        <v>1655</v>
      </c>
      <c r="F121" t="s">
        <v>1536</v>
      </c>
      <c r="G121">
        <v>64.018000000000001</v>
      </c>
      <c r="H121">
        <v>1.2206305537109099E-2</v>
      </c>
      <c r="I121">
        <v>64.402000000000001</v>
      </c>
      <c r="J121">
        <v>8.5189013122866104E-3</v>
      </c>
      <c r="K121" t="s">
        <v>1133</v>
      </c>
      <c r="L121" t="s">
        <v>1014</v>
      </c>
    </row>
    <row r="122" spans="1:12" x14ac:dyDescent="0.35">
      <c r="A122">
        <v>3.2886107964122897E-2</v>
      </c>
      <c r="B122">
        <v>3.9540884737924602E-2</v>
      </c>
      <c r="C122">
        <v>5.7040318663066601E-2</v>
      </c>
      <c r="D122">
        <v>3.2054289459933799E-2</v>
      </c>
      <c r="E122" t="s">
        <v>1656</v>
      </c>
      <c r="F122" t="s">
        <v>1536</v>
      </c>
      <c r="G122">
        <v>64.912000000000006</v>
      </c>
      <c r="H122">
        <v>1.3964822393701899E-2</v>
      </c>
      <c r="I122">
        <v>64.912000000000006</v>
      </c>
      <c r="J122">
        <v>7.9190087264371396E-3</v>
      </c>
      <c r="K122" t="s">
        <v>1134</v>
      </c>
      <c r="L122" t="s">
        <v>1014</v>
      </c>
    </row>
    <row r="123" spans="1:12" x14ac:dyDescent="0.35">
      <c r="A123">
        <v>1.9193585341739101E-2</v>
      </c>
      <c r="B123">
        <v>1.5459188057563401E-2</v>
      </c>
      <c r="C123">
        <v>4.2438786901308999E-2</v>
      </c>
      <c r="D123">
        <v>4.6322155050911397E-2</v>
      </c>
      <c r="E123" t="s">
        <v>1657</v>
      </c>
      <c r="F123" t="s">
        <v>1536</v>
      </c>
      <c r="G123">
        <v>65.59</v>
      </c>
      <c r="H123">
        <v>1.0444910032043399E-2</v>
      </c>
      <c r="I123">
        <v>65.650999999999996</v>
      </c>
      <c r="J123">
        <v>1.13846438254868E-2</v>
      </c>
      <c r="K123" t="s">
        <v>1135</v>
      </c>
      <c r="L123" t="s">
        <v>1014</v>
      </c>
    </row>
    <row r="124" spans="1:12" x14ac:dyDescent="0.35">
      <c r="A124">
        <v>2.6053548554263901E-2</v>
      </c>
      <c r="B124">
        <v>2.8949345820011199E-2</v>
      </c>
      <c r="C124">
        <v>4.7728620369875199E-2</v>
      </c>
      <c r="D124">
        <v>2.6457667912965801E-2</v>
      </c>
      <c r="E124" t="s">
        <v>1658</v>
      </c>
      <c r="F124" t="s">
        <v>1536</v>
      </c>
      <c r="G124">
        <v>66.358999999999995</v>
      </c>
      <c r="H124">
        <v>1.1724348223814501E-2</v>
      </c>
      <c r="I124">
        <v>66.081000000000003</v>
      </c>
      <c r="J124">
        <v>6.5497859895509202E-3</v>
      </c>
      <c r="K124" t="s">
        <v>1136</v>
      </c>
      <c r="L124" t="s">
        <v>1014</v>
      </c>
    </row>
    <row r="125" spans="1:12" x14ac:dyDescent="0.35">
      <c r="A125">
        <v>2.2816932316492001E-2</v>
      </c>
      <c r="B125">
        <v>1.82242710503548E-2</v>
      </c>
      <c r="C125">
        <v>5.7499642478727998E-2</v>
      </c>
      <c r="D125">
        <v>2.3755596803619598E-2</v>
      </c>
      <c r="E125" t="s">
        <v>1659</v>
      </c>
      <c r="F125" t="s">
        <v>1536</v>
      </c>
      <c r="G125">
        <v>67.293000000000006</v>
      </c>
      <c r="H125">
        <v>1.40749559215783E-2</v>
      </c>
      <c r="I125">
        <v>66.47</v>
      </c>
      <c r="J125">
        <v>5.8867147894250396E-3</v>
      </c>
      <c r="K125" t="s">
        <v>1137</v>
      </c>
      <c r="L125" t="s">
        <v>1014</v>
      </c>
    </row>
    <row r="126" spans="1:12" x14ac:dyDescent="0.35">
      <c r="A126">
        <v>2.9937016463394299E-2</v>
      </c>
      <c r="B126">
        <v>6.8223280329673397E-3</v>
      </c>
      <c r="C126">
        <v>5.4456520671492398E-2</v>
      </c>
      <c r="D126">
        <v>2.4902004743710501E-2</v>
      </c>
      <c r="E126" t="s">
        <v>1660</v>
      </c>
      <c r="F126" t="s">
        <v>1536</v>
      </c>
      <c r="G126">
        <v>68.191000000000003</v>
      </c>
      <c r="H126">
        <v>1.33446272272004E-2</v>
      </c>
      <c r="I126">
        <v>66.88</v>
      </c>
      <c r="J126">
        <v>6.16819617872721E-3</v>
      </c>
      <c r="K126" t="s">
        <v>1138</v>
      </c>
      <c r="L126" t="s">
        <v>1014</v>
      </c>
    </row>
    <row r="127" spans="1:12" x14ac:dyDescent="0.35">
      <c r="A127">
        <v>1.8884884410707199E-2</v>
      </c>
      <c r="B127">
        <v>2.1198789662036002E-2</v>
      </c>
      <c r="C127">
        <v>1.7060457300781501E-2</v>
      </c>
      <c r="D127">
        <v>1.0326833438175601E-2</v>
      </c>
      <c r="E127" t="s">
        <v>1661</v>
      </c>
      <c r="F127" t="s">
        <v>1536</v>
      </c>
      <c r="G127">
        <v>68.48</v>
      </c>
      <c r="H127">
        <v>4.2380959364138899E-3</v>
      </c>
      <c r="I127">
        <v>67.052000000000007</v>
      </c>
      <c r="J127">
        <v>2.5717703349283898E-3</v>
      </c>
      <c r="K127" t="s">
        <v>1139</v>
      </c>
      <c r="L127" t="s">
        <v>1014</v>
      </c>
    </row>
    <row r="128" spans="1:12" x14ac:dyDescent="0.35">
      <c r="A128">
        <v>2.0085104332627801E-3</v>
      </c>
      <c r="B128">
        <v>2.5873085754739799E-2</v>
      </c>
      <c r="C128">
        <v>1.0084643678167899E-2</v>
      </c>
      <c r="D128">
        <v>1.25865662000337E-2</v>
      </c>
      <c r="E128" t="s">
        <v>1662</v>
      </c>
      <c r="F128" t="s">
        <v>1536</v>
      </c>
      <c r="G128">
        <v>68.652000000000001</v>
      </c>
      <c r="H128">
        <v>2.5116822429906999E-3</v>
      </c>
      <c r="I128">
        <v>67.262</v>
      </c>
      <c r="J128">
        <v>3.1318976316887502E-3</v>
      </c>
      <c r="K128" t="s">
        <v>1140</v>
      </c>
      <c r="L128" t="s">
        <v>1014</v>
      </c>
    </row>
    <row r="129" spans="1:12" x14ac:dyDescent="0.35">
      <c r="A129">
        <v>1.65597149400032E-3</v>
      </c>
      <c r="B129">
        <v>2.61448943379867E-2</v>
      </c>
      <c r="C129">
        <v>4.4939487008062197E-3</v>
      </c>
      <c r="D129">
        <v>2.16417401943385E-2</v>
      </c>
      <c r="E129" t="s">
        <v>1663</v>
      </c>
      <c r="F129" t="s">
        <v>1536</v>
      </c>
      <c r="G129">
        <v>68.728999999999999</v>
      </c>
      <c r="H129">
        <v>1.1215987880905901E-3</v>
      </c>
      <c r="I129">
        <v>67.623000000000005</v>
      </c>
      <c r="J129">
        <v>5.3670720466236803E-3</v>
      </c>
      <c r="K129" t="s">
        <v>1141</v>
      </c>
      <c r="L129" t="s">
        <v>1014</v>
      </c>
    </row>
    <row r="130" spans="1:12" x14ac:dyDescent="0.35">
      <c r="A130">
        <v>8.0448095256371293E-3</v>
      </c>
      <c r="B130">
        <v>2.6192779718551499E-2</v>
      </c>
      <c r="C130">
        <v>2.6210777008154801E-2</v>
      </c>
      <c r="D130">
        <v>1.77439998941584E-2</v>
      </c>
      <c r="E130" t="s">
        <v>1664</v>
      </c>
      <c r="F130" t="s">
        <v>1536</v>
      </c>
      <c r="G130">
        <v>69.174999999999997</v>
      </c>
      <c r="H130">
        <v>6.4892548996784401E-3</v>
      </c>
      <c r="I130">
        <v>67.921000000000006</v>
      </c>
      <c r="J130">
        <v>4.4067846738535801E-3</v>
      </c>
      <c r="K130" t="s">
        <v>1142</v>
      </c>
      <c r="L130" t="s">
        <v>1014</v>
      </c>
    </row>
    <row r="131" spans="1:12" x14ac:dyDescent="0.35">
      <c r="A131">
        <v>2.9998743908273201E-2</v>
      </c>
      <c r="B131">
        <v>3.8349371649444103E-2</v>
      </c>
      <c r="C131">
        <v>3.99637104830428E-2</v>
      </c>
      <c r="D131">
        <v>2.19088618142655E-2</v>
      </c>
      <c r="E131" t="s">
        <v>1665</v>
      </c>
      <c r="F131" t="s">
        <v>1536</v>
      </c>
      <c r="G131">
        <v>69.855999999999995</v>
      </c>
      <c r="H131">
        <v>9.8445970365015293E-3</v>
      </c>
      <c r="I131">
        <v>68.290000000000006</v>
      </c>
      <c r="J131">
        <v>5.4327822028532599E-3</v>
      </c>
      <c r="K131" t="s">
        <v>1143</v>
      </c>
      <c r="L131" t="s">
        <v>1014</v>
      </c>
    </row>
    <row r="132" spans="1:12" x14ac:dyDescent="0.35">
      <c r="A132">
        <v>2.0869776308943801E-2</v>
      </c>
      <c r="B132">
        <v>3.4801584391165798E-2</v>
      </c>
      <c r="C132">
        <v>3.3157579483975103E-2</v>
      </c>
      <c r="D132">
        <v>1.23573378485025E-2</v>
      </c>
      <c r="E132" t="s">
        <v>1666</v>
      </c>
      <c r="F132" t="s">
        <v>1536</v>
      </c>
      <c r="G132">
        <v>70.427999999999997</v>
      </c>
      <c r="H132">
        <v>8.1882730187814393E-3</v>
      </c>
      <c r="I132">
        <v>68.5</v>
      </c>
      <c r="J132">
        <v>3.07512080831729E-3</v>
      </c>
      <c r="K132" t="s">
        <v>1144</v>
      </c>
      <c r="L132" t="s">
        <v>1014</v>
      </c>
    </row>
    <row r="133" spans="1:12" x14ac:dyDescent="0.35">
      <c r="A133">
        <v>1.8806157080279301E-2</v>
      </c>
      <c r="B133">
        <v>7.6203068975526894E-2</v>
      </c>
      <c r="C133">
        <v>4.04120889716926E-2</v>
      </c>
      <c r="D133">
        <v>6.9083360828583497E-3</v>
      </c>
      <c r="E133" t="s">
        <v>1667</v>
      </c>
      <c r="F133" t="s">
        <v>1536</v>
      </c>
      <c r="G133">
        <v>71.129000000000005</v>
      </c>
      <c r="H133">
        <v>9.9534276140171903E-3</v>
      </c>
      <c r="I133">
        <v>68.617999999999995</v>
      </c>
      <c r="J133">
        <v>1.7226277372262E-3</v>
      </c>
      <c r="K133" t="s">
        <v>1145</v>
      </c>
      <c r="L133" t="s">
        <v>1014</v>
      </c>
    </row>
    <row r="134" spans="1:12" x14ac:dyDescent="0.35">
      <c r="A134">
        <v>3.0939531110064901E-2</v>
      </c>
      <c r="B134">
        <v>4.5343406532494003E-2</v>
      </c>
      <c r="C134">
        <v>6.4192818314913899E-2</v>
      </c>
      <c r="D134">
        <v>3.35839967225895E-2</v>
      </c>
      <c r="E134" t="s">
        <v>1668</v>
      </c>
      <c r="F134" t="s">
        <v>1536</v>
      </c>
      <c r="G134">
        <v>72.244</v>
      </c>
      <c r="H134">
        <v>1.5675744070632099E-2</v>
      </c>
      <c r="I134">
        <v>69.186999999999998</v>
      </c>
      <c r="J134">
        <v>8.2922848232243104E-3</v>
      </c>
      <c r="K134" t="s">
        <v>1146</v>
      </c>
      <c r="L134" t="s">
        <v>1014</v>
      </c>
    </row>
    <row r="135" spans="1:12" x14ac:dyDescent="0.35">
      <c r="A135">
        <v>4.0077661469082298E-3</v>
      </c>
      <c r="B135">
        <v>2.8726975579467701E-2</v>
      </c>
      <c r="C135">
        <v>2.60483280529056E-3</v>
      </c>
      <c r="D135">
        <v>4.1691340309692997E-3</v>
      </c>
      <c r="E135" t="s">
        <v>1669</v>
      </c>
      <c r="F135" t="s">
        <v>1536</v>
      </c>
      <c r="G135">
        <v>72.290999999999997</v>
      </c>
      <c r="H135">
        <v>6.5057305797022703E-4</v>
      </c>
      <c r="I135">
        <v>69.259</v>
      </c>
      <c r="J135">
        <v>1.0406579270672001E-3</v>
      </c>
      <c r="K135" t="s">
        <v>1147</v>
      </c>
      <c r="L135" t="s">
        <v>1014</v>
      </c>
    </row>
    <row r="136" spans="1:12" x14ac:dyDescent="0.35">
      <c r="A136">
        <v>2.6637470683258401E-2</v>
      </c>
      <c r="B136">
        <v>3.6701160751028999E-2</v>
      </c>
      <c r="C136">
        <v>3.2537484109284899E-2</v>
      </c>
      <c r="D136">
        <v>5.0920666130191998E-3</v>
      </c>
      <c r="E136" t="s">
        <v>1670</v>
      </c>
      <c r="F136" t="s">
        <v>1536</v>
      </c>
      <c r="G136">
        <v>72.872</v>
      </c>
      <c r="H136">
        <v>8.0369617241426994E-3</v>
      </c>
      <c r="I136">
        <v>69.346999999999994</v>
      </c>
      <c r="J136">
        <v>1.2705929915244299E-3</v>
      </c>
      <c r="K136" t="s">
        <v>1148</v>
      </c>
      <c r="L136" t="s">
        <v>1014</v>
      </c>
    </row>
    <row r="137" spans="1:12" x14ac:dyDescent="0.35">
      <c r="A137">
        <v>1.9809591582912799E-2</v>
      </c>
      <c r="B137">
        <v>3.0297839189273201E-2</v>
      </c>
      <c r="C137">
        <v>3.6723057880070603E-2</v>
      </c>
      <c r="D137">
        <v>1.11208187291489E-2</v>
      </c>
      <c r="E137" t="s">
        <v>1671</v>
      </c>
      <c r="F137" t="s">
        <v>1536</v>
      </c>
      <c r="G137">
        <v>73.531999999999996</v>
      </c>
      <c r="H137">
        <v>9.0569766165331505E-3</v>
      </c>
      <c r="I137">
        <v>69.539000000000001</v>
      </c>
      <c r="J137">
        <v>2.7686850188184402E-3</v>
      </c>
      <c r="K137" t="s">
        <v>1149</v>
      </c>
      <c r="L137" t="s">
        <v>1014</v>
      </c>
    </row>
    <row r="138" spans="1:12" x14ac:dyDescent="0.35">
      <c r="A138">
        <v>3.1204615634115699E-2</v>
      </c>
      <c r="B138">
        <v>3.4471201135703997E-2</v>
      </c>
      <c r="C138">
        <v>5.7672124037001303E-2</v>
      </c>
      <c r="D138">
        <v>2.6313046913832801E-2</v>
      </c>
      <c r="E138" t="s">
        <v>1672</v>
      </c>
      <c r="F138" t="s">
        <v>1536</v>
      </c>
      <c r="G138">
        <v>74.569999999999993</v>
      </c>
      <c r="H138">
        <v>1.41163031061307E-2</v>
      </c>
      <c r="I138">
        <v>69.992000000000004</v>
      </c>
      <c r="J138">
        <v>6.5143300881520504E-3</v>
      </c>
      <c r="K138" t="s">
        <v>1150</v>
      </c>
      <c r="L138" t="s">
        <v>1014</v>
      </c>
    </row>
    <row r="139" spans="1:12" x14ac:dyDescent="0.35">
      <c r="A139">
        <v>2.7200294389546201E-2</v>
      </c>
      <c r="B139">
        <v>3.5181669062461299E-2</v>
      </c>
      <c r="C139">
        <v>5.42271951092188E-2</v>
      </c>
      <c r="D139">
        <v>7.5544557477534205E-2</v>
      </c>
      <c r="E139" t="s">
        <v>1673</v>
      </c>
      <c r="F139" t="s">
        <v>1536</v>
      </c>
      <c r="G139">
        <v>75.561000000000007</v>
      </c>
      <c r="H139">
        <v>1.3289526619284101E-2</v>
      </c>
      <c r="I139">
        <v>71.278000000000006</v>
      </c>
      <c r="J139">
        <v>1.8373528403245999E-2</v>
      </c>
      <c r="K139" t="s">
        <v>1151</v>
      </c>
      <c r="L139" t="s">
        <v>1014</v>
      </c>
    </row>
    <row r="140" spans="1:12" x14ac:dyDescent="0.35">
      <c r="A140">
        <v>1.9813936050087699E-2</v>
      </c>
      <c r="B140">
        <v>3.71188179062025E-2</v>
      </c>
      <c r="C140">
        <v>5.5705667373545202E-2</v>
      </c>
      <c r="D140">
        <v>0.112118604043563</v>
      </c>
      <c r="E140" t="s">
        <v>1674</v>
      </c>
      <c r="F140" t="s">
        <v>1536</v>
      </c>
      <c r="G140">
        <v>76.591999999999999</v>
      </c>
      <c r="H140">
        <v>1.3644605021108799E-2</v>
      </c>
      <c r="I140">
        <v>73.197000000000003</v>
      </c>
      <c r="J140">
        <v>2.6922753163668899E-2</v>
      </c>
      <c r="K140" t="s">
        <v>1152</v>
      </c>
      <c r="L140" t="s">
        <v>1014</v>
      </c>
    </row>
    <row r="141" spans="1:12" x14ac:dyDescent="0.35">
      <c r="A141">
        <v>3.4620969363609901E-2</v>
      </c>
      <c r="B141">
        <v>3.9499400752586601E-2</v>
      </c>
      <c r="C141">
        <v>6.4048552869122796E-2</v>
      </c>
      <c r="D141">
        <v>9.9586266592777403E-2</v>
      </c>
      <c r="E141" t="s">
        <v>1675</v>
      </c>
      <c r="F141" t="s">
        <v>1536</v>
      </c>
      <c r="G141">
        <v>77.790000000000006</v>
      </c>
      <c r="H141">
        <v>1.5641320242323099E-2</v>
      </c>
      <c r="I141">
        <v>74.954999999999998</v>
      </c>
      <c r="J141">
        <v>2.4017377761383699E-2</v>
      </c>
      <c r="K141" t="s">
        <v>1153</v>
      </c>
      <c r="L141" t="s">
        <v>1014</v>
      </c>
    </row>
    <row r="142" spans="1:12" x14ac:dyDescent="0.35">
      <c r="A142">
        <v>2.34535899973984E-2</v>
      </c>
      <c r="B142">
        <v>5.3706890981395999E-2</v>
      </c>
      <c r="C142">
        <v>3.69057460702173E-2</v>
      </c>
      <c r="D142">
        <v>3.4210597371460802E-2</v>
      </c>
      <c r="E142" t="s">
        <v>1676</v>
      </c>
      <c r="F142" t="s">
        <v>1536</v>
      </c>
      <c r="G142">
        <v>78.498000000000005</v>
      </c>
      <c r="H142">
        <v>9.1014269186271406E-3</v>
      </c>
      <c r="I142">
        <v>75.587999999999994</v>
      </c>
      <c r="J142">
        <v>8.4450670402240694E-3</v>
      </c>
      <c r="K142" t="s">
        <v>1154</v>
      </c>
      <c r="L142" t="s">
        <v>1014</v>
      </c>
    </row>
    <row r="143" spans="1:12" x14ac:dyDescent="0.35">
      <c r="A143">
        <v>2.5499802950129401E-2</v>
      </c>
      <c r="B143">
        <v>3.6566859174503898E-2</v>
      </c>
      <c r="C143">
        <v>4.6392177019789503E-2</v>
      </c>
      <c r="D143">
        <v>7.7400259900339399E-2</v>
      </c>
      <c r="E143" t="s">
        <v>1677</v>
      </c>
      <c r="F143" t="s">
        <v>1536</v>
      </c>
      <c r="G143">
        <v>79.393000000000001</v>
      </c>
      <c r="H143">
        <v>1.14015643710668E-2</v>
      </c>
      <c r="I143">
        <v>77.010000000000005</v>
      </c>
      <c r="J143">
        <v>1.8812509922210102E-2</v>
      </c>
      <c r="K143" t="s">
        <v>1155</v>
      </c>
      <c r="L143" t="s">
        <v>1014</v>
      </c>
    </row>
    <row r="144" spans="1:12" x14ac:dyDescent="0.35">
      <c r="A144">
        <v>4.3914132970667798E-2</v>
      </c>
      <c r="B144">
        <v>4.2425430776049898E-2</v>
      </c>
      <c r="C144">
        <v>5.93159029125543E-2</v>
      </c>
      <c r="D144">
        <v>9.2099438138909306E-2</v>
      </c>
      <c r="E144" t="s">
        <v>1678</v>
      </c>
      <c r="F144" t="s">
        <v>1536</v>
      </c>
      <c r="G144">
        <v>80.545000000000002</v>
      </c>
      <c r="H144">
        <v>1.45100953484565E-2</v>
      </c>
      <c r="I144">
        <v>78.724999999999994</v>
      </c>
      <c r="J144">
        <v>2.2269835086352399E-2</v>
      </c>
      <c r="K144" t="s">
        <v>1156</v>
      </c>
      <c r="L144" t="s">
        <v>1014</v>
      </c>
    </row>
    <row r="145" spans="1:12" x14ac:dyDescent="0.35">
      <c r="A145">
        <v>3.2225013743436802E-2</v>
      </c>
      <c r="B145">
        <v>2.9052051363888599E-2</v>
      </c>
      <c r="C145">
        <v>6.9322056053448003E-2</v>
      </c>
      <c r="D145">
        <v>5.6967190258747399E-2</v>
      </c>
      <c r="E145" t="s">
        <v>1679</v>
      </c>
      <c r="F145" t="s">
        <v>1536</v>
      </c>
      <c r="G145">
        <v>81.906000000000006</v>
      </c>
      <c r="H145">
        <v>1.68973865541002E-2</v>
      </c>
      <c r="I145">
        <v>79.822999999999993</v>
      </c>
      <c r="J145">
        <v>1.39472848523341E-2</v>
      </c>
      <c r="K145" t="s">
        <v>1157</v>
      </c>
      <c r="L145" t="s">
        <v>1014</v>
      </c>
    </row>
    <row r="146" spans="1:12" x14ac:dyDescent="0.35">
      <c r="A146">
        <v>2.0935342800184199E-2</v>
      </c>
      <c r="B146">
        <v>3.4093201961780999E-2</v>
      </c>
      <c r="C146">
        <v>2.9725271896635399E-2</v>
      </c>
      <c r="D146">
        <v>2.50876168066392E-2</v>
      </c>
      <c r="E146" t="s">
        <v>1680</v>
      </c>
      <c r="F146" t="s">
        <v>1536</v>
      </c>
      <c r="G146">
        <v>82.507999999999996</v>
      </c>
      <c r="H146">
        <v>7.3498888970282604E-3</v>
      </c>
      <c r="I146">
        <v>80.319000000000003</v>
      </c>
      <c r="J146">
        <v>6.2137479172670301E-3</v>
      </c>
      <c r="K146" t="s">
        <v>1158</v>
      </c>
      <c r="L146" t="s">
        <v>1014</v>
      </c>
    </row>
    <row r="147" spans="1:12" x14ac:dyDescent="0.35">
      <c r="A147">
        <v>3.5555363218846101E-2</v>
      </c>
      <c r="B147">
        <v>2.8135458399094499E-2</v>
      </c>
      <c r="C147">
        <v>5.61203132204302E-2</v>
      </c>
      <c r="D147">
        <v>9.1105361450751501E-2</v>
      </c>
      <c r="E147" t="s">
        <v>1681</v>
      </c>
      <c r="F147" t="s">
        <v>1536</v>
      </c>
      <c r="G147">
        <v>83.641999999999996</v>
      </c>
      <c r="H147">
        <v>1.37441217821301E-2</v>
      </c>
      <c r="I147">
        <v>82.088999999999999</v>
      </c>
      <c r="J147">
        <v>2.20371269562618E-2</v>
      </c>
      <c r="K147" t="s">
        <v>1159</v>
      </c>
      <c r="L147" t="s">
        <v>1014</v>
      </c>
    </row>
    <row r="148" spans="1:12" x14ac:dyDescent="0.35">
      <c r="A148">
        <v>2.9090990484891902E-2</v>
      </c>
      <c r="B148">
        <v>2.9966625510563099E-2</v>
      </c>
      <c r="C148">
        <v>3.6843754178801799E-2</v>
      </c>
      <c r="D148">
        <v>5.6869734933791702E-2</v>
      </c>
      <c r="E148" t="s">
        <v>1682</v>
      </c>
      <c r="F148" t="s">
        <v>1536</v>
      </c>
      <c r="G148">
        <v>84.402000000000001</v>
      </c>
      <c r="H148">
        <v>9.0863441811530592E-3</v>
      </c>
      <c r="I148">
        <v>83.231999999999999</v>
      </c>
      <c r="J148">
        <v>1.39239118517707E-2</v>
      </c>
      <c r="K148" t="s">
        <v>1160</v>
      </c>
      <c r="L148" t="s">
        <v>1014</v>
      </c>
    </row>
    <row r="149" spans="1:12" x14ac:dyDescent="0.35">
      <c r="A149">
        <v>-6.5707467210734897E-3</v>
      </c>
      <c r="B149">
        <v>2.09838687014814E-2</v>
      </c>
      <c r="C149">
        <v>3.0338463665483501E-2</v>
      </c>
      <c r="D149">
        <v>9.7213617262259494E-2</v>
      </c>
      <c r="E149" t="s">
        <v>1683</v>
      </c>
      <c r="F149" t="s">
        <v>1536</v>
      </c>
      <c r="G149">
        <v>85.034999999999997</v>
      </c>
      <c r="H149">
        <v>7.4998222790929603E-3</v>
      </c>
      <c r="I149">
        <v>85.185000000000002</v>
      </c>
      <c r="J149">
        <v>2.34645328719723E-2</v>
      </c>
      <c r="K149" t="s">
        <v>1161</v>
      </c>
      <c r="L149" t="s">
        <v>1014</v>
      </c>
    </row>
    <row r="150" spans="1:12" x14ac:dyDescent="0.35">
      <c r="A150">
        <v>3.7059917165470399E-2</v>
      </c>
      <c r="B150">
        <v>3.4651107406359301E-2</v>
      </c>
      <c r="C150">
        <v>7.2299496950969405E-2</v>
      </c>
      <c r="D150">
        <v>0.104792955269219</v>
      </c>
      <c r="E150" t="s">
        <v>1684</v>
      </c>
      <c r="F150" t="s">
        <v>1536</v>
      </c>
      <c r="G150">
        <v>86.531999999999996</v>
      </c>
      <c r="H150">
        <v>1.7604515787616799E-2</v>
      </c>
      <c r="I150">
        <v>87.334000000000003</v>
      </c>
      <c r="J150">
        <v>2.5227446146622E-2</v>
      </c>
      <c r="K150" t="s">
        <v>1162</v>
      </c>
      <c r="L150" t="s">
        <v>1014</v>
      </c>
    </row>
    <row r="151" spans="1:12" x14ac:dyDescent="0.35">
      <c r="A151">
        <v>3.4406916686266602E-2</v>
      </c>
      <c r="B151">
        <v>3.2361806516408201E-2</v>
      </c>
      <c r="C151">
        <v>4.4022069506022297E-2</v>
      </c>
      <c r="D151">
        <v>4.2476788274359099E-2</v>
      </c>
      <c r="E151" t="s">
        <v>1685</v>
      </c>
      <c r="F151" t="s">
        <v>1536</v>
      </c>
      <c r="G151">
        <v>87.468999999999994</v>
      </c>
      <c r="H151">
        <v>1.0828364073406401E-2</v>
      </c>
      <c r="I151">
        <v>88.247</v>
      </c>
      <c r="J151">
        <v>1.0454118670849799E-2</v>
      </c>
      <c r="K151" t="s">
        <v>1163</v>
      </c>
      <c r="L151" t="s">
        <v>1014</v>
      </c>
    </row>
    <row r="152" spans="1:12" x14ac:dyDescent="0.35">
      <c r="A152">
        <v>2.2795387185985401E-2</v>
      </c>
      <c r="B152">
        <v>2.78463672712683E-2</v>
      </c>
      <c r="C152">
        <v>4.5480126137950501E-2</v>
      </c>
      <c r="D152">
        <v>3.9088464000031499E-2</v>
      </c>
      <c r="E152" t="s">
        <v>1686</v>
      </c>
      <c r="F152" t="s">
        <v>1536</v>
      </c>
      <c r="G152">
        <v>88.447000000000003</v>
      </c>
      <c r="H152">
        <v>1.11811041626177E-2</v>
      </c>
      <c r="I152">
        <v>89.096999999999994</v>
      </c>
      <c r="J152">
        <v>9.6320554806394992E-3</v>
      </c>
      <c r="K152" t="s">
        <v>1164</v>
      </c>
      <c r="L152" t="s">
        <v>1014</v>
      </c>
    </row>
    <row r="153" spans="1:12" x14ac:dyDescent="0.35">
      <c r="A153">
        <v>4.1308326629664098E-2</v>
      </c>
      <c r="B153">
        <v>3.2459146974833902E-2</v>
      </c>
      <c r="C153">
        <v>6.2039731527971001E-2</v>
      </c>
      <c r="D153">
        <v>4.7886506250196997E-2</v>
      </c>
      <c r="E153" t="s">
        <v>1687</v>
      </c>
      <c r="F153" t="s">
        <v>1536</v>
      </c>
      <c r="G153">
        <v>89.787999999999997</v>
      </c>
      <c r="H153">
        <v>1.51616222144335E-2</v>
      </c>
      <c r="I153">
        <v>90.144999999999996</v>
      </c>
      <c r="J153">
        <v>1.1762461137861099E-2</v>
      </c>
      <c r="K153" t="s">
        <v>1165</v>
      </c>
      <c r="L153" t="s">
        <v>1014</v>
      </c>
    </row>
    <row r="154" spans="1:12" x14ac:dyDescent="0.35">
      <c r="A154">
        <v>3.2954987594988598E-2</v>
      </c>
      <c r="B154">
        <v>3.4144429632388298E-2</v>
      </c>
      <c r="C154">
        <v>7.23147883586404E-2</v>
      </c>
      <c r="D154">
        <v>3.8436409888859401E-2</v>
      </c>
      <c r="E154" t="s">
        <v>1688</v>
      </c>
      <c r="F154" t="s">
        <v>1536</v>
      </c>
      <c r="G154">
        <v>91.369</v>
      </c>
      <c r="H154">
        <v>1.7608143627210901E-2</v>
      </c>
      <c r="I154">
        <v>90.998999999999995</v>
      </c>
      <c r="J154">
        <v>9.4736258250596207E-3</v>
      </c>
      <c r="K154" t="s">
        <v>1166</v>
      </c>
      <c r="L154" t="s">
        <v>1014</v>
      </c>
    </row>
    <row r="155" spans="1:12" x14ac:dyDescent="0.35">
      <c r="A155">
        <v>3.9493950261418401E-2</v>
      </c>
      <c r="B155">
        <v>4.1602053152730099E-2</v>
      </c>
      <c r="C155">
        <v>6.3263019462217004E-2</v>
      </c>
      <c r="D155">
        <v>3.1126430511134499E-2</v>
      </c>
      <c r="E155" t="s">
        <v>1689</v>
      </c>
      <c r="F155" t="s">
        <v>1536</v>
      </c>
      <c r="G155">
        <v>92.781000000000006</v>
      </c>
      <c r="H155">
        <v>1.5453819129026301E-2</v>
      </c>
      <c r="I155">
        <v>91.698999999999998</v>
      </c>
      <c r="J155">
        <v>7.6923922240903497E-3</v>
      </c>
      <c r="K155" t="s">
        <v>1167</v>
      </c>
      <c r="L155" t="s">
        <v>1014</v>
      </c>
    </row>
    <row r="156" spans="1:12" x14ac:dyDescent="0.35">
      <c r="A156">
        <v>4.3386852489040402E-2</v>
      </c>
      <c r="B156">
        <v>3.03408157550791E-2</v>
      </c>
      <c r="C156">
        <v>5.52136316684275E-2</v>
      </c>
      <c r="D156">
        <v>5.2701497522020399E-2</v>
      </c>
      <c r="E156" t="s">
        <v>1690</v>
      </c>
      <c r="F156" t="s">
        <v>1536</v>
      </c>
      <c r="G156">
        <v>94.036000000000001</v>
      </c>
      <c r="H156">
        <v>1.35264763259719E-2</v>
      </c>
      <c r="I156">
        <v>92.884</v>
      </c>
      <c r="J156">
        <v>1.29227145334192E-2</v>
      </c>
      <c r="K156" t="s">
        <v>1168</v>
      </c>
      <c r="L156" t="s">
        <v>1014</v>
      </c>
    </row>
    <row r="157" spans="1:12" x14ac:dyDescent="0.35">
      <c r="A157">
        <v>-6.2360196436278902E-2</v>
      </c>
      <c r="B157">
        <v>-1.8917326805224201E-2</v>
      </c>
      <c r="C157">
        <v>-7.4155067193705196E-2</v>
      </c>
      <c r="D157">
        <v>7.5335045349203197E-2</v>
      </c>
      <c r="E157" t="s">
        <v>1691</v>
      </c>
      <c r="F157" t="s">
        <v>1536</v>
      </c>
      <c r="G157">
        <v>92.242000000000004</v>
      </c>
      <c r="H157">
        <v>-1.9077799991492599E-2</v>
      </c>
      <c r="I157">
        <v>94.585999999999999</v>
      </c>
      <c r="J157">
        <v>1.8323930924594199E-2</v>
      </c>
      <c r="K157" t="s">
        <v>1169</v>
      </c>
      <c r="L157" t="s">
        <v>1014</v>
      </c>
    </row>
    <row r="158" spans="1:12" x14ac:dyDescent="0.35">
      <c r="A158">
        <v>-2.6731212813050201E-2</v>
      </c>
      <c r="B158">
        <v>-3.3135327897025703E-2</v>
      </c>
      <c r="C158">
        <v>-6.8462037949067106E-2</v>
      </c>
      <c r="D158">
        <v>2.5185264843212301E-2</v>
      </c>
      <c r="E158" t="s">
        <v>1692</v>
      </c>
      <c r="F158" t="s">
        <v>1536</v>
      </c>
      <c r="G158">
        <v>90.620999999999995</v>
      </c>
      <c r="H158">
        <v>-1.7573339693415201E-2</v>
      </c>
      <c r="I158">
        <v>95.176000000000002</v>
      </c>
      <c r="J158">
        <v>6.2377095976149403E-3</v>
      </c>
      <c r="K158" t="s">
        <v>1170</v>
      </c>
      <c r="L158" t="s">
        <v>1014</v>
      </c>
    </row>
    <row r="159" spans="1:12" x14ac:dyDescent="0.35">
      <c r="A159">
        <v>1.6004255010514602E-2</v>
      </c>
      <c r="B159">
        <v>7.2471101838833497E-4</v>
      </c>
      <c r="C159">
        <v>1.9832196265286098E-2</v>
      </c>
      <c r="D159">
        <v>-3.4674689642026801E-2</v>
      </c>
      <c r="E159" t="s">
        <v>1693</v>
      </c>
      <c r="F159" t="s">
        <v>1536</v>
      </c>
      <c r="G159">
        <v>91.066999999999993</v>
      </c>
      <c r="H159">
        <v>4.9215965394333603E-3</v>
      </c>
      <c r="I159">
        <v>94.34</v>
      </c>
      <c r="J159">
        <v>-8.7837269899974108E-3</v>
      </c>
      <c r="K159" t="s">
        <v>1171</v>
      </c>
      <c r="L159" t="s">
        <v>1014</v>
      </c>
    </row>
    <row r="160" spans="1:12" x14ac:dyDescent="0.35">
      <c r="A160">
        <v>2.78350080421834E-2</v>
      </c>
      <c r="B160">
        <v>1.22854862155337E-2</v>
      </c>
      <c r="C160">
        <v>3.47933032481611E-2</v>
      </c>
      <c r="D160">
        <v>-3.55556982427905E-2</v>
      </c>
      <c r="E160" t="s">
        <v>1694</v>
      </c>
      <c r="F160" t="s">
        <v>1536</v>
      </c>
      <c r="G160">
        <v>91.849000000000004</v>
      </c>
      <c r="H160">
        <v>8.5870842346844594E-3</v>
      </c>
      <c r="I160">
        <v>93.49</v>
      </c>
      <c r="J160">
        <v>-9.0099639601441996E-3</v>
      </c>
      <c r="K160" t="s">
        <v>1172</v>
      </c>
      <c r="L160" t="s">
        <v>1014</v>
      </c>
    </row>
    <row r="161" spans="1:12" x14ac:dyDescent="0.35">
      <c r="A161">
        <v>3.1240948480233E-2</v>
      </c>
      <c r="B161">
        <v>3.11127095791379E-2</v>
      </c>
      <c r="C161">
        <v>3.76238534925952E-2</v>
      </c>
      <c r="D161">
        <v>-3.0769865450653898E-3</v>
      </c>
      <c r="E161" t="s">
        <v>1695</v>
      </c>
      <c r="F161" t="s">
        <v>1536</v>
      </c>
      <c r="G161">
        <v>92.700999999999993</v>
      </c>
      <c r="H161">
        <v>9.2760944593843798E-3</v>
      </c>
      <c r="I161">
        <v>93.418000000000006</v>
      </c>
      <c r="J161">
        <v>-7.7013584340557305E-4</v>
      </c>
      <c r="K161" t="s">
        <v>1173</v>
      </c>
      <c r="L161" t="s">
        <v>1014</v>
      </c>
    </row>
    <row r="162" spans="1:12" x14ac:dyDescent="0.35">
      <c r="A162">
        <v>1.5538458112328299E-2</v>
      </c>
      <c r="B162">
        <v>2.5706833981413501E-2</v>
      </c>
      <c r="C162">
        <v>4.6975487060338501E-2</v>
      </c>
      <c r="D162">
        <v>1.13952226394907E-2</v>
      </c>
      <c r="E162" t="s">
        <v>1696</v>
      </c>
      <c r="F162" t="s">
        <v>1536</v>
      </c>
      <c r="G162">
        <v>93.771000000000001</v>
      </c>
      <c r="H162">
        <v>1.15424860573241E-2</v>
      </c>
      <c r="I162">
        <v>93.683000000000007</v>
      </c>
      <c r="J162">
        <v>2.8367124108843499E-3</v>
      </c>
      <c r="K162" t="s">
        <v>1174</v>
      </c>
      <c r="L162" t="s">
        <v>1014</v>
      </c>
    </row>
    <row r="163" spans="1:12" x14ac:dyDescent="0.35">
      <c r="A163">
        <v>6.2204942357442202E-3</v>
      </c>
      <c r="B163">
        <v>3.1017939025557401E-2</v>
      </c>
      <c r="C163">
        <v>2.9062361366274402E-2</v>
      </c>
      <c r="D163">
        <v>1.7491325837778699E-2</v>
      </c>
      <c r="E163" t="s">
        <v>1697</v>
      </c>
      <c r="F163" t="s">
        <v>1536</v>
      </c>
      <c r="G163">
        <v>94.444999999999993</v>
      </c>
      <c r="H163">
        <v>7.18772328331774E-3</v>
      </c>
      <c r="I163">
        <v>94.09</v>
      </c>
      <c r="J163">
        <v>4.3444381584705196E-3</v>
      </c>
      <c r="K163" t="s">
        <v>1175</v>
      </c>
      <c r="L163" t="s">
        <v>1014</v>
      </c>
    </row>
    <row r="164" spans="1:12" x14ac:dyDescent="0.35">
      <c r="A164">
        <v>7.72594376628044E-3</v>
      </c>
      <c r="B164">
        <v>1.59750935835106E-2</v>
      </c>
      <c r="C164">
        <v>2.3067349052007899E-2</v>
      </c>
      <c r="D164">
        <v>1.2643202128826501E-2</v>
      </c>
      <c r="E164" t="s">
        <v>1698</v>
      </c>
      <c r="F164" t="s">
        <v>1536</v>
      </c>
      <c r="G164">
        <v>94.984999999999999</v>
      </c>
      <c r="H164">
        <v>5.7176134258034601E-3</v>
      </c>
      <c r="I164">
        <v>94.385999999999996</v>
      </c>
      <c r="J164">
        <v>3.1459241152087501E-3</v>
      </c>
      <c r="K164" t="s">
        <v>1176</v>
      </c>
      <c r="L164" t="s">
        <v>1014</v>
      </c>
    </row>
    <row r="165" spans="1:12" x14ac:dyDescent="0.35">
      <c r="A165">
        <v>2.5862689650447499E-2</v>
      </c>
      <c r="B165">
        <v>3.29452826155043E-2</v>
      </c>
      <c r="C165">
        <v>3.7879756208726099E-2</v>
      </c>
      <c r="D165">
        <v>1.8090208281751299E-2</v>
      </c>
      <c r="E165" t="s">
        <v>1699</v>
      </c>
      <c r="F165" t="s">
        <v>1536</v>
      </c>
      <c r="G165">
        <v>95.872</v>
      </c>
      <c r="H165">
        <v>9.3383165763014607E-3</v>
      </c>
      <c r="I165">
        <v>94.81</v>
      </c>
      <c r="J165">
        <v>4.4921916385904899E-3</v>
      </c>
      <c r="K165" t="s">
        <v>1177</v>
      </c>
      <c r="L165" t="s">
        <v>1014</v>
      </c>
    </row>
    <row r="166" spans="1:12" x14ac:dyDescent="0.35">
      <c r="A166">
        <v>3.4016266815046298E-2</v>
      </c>
      <c r="B166">
        <v>3.64259738306612E-2</v>
      </c>
      <c r="C166">
        <v>4.5137017344844002E-2</v>
      </c>
      <c r="D166">
        <v>2.4394704867924499E-2</v>
      </c>
      <c r="E166" t="s">
        <v>1700</v>
      </c>
      <c r="F166" t="s">
        <v>1536</v>
      </c>
      <c r="G166">
        <v>96.936000000000007</v>
      </c>
      <c r="H166">
        <v>1.10981308411215E-2</v>
      </c>
      <c r="I166">
        <v>95.382999999999996</v>
      </c>
      <c r="J166">
        <v>6.0436662799281402E-3</v>
      </c>
      <c r="K166" t="s">
        <v>1178</v>
      </c>
      <c r="L166" t="s">
        <v>1014</v>
      </c>
    </row>
    <row r="167" spans="1:12" x14ac:dyDescent="0.35">
      <c r="A167">
        <v>3.9906323464895102E-2</v>
      </c>
      <c r="B167">
        <v>3.6682670107609103E-2</v>
      </c>
      <c r="C167">
        <v>5.0829697512543702E-2</v>
      </c>
      <c r="D167">
        <v>4.1043493786856698E-2</v>
      </c>
      <c r="E167" t="s">
        <v>1701</v>
      </c>
      <c r="F167" t="s">
        <v>1536</v>
      </c>
      <c r="G167">
        <v>98.144999999999996</v>
      </c>
      <c r="H167">
        <v>1.24721465709332E-2</v>
      </c>
      <c r="I167">
        <v>96.346999999999994</v>
      </c>
      <c r="J167">
        <v>1.01066227734501E-2</v>
      </c>
      <c r="K167" t="s">
        <v>1179</v>
      </c>
      <c r="L167" t="s">
        <v>1014</v>
      </c>
    </row>
    <row r="168" spans="1:12" x14ac:dyDescent="0.35">
      <c r="A168">
        <v>1.8640626124373699E-2</v>
      </c>
      <c r="B168">
        <v>1.39908352832361E-2</v>
      </c>
      <c r="C168">
        <v>1.5247657751557699E-2</v>
      </c>
      <c r="D168">
        <v>4.5983903903995101E-2</v>
      </c>
      <c r="E168" t="s">
        <v>1702</v>
      </c>
      <c r="F168" t="s">
        <v>1536</v>
      </c>
      <c r="G168">
        <v>98.516999999999996</v>
      </c>
      <c r="H168">
        <v>3.7903102552345699E-3</v>
      </c>
      <c r="I168">
        <v>97.436000000000007</v>
      </c>
      <c r="J168">
        <v>1.13028947450362E-2</v>
      </c>
      <c r="K168" t="s">
        <v>1180</v>
      </c>
      <c r="L168" t="s">
        <v>1014</v>
      </c>
    </row>
    <row r="169" spans="1:12" x14ac:dyDescent="0.35">
      <c r="A169">
        <v>1.32561299755005E-2</v>
      </c>
      <c r="B169">
        <v>-5.33618345022691E-3</v>
      </c>
      <c r="C169">
        <v>-1.40950235359611E-2</v>
      </c>
      <c r="D169">
        <v>3.8137779822804398E-2</v>
      </c>
      <c r="E169" t="s">
        <v>1703</v>
      </c>
      <c r="F169" t="s">
        <v>1536</v>
      </c>
      <c r="G169">
        <v>98.168000000000006</v>
      </c>
      <c r="H169">
        <v>-3.54253580600294E-3</v>
      </c>
      <c r="I169">
        <v>98.352000000000004</v>
      </c>
      <c r="J169">
        <v>9.4010427357444897E-3</v>
      </c>
      <c r="K169" t="s">
        <v>1181</v>
      </c>
      <c r="L169" t="s">
        <v>1014</v>
      </c>
    </row>
    <row r="170" spans="1:12" x14ac:dyDescent="0.35">
      <c r="A170">
        <v>2.6761481120787502E-2</v>
      </c>
      <c r="B170">
        <v>1.39201532997375E-2</v>
      </c>
      <c r="C170">
        <v>5.4116713606157101E-2</v>
      </c>
      <c r="D170">
        <v>3.0312571909831599E-2</v>
      </c>
      <c r="E170" t="s">
        <v>1704</v>
      </c>
      <c r="F170" t="s">
        <v>1536</v>
      </c>
      <c r="G170">
        <v>99.47</v>
      </c>
      <c r="H170">
        <v>1.32629777524242E-2</v>
      </c>
      <c r="I170">
        <v>99.088999999999999</v>
      </c>
      <c r="J170">
        <v>7.4934927606962196E-3</v>
      </c>
      <c r="K170" t="s">
        <v>1182</v>
      </c>
      <c r="L170" t="s">
        <v>1014</v>
      </c>
    </row>
    <row r="171" spans="1:12" x14ac:dyDescent="0.35">
      <c r="A171">
        <v>9.7203652064314899E-3</v>
      </c>
      <c r="B171">
        <v>8.8550245823753003E-3</v>
      </c>
      <c r="C171">
        <v>-6.9787462524018001E-3</v>
      </c>
      <c r="D171">
        <v>3.2273930792219303E-2</v>
      </c>
      <c r="E171" t="s">
        <v>1705</v>
      </c>
      <c r="F171" t="s">
        <v>1536</v>
      </c>
      <c r="G171">
        <v>99.296000000000006</v>
      </c>
      <c r="H171">
        <v>-1.7492711370261599E-3</v>
      </c>
      <c r="I171">
        <v>99.879000000000005</v>
      </c>
      <c r="J171">
        <v>7.9726306653615797E-3</v>
      </c>
      <c r="K171" t="s">
        <v>1183</v>
      </c>
      <c r="L171" t="s">
        <v>1014</v>
      </c>
    </row>
    <row r="172" spans="1:12" x14ac:dyDescent="0.35">
      <c r="A172">
        <v>1.1676944984941699E-2</v>
      </c>
      <c r="B172">
        <v>7.7077122555302396E-3</v>
      </c>
      <c r="C172">
        <v>2.44311343320835E-2</v>
      </c>
      <c r="D172">
        <v>2.17207841742009E-2</v>
      </c>
      <c r="E172" t="s">
        <v>1706</v>
      </c>
      <c r="F172" t="s">
        <v>1536</v>
      </c>
      <c r="G172">
        <v>99.897000000000006</v>
      </c>
      <c r="H172">
        <v>6.0526103770543998E-3</v>
      </c>
      <c r="I172">
        <v>100.417</v>
      </c>
      <c r="J172">
        <v>5.3865176864005297E-3</v>
      </c>
      <c r="K172" t="s">
        <v>1184</v>
      </c>
      <c r="L172" t="s">
        <v>1014</v>
      </c>
    </row>
    <row r="173" spans="1:12" x14ac:dyDescent="0.35">
      <c r="A173">
        <v>2.2614716677978E-2</v>
      </c>
      <c r="B173">
        <v>4.9632662336496196E-3</v>
      </c>
      <c r="C173">
        <v>5.8918140200379103E-2</v>
      </c>
      <c r="D173">
        <v>7.9104688711333394E-3</v>
      </c>
      <c r="E173" t="s">
        <v>1707</v>
      </c>
      <c r="F173" t="s">
        <v>1536</v>
      </c>
      <c r="G173">
        <v>101.337</v>
      </c>
      <c r="H173">
        <v>1.4414847292711501E-2</v>
      </c>
      <c r="I173">
        <v>100.61499999999999</v>
      </c>
      <c r="J173">
        <v>1.9717776870449301E-3</v>
      </c>
      <c r="K173" t="s">
        <v>1185</v>
      </c>
      <c r="L173" t="s">
        <v>1014</v>
      </c>
    </row>
    <row r="174" spans="1:12" x14ac:dyDescent="0.35">
      <c r="A174">
        <v>1.45079389824292E-2</v>
      </c>
      <c r="B174">
        <v>-1.9949826125076301E-4</v>
      </c>
      <c r="C174">
        <v>5.3376513955371498E-2</v>
      </c>
      <c r="D174">
        <v>1.6319173615011201E-2</v>
      </c>
      <c r="E174" t="s">
        <v>1708</v>
      </c>
      <c r="F174" t="s">
        <v>1536</v>
      </c>
      <c r="G174">
        <v>102.663</v>
      </c>
      <c r="H174">
        <v>1.3085052843482501E-2</v>
      </c>
      <c r="I174">
        <v>101.023</v>
      </c>
      <c r="J174">
        <v>4.05506137255873E-3</v>
      </c>
      <c r="K174" t="s">
        <v>1186</v>
      </c>
      <c r="L174" t="s">
        <v>1014</v>
      </c>
    </row>
    <row r="175" spans="1:12" x14ac:dyDescent="0.35">
      <c r="A175">
        <v>2.8548469670495202E-3</v>
      </c>
      <c r="B175">
        <v>7.9245575399269404E-3</v>
      </c>
      <c r="C175">
        <v>2.14833879994034E-2</v>
      </c>
      <c r="D175">
        <v>2.0547855013869399E-2</v>
      </c>
      <c r="E175" t="s">
        <v>1709</v>
      </c>
      <c r="F175" t="s">
        <v>1536</v>
      </c>
      <c r="G175">
        <v>103.21</v>
      </c>
      <c r="H175">
        <v>5.3281123676494103E-3</v>
      </c>
      <c r="I175">
        <v>101.538</v>
      </c>
      <c r="J175">
        <v>5.0978490046820202E-3</v>
      </c>
      <c r="K175" t="s">
        <v>1187</v>
      </c>
      <c r="L175" t="s">
        <v>1014</v>
      </c>
    </row>
    <row r="176" spans="1:12" x14ac:dyDescent="0.35">
      <c r="A176">
        <v>1.6326843500240801E-2</v>
      </c>
      <c r="B176">
        <v>1.3006397529373E-2</v>
      </c>
      <c r="C176">
        <v>3.4225885044726997E-2</v>
      </c>
      <c r="D176">
        <v>2.1723337040250802E-2</v>
      </c>
      <c r="E176" t="s">
        <v>1710</v>
      </c>
      <c r="F176" t="s">
        <v>1536</v>
      </c>
      <c r="G176">
        <v>104.08199999999999</v>
      </c>
      <c r="H176">
        <v>8.4487937215385108E-3</v>
      </c>
      <c r="I176">
        <v>102.08499999999999</v>
      </c>
      <c r="J176">
        <v>5.3871456991470001E-3</v>
      </c>
      <c r="K176" t="s">
        <v>1188</v>
      </c>
      <c r="L176" t="s">
        <v>1014</v>
      </c>
    </row>
    <row r="177" spans="1:12" x14ac:dyDescent="0.35">
      <c r="A177">
        <v>1.6859105016114002E-2</v>
      </c>
      <c r="B177">
        <v>6.2259222369993199E-2</v>
      </c>
      <c r="C177">
        <v>2.1461497744286601E-2</v>
      </c>
      <c r="D177">
        <v>3.0554089712781E-2</v>
      </c>
      <c r="E177" t="s">
        <v>1711</v>
      </c>
      <c r="F177" t="s">
        <v>1536</v>
      </c>
      <c r="G177">
        <v>104.636</v>
      </c>
      <c r="H177">
        <v>5.3227263119464104E-3</v>
      </c>
      <c r="I177">
        <v>102.85599999999999</v>
      </c>
      <c r="J177">
        <v>7.55252975461618E-3</v>
      </c>
      <c r="K177" t="s">
        <v>1189</v>
      </c>
      <c r="L177" t="s">
        <v>1014</v>
      </c>
    </row>
    <row r="178" spans="1:12" x14ac:dyDescent="0.35">
      <c r="A178">
        <v>1.93744928521071E-2</v>
      </c>
      <c r="B178">
        <v>-1.02831916231174E-2</v>
      </c>
      <c r="C178">
        <v>3.4027993671362999E-2</v>
      </c>
      <c r="D178">
        <v>2.27077607090642E-2</v>
      </c>
      <c r="E178" t="s">
        <v>1712</v>
      </c>
      <c r="F178" t="s">
        <v>1536</v>
      </c>
      <c r="G178">
        <v>105.515</v>
      </c>
      <c r="H178">
        <v>8.4005504797584098E-3</v>
      </c>
      <c r="I178">
        <v>103.435</v>
      </c>
      <c r="J178">
        <v>5.6292292136579398E-3</v>
      </c>
      <c r="K178" t="s">
        <v>1190</v>
      </c>
      <c r="L178" t="s">
        <v>1014</v>
      </c>
    </row>
    <row r="179" spans="1:12" x14ac:dyDescent="0.35">
      <c r="A179">
        <v>2.0192934056340501E-2</v>
      </c>
      <c r="B179">
        <v>1.7798477087045E-2</v>
      </c>
      <c r="C179">
        <v>1.2683683496116101E-2</v>
      </c>
      <c r="D179">
        <v>1.8378329285591199E-2</v>
      </c>
      <c r="E179" t="s">
        <v>1713</v>
      </c>
      <c r="F179" t="s">
        <v>1536</v>
      </c>
      <c r="G179">
        <v>105.848</v>
      </c>
      <c r="H179">
        <v>3.1559493910817702E-3</v>
      </c>
      <c r="I179">
        <v>103.907</v>
      </c>
      <c r="J179">
        <v>4.5632522840430801E-3</v>
      </c>
      <c r="K179" t="s">
        <v>1191</v>
      </c>
      <c r="L179" t="s">
        <v>1014</v>
      </c>
    </row>
    <row r="180" spans="1:12" x14ac:dyDescent="0.35">
      <c r="A180">
        <v>1.13601398604235E-2</v>
      </c>
      <c r="B180">
        <v>1.8827452214838801E-2</v>
      </c>
      <c r="C180">
        <v>2.3098181930942801E-2</v>
      </c>
      <c r="D180">
        <v>1.94654703730235E-2</v>
      </c>
      <c r="E180" t="s">
        <v>1714</v>
      </c>
      <c r="F180" t="s">
        <v>1536</v>
      </c>
      <c r="G180">
        <v>106.45399999999999</v>
      </c>
      <c r="H180">
        <v>5.7251908396946903E-3</v>
      </c>
      <c r="I180">
        <v>104.40900000000001</v>
      </c>
      <c r="J180">
        <v>4.8312433233566E-3</v>
      </c>
      <c r="K180" t="s">
        <v>1192</v>
      </c>
      <c r="L180" t="s">
        <v>1014</v>
      </c>
    </row>
    <row r="181" spans="1:12" x14ac:dyDescent="0.35">
      <c r="A181">
        <v>-4.6048768205230201E-3</v>
      </c>
      <c r="B181">
        <v>5.3720415632923001E-3</v>
      </c>
      <c r="C181">
        <v>-3.1150724387948299E-3</v>
      </c>
      <c r="D181">
        <v>7.0678568534106E-3</v>
      </c>
      <c r="E181" t="s">
        <v>1715</v>
      </c>
      <c r="F181" t="s">
        <v>1536</v>
      </c>
      <c r="G181">
        <v>106.371</v>
      </c>
      <c r="H181">
        <v>-7.7967948597512703E-4</v>
      </c>
      <c r="I181">
        <v>104.593</v>
      </c>
      <c r="J181">
        <v>1.76230018484991E-3</v>
      </c>
      <c r="K181" t="s">
        <v>1193</v>
      </c>
      <c r="L181" t="s">
        <v>1014</v>
      </c>
    </row>
    <row r="182" spans="1:12" x14ac:dyDescent="0.35">
      <c r="A182">
        <v>-1.65067373701384E-2</v>
      </c>
      <c r="B182">
        <v>-6.4248737444822001E-3</v>
      </c>
      <c r="C182">
        <v>-3.9305105462135198E-2</v>
      </c>
      <c r="D182">
        <v>-1.18502082280647E-3</v>
      </c>
      <c r="E182" t="s">
        <v>1716</v>
      </c>
      <c r="F182" t="s">
        <v>1536</v>
      </c>
      <c r="G182">
        <v>105.31</v>
      </c>
      <c r="H182">
        <v>-9.9745231313045392E-3</v>
      </c>
      <c r="I182">
        <v>104.562</v>
      </c>
      <c r="J182">
        <v>-2.9638694750133698E-4</v>
      </c>
      <c r="K182" t="s">
        <v>1194</v>
      </c>
      <c r="L182" t="s">
        <v>1014</v>
      </c>
    </row>
    <row r="183" spans="1:12" x14ac:dyDescent="0.35">
      <c r="A183">
        <v>1.9548766403745001E-2</v>
      </c>
      <c r="B183">
        <v>7.87290366046434E-3</v>
      </c>
      <c r="C183">
        <v>2.82887807392058E-2</v>
      </c>
      <c r="D183">
        <v>1.76749178700988E-2</v>
      </c>
      <c r="E183" t="s">
        <v>1717</v>
      </c>
      <c r="F183" t="s">
        <v>1536</v>
      </c>
      <c r="G183">
        <v>106.047</v>
      </c>
      <c r="H183">
        <v>6.9983857183553199E-3</v>
      </c>
      <c r="I183">
        <v>105.021</v>
      </c>
      <c r="J183">
        <v>4.3897400585299904E-3</v>
      </c>
      <c r="K183" t="s">
        <v>1195</v>
      </c>
      <c r="L183" t="s">
        <v>1014</v>
      </c>
    </row>
    <row r="184" spans="1:12" x14ac:dyDescent="0.35">
      <c r="A184">
        <v>9.6917092109320997E-3</v>
      </c>
      <c r="B184">
        <v>6.1419866574232698E-3</v>
      </c>
      <c r="C184">
        <v>2.4162101667697402E-3</v>
      </c>
      <c r="D184">
        <v>1.1398511762960899E-2</v>
      </c>
      <c r="E184" t="s">
        <v>1718</v>
      </c>
      <c r="F184" t="s">
        <v>1536</v>
      </c>
      <c r="G184">
        <v>106.111</v>
      </c>
      <c r="H184">
        <v>6.0350599262592997E-4</v>
      </c>
      <c r="I184">
        <v>105.319</v>
      </c>
      <c r="J184">
        <v>2.8375277325487498E-3</v>
      </c>
      <c r="K184" t="s">
        <v>1196</v>
      </c>
      <c r="L184" t="s">
        <v>1014</v>
      </c>
    </row>
    <row r="185" spans="1:12" x14ac:dyDescent="0.35">
      <c r="A185">
        <v>-3.9403871252573497E-3</v>
      </c>
      <c r="B185">
        <v>-3.1716537268759999E-3</v>
      </c>
      <c r="C185">
        <v>-1.5664221695060501E-2</v>
      </c>
      <c r="D185">
        <v>-2.2010123911118101E-3</v>
      </c>
      <c r="E185" t="s">
        <v>1719</v>
      </c>
      <c r="F185" t="s">
        <v>1536</v>
      </c>
      <c r="G185">
        <v>105.693</v>
      </c>
      <c r="H185">
        <v>-3.9392711405981098E-3</v>
      </c>
      <c r="I185">
        <v>105.261</v>
      </c>
      <c r="J185">
        <v>-5.5070784948596497E-4</v>
      </c>
      <c r="K185" t="s">
        <v>1197</v>
      </c>
      <c r="L185" t="s">
        <v>1014</v>
      </c>
    </row>
    <row r="186" spans="1:12" x14ac:dyDescent="0.35">
      <c r="A186">
        <v>2.1316685833889801E-3</v>
      </c>
      <c r="B186">
        <v>-9.9615046560082004E-3</v>
      </c>
      <c r="C186">
        <v>-3.3665208430493802E-2</v>
      </c>
      <c r="D186">
        <v>-9.6550430027560995E-3</v>
      </c>
      <c r="E186" t="s">
        <v>1720</v>
      </c>
      <c r="F186" t="s">
        <v>1536</v>
      </c>
      <c r="G186">
        <v>104.792</v>
      </c>
      <c r="H186">
        <v>-8.5246894307096106E-3</v>
      </c>
      <c r="I186">
        <v>105.006</v>
      </c>
      <c r="J186">
        <v>-2.4225496622680702E-3</v>
      </c>
      <c r="K186" t="s">
        <v>1198</v>
      </c>
      <c r="L186" t="s">
        <v>1014</v>
      </c>
    </row>
    <row r="187" spans="1:12" x14ac:dyDescent="0.35">
      <c r="A187">
        <v>2.5357857709627601E-2</v>
      </c>
      <c r="B187">
        <v>2.1698746196001199E-2</v>
      </c>
      <c r="C187">
        <v>3.0770998377488399E-2</v>
      </c>
      <c r="D187">
        <v>3.3008554152673703E-2</v>
      </c>
      <c r="E187" t="s">
        <v>1721</v>
      </c>
      <c r="F187" t="s">
        <v>1536</v>
      </c>
      <c r="G187">
        <v>105.589</v>
      </c>
      <c r="H187">
        <v>7.6055424078174099E-3</v>
      </c>
      <c r="I187">
        <v>105.86199999999999</v>
      </c>
      <c r="J187">
        <v>8.1519151286593202E-3</v>
      </c>
      <c r="K187" t="s">
        <v>1199</v>
      </c>
      <c r="L187" t="s">
        <v>1014</v>
      </c>
    </row>
    <row r="188" spans="1:12" x14ac:dyDescent="0.35">
      <c r="A188">
        <v>1.5085753101185199E-2</v>
      </c>
      <c r="B188">
        <v>1.5625918949128799E-2</v>
      </c>
      <c r="C188">
        <v>1.5469326265677499E-2</v>
      </c>
      <c r="D188">
        <v>3.0262315011426702E-3</v>
      </c>
      <c r="E188" t="s">
        <v>1722</v>
      </c>
      <c r="F188" t="s">
        <v>1536</v>
      </c>
      <c r="G188">
        <v>105.995</v>
      </c>
      <c r="H188">
        <v>3.8450975006867299E-3</v>
      </c>
      <c r="I188">
        <v>105.94199999999999</v>
      </c>
      <c r="J188">
        <v>7.5570081804610101E-4</v>
      </c>
      <c r="K188" t="s">
        <v>1200</v>
      </c>
      <c r="L188" t="s">
        <v>1014</v>
      </c>
    </row>
    <row r="189" spans="1:12" x14ac:dyDescent="0.35">
      <c r="A189">
        <v>1.9065277405527499E-2</v>
      </c>
      <c r="B189">
        <v>1.9426037707255001E-2</v>
      </c>
      <c r="C189">
        <v>1.98067429774604E-2</v>
      </c>
      <c r="D189">
        <v>1.9471921944120799E-2</v>
      </c>
      <c r="E189" t="s">
        <v>1723</v>
      </c>
      <c r="F189" t="s">
        <v>1536</v>
      </c>
      <c r="G189">
        <v>106.51600000000001</v>
      </c>
      <c r="H189">
        <v>4.9153261946317502E-3</v>
      </c>
      <c r="I189">
        <v>106.45399999999999</v>
      </c>
      <c r="J189">
        <v>4.8328330595985803E-3</v>
      </c>
      <c r="K189" t="s">
        <v>1201</v>
      </c>
      <c r="L189" t="s">
        <v>1014</v>
      </c>
    </row>
    <row r="190" spans="1:12" x14ac:dyDescent="0.35">
      <c r="A190">
        <v>2.3896314746341098E-2</v>
      </c>
      <c r="B190">
        <v>1.9409885132803301E-2</v>
      </c>
      <c r="C190">
        <v>3.9514900887574103E-2</v>
      </c>
      <c r="D190">
        <v>2.7099611156277601E-2</v>
      </c>
      <c r="E190" t="s">
        <v>1724</v>
      </c>
      <c r="F190" t="s">
        <v>1536</v>
      </c>
      <c r="G190">
        <v>107.53400000000001</v>
      </c>
      <c r="H190">
        <v>9.5572496150813108E-3</v>
      </c>
      <c r="I190">
        <v>107.188</v>
      </c>
      <c r="J190">
        <v>6.8949969000695601E-3</v>
      </c>
      <c r="K190" t="s">
        <v>1202</v>
      </c>
      <c r="L190" t="s">
        <v>1014</v>
      </c>
    </row>
    <row r="191" spans="1:12" x14ac:dyDescent="0.35">
      <c r="A191">
        <v>9.9328007831764892E-3</v>
      </c>
      <c r="B191">
        <v>1.3103273651826199E-2</v>
      </c>
      <c r="C191">
        <v>9.0306358829268501E-3</v>
      </c>
      <c r="D191">
        <v>2.1521193573355E-2</v>
      </c>
      <c r="E191" t="s">
        <v>1725</v>
      </c>
      <c r="F191" t="s">
        <v>1536</v>
      </c>
      <c r="G191">
        <v>107.80200000000001</v>
      </c>
      <c r="H191">
        <v>2.49223501404217E-3</v>
      </c>
      <c r="I191">
        <v>107.712</v>
      </c>
      <c r="J191">
        <v>4.8886069336120403E-3</v>
      </c>
      <c r="K191" t="s">
        <v>1203</v>
      </c>
      <c r="L191" t="s">
        <v>1014</v>
      </c>
    </row>
    <row r="192" spans="1:12" x14ac:dyDescent="0.35">
      <c r="A192">
        <v>1.4603017582518699E-2</v>
      </c>
      <c r="B192">
        <v>1.7788818797953999E-2</v>
      </c>
      <c r="C192">
        <v>3.6635495652026999E-2</v>
      </c>
      <c r="D192">
        <v>3.6311211479282998E-2</v>
      </c>
      <c r="E192" t="s">
        <v>1726</v>
      </c>
      <c r="F192" t="s">
        <v>1536</v>
      </c>
      <c r="G192">
        <v>108.785</v>
      </c>
      <c r="H192">
        <v>9.1185692287711895E-3</v>
      </c>
      <c r="I192">
        <v>108.676</v>
      </c>
      <c r="J192">
        <v>8.94979203802726E-3</v>
      </c>
      <c r="K192" t="s">
        <v>1204</v>
      </c>
      <c r="L192" t="s">
        <v>1014</v>
      </c>
    </row>
    <row r="193" spans="1:12" x14ac:dyDescent="0.35">
      <c r="A193">
        <v>2.5719713356744601E-2</v>
      </c>
      <c r="B193">
        <v>2.90667642529692E-2</v>
      </c>
      <c r="C193">
        <v>5.7042627848445E-2</v>
      </c>
      <c r="D193">
        <v>2.3197124388088401E-2</v>
      </c>
      <c r="E193" t="s">
        <v>1727</v>
      </c>
      <c r="F193" t="s">
        <v>1536</v>
      </c>
      <c r="G193">
        <v>110.252</v>
      </c>
      <c r="H193">
        <v>1.3485315071011699E-2</v>
      </c>
      <c r="I193">
        <v>109.285</v>
      </c>
      <c r="J193">
        <v>5.6038131694209304E-3</v>
      </c>
      <c r="K193" t="s">
        <v>1205</v>
      </c>
      <c r="L193" t="s">
        <v>1014</v>
      </c>
    </row>
    <row r="194" spans="1:12" x14ac:dyDescent="0.35">
      <c r="A194">
        <v>2.9147369447939799E-2</v>
      </c>
      <c r="B194">
        <v>4.11537159385129E-2</v>
      </c>
      <c r="C194">
        <v>5.2316315130779299E-2</v>
      </c>
      <c r="D194">
        <v>3.8107075575473298E-2</v>
      </c>
      <c r="E194" t="s">
        <v>1728</v>
      </c>
      <c r="F194" t="s">
        <v>1536</v>
      </c>
      <c r="G194">
        <v>111.627</v>
      </c>
      <c r="H194">
        <v>1.24714290897217E-2</v>
      </c>
      <c r="I194">
        <v>110.291</v>
      </c>
      <c r="J194">
        <v>9.2052889234570702E-3</v>
      </c>
      <c r="K194" t="s">
        <v>1206</v>
      </c>
      <c r="L194" t="s">
        <v>1014</v>
      </c>
    </row>
    <row r="195" spans="1:12" x14ac:dyDescent="0.35">
      <c r="A195">
        <v>2.1663179127611398E-2</v>
      </c>
      <c r="B195">
        <v>2.95524402709311E-2</v>
      </c>
      <c r="C195">
        <v>4.1414814571916599E-2</v>
      </c>
      <c r="D195">
        <v>5.71493007542314E-2</v>
      </c>
      <c r="E195" t="s">
        <v>1729</v>
      </c>
      <c r="F195" t="s">
        <v>1536</v>
      </c>
      <c r="G195">
        <v>112.81100000000001</v>
      </c>
      <c r="H195">
        <v>1.06067528465337E-2</v>
      </c>
      <c r="I195">
        <v>111.736</v>
      </c>
      <c r="J195">
        <v>1.3101703674824E-2</v>
      </c>
      <c r="K195" t="s">
        <v>1207</v>
      </c>
      <c r="L195" t="s">
        <v>1014</v>
      </c>
    </row>
    <row r="196" spans="1:12" x14ac:dyDescent="0.35">
      <c r="A196">
        <v>1.4350946991545E-2</v>
      </c>
      <c r="B196">
        <v>2.3387558006987101E-2</v>
      </c>
      <c r="C196">
        <v>3.8836746328921902E-2</v>
      </c>
      <c r="D196">
        <v>2.9745006586506799E-2</v>
      </c>
      <c r="E196" t="s">
        <v>1730</v>
      </c>
      <c r="F196" t="s">
        <v>1536</v>
      </c>
      <c r="G196">
        <v>113.875</v>
      </c>
      <c r="H196">
        <v>9.4317043550717905E-3</v>
      </c>
      <c r="I196">
        <v>112.542</v>
      </c>
      <c r="J196">
        <v>7.2134316603422698E-3</v>
      </c>
      <c r="K196" t="s">
        <v>1208</v>
      </c>
      <c r="L196" t="s">
        <v>1014</v>
      </c>
    </row>
    <row r="197" spans="1:12" x14ac:dyDescent="0.35">
      <c r="A197">
        <v>1.51565091171486E-2</v>
      </c>
      <c r="B197">
        <v>2.9652502701153601E-2</v>
      </c>
      <c r="C197">
        <v>1.6036274889288799E-2</v>
      </c>
      <c r="D197">
        <v>4.1912016313216102E-2</v>
      </c>
      <c r="E197" t="s">
        <v>1731</v>
      </c>
      <c r="F197" t="s">
        <v>1536</v>
      </c>
      <c r="G197">
        <v>114.43899999999999</v>
      </c>
      <c r="H197">
        <v>4.9527991218440998E-3</v>
      </c>
      <c r="I197">
        <v>113.715</v>
      </c>
      <c r="J197">
        <v>1.0422775497147801E-2</v>
      </c>
      <c r="K197" t="s">
        <v>1209</v>
      </c>
      <c r="L197" t="s">
        <v>1014</v>
      </c>
    </row>
    <row r="198" spans="1:12" x14ac:dyDescent="0.35">
      <c r="A198">
        <v>8.3593342288621492E-3</v>
      </c>
      <c r="B198">
        <v>4.3357912415273203E-2</v>
      </c>
      <c r="C198">
        <v>-1.6750426853228501E-2</v>
      </c>
      <c r="D198">
        <v>1.5721372171975601E-2</v>
      </c>
      <c r="E198" t="s">
        <v>1732</v>
      </c>
      <c r="F198" t="s">
        <v>1536</v>
      </c>
      <c r="G198">
        <v>113.98</v>
      </c>
      <c r="H198">
        <v>-4.0108704200489996E-3</v>
      </c>
      <c r="I198">
        <v>114.175</v>
      </c>
      <c r="J198">
        <v>4.0452007211009304E-3</v>
      </c>
      <c r="K198" t="s">
        <v>1210</v>
      </c>
      <c r="L198" t="s">
        <v>1014</v>
      </c>
    </row>
    <row r="199" spans="1:12" x14ac:dyDescent="0.35">
      <c r="A199">
        <v>2.4734353401226102E-2</v>
      </c>
      <c r="B199">
        <v>-2.6343933972632301E-2</v>
      </c>
      <c r="C199">
        <v>2.5813818283005E-2</v>
      </c>
      <c r="D199">
        <v>4.8037769815769002E-2</v>
      </c>
      <c r="E199" t="s">
        <v>1733</v>
      </c>
      <c r="F199" t="s">
        <v>1536</v>
      </c>
      <c r="G199">
        <v>114.758</v>
      </c>
      <c r="H199">
        <v>6.8257589050710896E-3</v>
      </c>
      <c r="I199">
        <v>115.41800000000001</v>
      </c>
      <c r="J199">
        <v>1.0886796584191E-2</v>
      </c>
      <c r="K199" t="s">
        <v>1211</v>
      </c>
      <c r="L199" t="s">
        <v>1014</v>
      </c>
    </row>
    <row r="200" spans="1:12" x14ac:dyDescent="0.35">
      <c r="A200">
        <v>1.0490970472330399E-2</v>
      </c>
      <c r="B200">
        <v>1.0018821110834301E-2</v>
      </c>
      <c r="C200">
        <v>8.6124156242581903E-3</v>
      </c>
      <c r="D200">
        <v>1.9083730667159401E-2</v>
      </c>
      <c r="E200" t="s">
        <v>1734</v>
      </c>
      <c r="F200" t="s">
        <v>1536</v>
      </c>
      <c r="G200">
        <v>114.919</v>
      </c>
      <c r="H200">
        <v>1.40295229962173E-3</v>
      </c>
      <c r="I200">
        <v>115.982</v>
      </c>
      <c r="J200">
        <v>4.8865861477411796E-3</v>
      </c>
      <c r="K200" t="s">
        <v>1212</v>
      </c>
      <c r="L200" t="s">
        <v>1014</v>
      </c>
    </row>
    <row r="201" spans="1:12" x14ac:dyDescent="0.35">
      <c r="A201">
        <v>1.45690487077856E-2</v>
      </c>
      <c r="B201">
        <v>1.6245763277308499E-2</v>
      </c>
      <c r="C201">
        <v>1.6996215944869601E-2</v>
      </c>
      <c r="D201">
        <v>5.8979339636946503E-3</v>
      </c>
      <c r="E201" t="s">
        <v>1735</v>
      </c>
      <c r="F201" t="s">
        <v>1536</v>
      </c>
      <c r="G201">
        <v>115.285</v>
      </c>
      <c r="H201">
        <v>3.1848519391919298E-3</v>
      </c>
      <c r="I201">
        <v>116.167</v>
      </c>
      <c r="J201">
        <v>1.59507509785994E-3</v>
      </c>
      <c r="K201" t="s">
        <v>1213</v>
      </c>
      <c r="L201" t="s">
        <v>1014</v>
      </c>
    </row>
    <row r="202" spans="1:12" x14ac:dyDescent="0.35">
      <c r="A202">
        <v>1.46624987744557E-2</v>
      </c>
      <c r="B202">
        <v>1.3591255249432201E-2</v>
      </c>
      <c r="C202">
        <v>5.0660572456327199E-2</v>
      </c>
      <c r="D202">
        <v>1.0418465412080901E-2</v>
      </c>
      <c r="E202" t="s">
        <v>1736</v>
      </c>
      <c r="F202" t="s">
        <v>1536</v>
      </c>
      <c r="G202">
        <v>116.54600000000001</v>
      </c>
      <c r="H202">
        <v>1.09381099015484E-2</v>
      </c>
      <c r="I202">
        <v>116.5</v>
      </c>
      <c r="J202">
        <v>2.86656279322006E-3</v>
      </c>
      <c r="K202" t="s">
        <v>1214</v>
      </c>
      <c r="L202" t="s">
        <v>1014</v>
      </c>
    </row>
    <row r="203" spans="1:12" x14ac:dyDescent="0.35">
      <c r="A203">
        <v>-1.7940859457881899E-2</v>
      </c>
      <c r="B203">
        <v>3.31045118831508E-3</v>
      </c>
      <c r="C203">
        <v>-1.06133933402519E-3</v>
      </c>
      <c r="D203">
        <v>-7.65559802497651E-3</v>
      </c>
      <c r="E203" t="s">
        <v>1737</v>
      </c>
      <c r="F203" t="s">
        <v>1536</v>
      </c>
      <c r="G203">
        <v>116.072</v>
      </c>
      <c r="H203">
        <v>-4.0670636486881398E-3</v>
      </c>
      <c r="I203">
        <v>116.19499999999999</v>
      </c>
      <c r="J203">
        <v>-2.61802575107306E-3</v>
      </c>
      <c r="K203" t="s">
        <v>1215</v>
      </c>
      <c r="L203" t="s">
        <v>1014</v>
      </c>
    </row>
    <row r="204" spans="1:12" x14ac:dyDescent="0.35">
      <c r="A204">
        <v>3.3775526155126898E-2</v>
      </c>
      <c r="B204">
        <v>2.5959727144998501E-2</v>
      </c>
      <c r="C204">
        <v>3.4596703938155803E-2</v>
      </c>
      <c r="D204">
        <v>4.1355015452944698E-2</v>
      </c>
      <c r="E204" t="s">
        <v>1738</v>
      </c>
      <c r="F204" t="s">
        <v>1536</v>
      </c>
      <c r="G204">
        <v>116.51900000000001</v>
      </c>
      <c r="H204">
        <v>3.8510579640223001E-3</v>
      </c>
      <c r="I204">
        <v>117.285</v>
      </c>
      <c r="J204">
        <v>9.3807823056069103E-3</v>
      </c>
      <c r="K204" t="s">
        <v>1216</v>
      </c>
      <c r="L204" t="s">
        <v>1014</v>
      </c>
    </row>
    <row r="205" spans="1:12" x14ac:dyDescent="0.35">
      <c r="A205">
        <v>1.6442937470855502E-2</v>
      </c>
      <c r="B205">
        <v>2.4447407360365301E-2</v>
      </c>
      <c r="C205">
        <v>5.1547958936444697E-2</v>
      </c>
      <c r="D205">
        <v>1.8415186976738801E-2</v>
      </c>
      <c r="E205" t="s">
        <v>1739</v>
      </c>
      <c r="F205" t="s">
        <v>1536</v>
      </c>
      <c r="G205">
        <v>117.593</v>
      </c>
      <c r="H205">
        <v>9.2173808563409398E-3</v>
      </c>
      <c r="I205">
        <v>117.706</v>
      </c>
      <c r="J205">
        <v>3.5895468303705999E-3</v>
      </c>
      <c r="K205" t="s">
        <v>1217</v>
      </c>
      <c r="L205" t="s">
        <v>1014</v>
      </c>
    </row>
    <row r="206" spans="1:12" x14ac:dyDescent="0.35">
      <c r="A206">
        <v>4.5025943450948999E-2</v>
      </c>
      <c r="B206">
        <v>4.0827649049089101E-2</v>
      </c>
      <c r="C206">
        <v>9.2834286401326696E-2</v>
      </c>
      <c r="D206">
        <v>6.4160755006020101E-2</v>
      </c>
      <c r="E206" t="s">
        <v>1740</v>
      </c>
      <c r="F206" t="s">
        <v>1536</v>
      </c>
      <c r="G206">
        <v>119.419</v>
      </c>
      <c r="H206">
        <v>1.5528135178114201E-2</v>
      </c>
      <c r="I206">
        <v>119.416</v>
      </c>
      <c r="J206">
        <v>1.45277216114725E-2</v>
      </c>
      <c r="K206" t="s">
        <v>1218</v>
      </c>
      <c r="L206" t="s">
        <v>1014</v>
      </c>
    </row>
    <row r="207" spans="1:12" x14ac:dyDescent="0.35">
      <c r="A207">
        <v>6.4441802743663304E-2</v>
      </c>
      <c r="B207">
        <v>4.1247362410053098E-2</v>
      </c>
      <c r="C207">
        <v>8.0575514620662397E-2</v>
      </c>
      <c r="D207">
        <v>0.104589902157439</v>
      </c>
      <c r="E207" t="s">
        <v>1741</v>
      </c>
      <c r="F207" t="s">
        <v>1536</v>
      </c>
      <c r="G207">
        <v>121.425</v>
      </c>
      <c r="H207">
        <v>1.6797996968656699E-2</v>
      </c>
      <c r="I207">
        <v>122.101</v>
      </c>
      <c r="J207">
        <v>2.24844241977624E-2</v>
      </c>
      <c r="K207" t="s">
        <v>1219</v>
      </c>
      <c r="L207" t="s">
        <v>1014</v>
      </c>
    </row>
    <row r="208" spans="1:12" x14ac:dyDescent="0.35">
      <c r="A208">
        <v>5.5998846943190198E-2</v>
      </c>
      <c r="B208">
        <v>4.40178580952795E-2</v>
      </c>
      <c r="C208">
        <v>6.4680375979367696E-2</v>
      </c>
      <c r="D208">
        <v>9.3631239224950299E-2</v>
      </c>
      <c r="E208" t="s">
        <v>1742</v>
      </c>
      <c r="F208" t="s">
        <v>1536</v>
      </c>
      <c r="G208">
        <v>123.291</v>
      </c>
      <c r="H208">
        <v>1.53675108091413E-2</v>
      </c>
      <c r="I208">
        <v>124.71</v>
      </c>
      <c r="J208">
        <v>2.13675563672697E-2</v>
      </c>
      <c r="K208" t="s">
        <v>1220</v>
      </c>
      <c r="L208" t="s">
        <v>1014</v>
      </c>
    </row>
    <row r="209" spans="1:12" x14ac:dyDescent="0.35">
      <c r="A209">
        <v>6.1859650545573498E-2</v>
      </c>
      <c r="B209">
        <v>4.34322998250962E-2</v>
      </c>
      <c r="C209">
        <v>8.4136934840178798E-2</v>
      </c>
      <c r="D209">
        <v>0.12124821634027599</v>
      </c>
      <c r="E209" t="s">
        <v>1743</v>
      </c>
      <c r="F209" t="s">
        <v>1536</v>
      </c>
      <c r="G209">
        <v>125.712</v>
      </c>
      <c r="H209">
        <v>1.96364698153151E-2</v>
      </c>
      <c r="I209">
        <v>128.44900000000001</v>
      </c>
      <c r="J209">
        <v>2.9981557212733798E-2</v>
      </c>
      <c r="K209" t="s">
        <v>1221</v>
      </c>
      <c r="L209" t="s">
        <v>1014</v>
      </c>
    </row>
    <row r="210" spans="1:12" x14ac:dyDescent="0.35">
      <c r="A210">
        <v>7.4784916271317198E-2</v>
      </c>
      <c r="B210">
        <v>5.6798579453040801E-2</v>
      </c>
      <c r="C210">
        <v>0.10120576467409099</v>
      </c>
      <c r="D210">
        <v>0.12687792670398401</v>
      </c>
      <c r="E210" t="s">
        <v>1744</v>
      </c>
      <c r="F210" t="s">
        <v>1536</v>
      </c>
      <c r="G210">
        <v>129</v>
      </c>
      <c r="H210">
        <v>2.6155021000381799E-2</v>
      </c>
      <c r="I210">
        <v>132.33099999999999</v>
      </c>
      <c r="J210">
        <v>3.0222111499505398E-2</v>
      </c>
      <c r="K210" t="s">
        <v>1222</v>
      </c>
      <c r="L210" t="s">
        <v>1014</v>
      </c>
    </row>
    <row r="211" spans="1:12" x14ac:dyDescent="0.35">
      <c r="A211">
        <v>7.2922192171477093E-2</v>
      </c>
      <c r="B211">
        <v>5.9959109255099501E-2</v>
      </c>
      <c r="C211">
        <v>0.15221841372862299</v>
      </c>
      <c r="D211">
        <v>0.13796693794697101</v>
      </c>
      <c r="E211" t="s">
        <v>1745</v>
      </c>
      <c r="F211" t="s">
        <v>1536</v>
      </c>
      <c r="G211">
        <v>133.62100000000001</v>
      </c>
      <c r="H211">
        <v>3.5821705426356799E-2</v>
      </c>
      <c r="I211">
        <v>136.69900000000001</v>
      </c>
      <c r="J211">
        <v>3.3008138682546297E-2</v>
      </c>
      <c r="K211" t="s">
        <v>1223</v>
      </c>
      <c r="L211" t="s">
        <v>1014</v>
      </c>
    </row>
    <row r="212" spans="1:12" x14ac:dyDescent="0.35">
      <c r="A212">
        <v>4.1796200977757901E-2</v>
      </c>
      <c r="B212">
        <v>4.8377032065661102E-2</v>
      </c>
      <c r="C212">
        <v>8.9811228034972802E-3</v>
      </c>
      <c r="D212">
        <v>8.9581033951388098E-2</v>
      </c>
      <c r="E212" t="s">
        <v>1746</v>
      </c>
      <c r="F212" t="s">
        <v>1536</v>
      </c>
      <c r="H212">
        <v>1.10762503071244E-2</v>
      </c>
      <c r="J212">
        <v>1.10762503071244E-2</v>
      </c>
      <c r="K212" t="s">
        <v>1224</v>
      </c>
      <c r="L212" t="s">
        <v>1225</v>
      </c>
    </row>
    <row r="213" spans="1:12" x14ac:dyDescent="0.35">
      <c r="A213">
        <v>2.7447616796656402E-2</v>
      </c>
      <c r="B213">
        <v>2.3249618404576101E-2</v>
      </c>
      <c r="C213">
        <v>3.8298767461848897E-2</v>
      </c>
      <c r="D213">
        <v>3.8298767461848897E-2</v>
      </c>
      <c r="E213" t="s">
        <v>1747</v>
      </c>
      <c r="F213" t="s">
        <v>1748</v>
      </c>
      <c r="H213">
        <v>9.4401732935755992E-3</v>
      </c>
      <c r="J213">
        <v>9.4401732935755992E-3</v>
      </c>
      <c r="K213" t="s">
        <v>1226</v>
      </c>
      <c r="L213" t="s">
        <v>1225</v>
      </c>
    </row>
    <row r="214" spans="1:12" x14ac:dyDescent="0.35">
      <c r="A214">
        <v>2.49173870638888E-2</v>
      </c>
      <c r="B214">
        <v>2.1715756912072299E-2</v>
      </c>
      <c r="C214">
        <v>3.6085750781477598E-2</v>
      </c>
      <c r="D214">
        <v>3.6085750781477598E-2</v>
      </c>
      <c r="E214" t="s">
        <v>1749</v>
      </c>
      <c r="F214" t="s">
        <v>1748</v>
      </c>
      <c r="H214">
        <v>8.9018658885664497E-3</v>
      </c>
      <c r="J214">
        <v>8.9018658885664497E-3</v>
      </c>
      <c r="K214" t="s">
        <v>1227</v>
      </c>
      <c r="L214" t="s">
        <v>1225</v>
      </c>
    </row>
    <row r="215" spans="1:12" x14ac:dyDescent="0.35">
      <c r="A215">
        <v>2.33440010578361E-2</v>
      </c>
      <c r="B215">
        <v>2.1485909848918801E-2</v>
      </c>
      <c r="C215">
        <v>3.2005284910624002E-2</v>
      </c>
      <c r="D215">
        <v>3.2005284910624002E-2</v>
      </c>
      <c r="E215" t="s">
        <v>1750</v>
      </c>
      <c r="F215" t="s">
        <v>1748</v>
      </c>
      <c r="H215">
        <v>7.9070438771131606E-3</v>
      </c>
      <c r="J215">
        <v>7.9070438771131606E-3</v>
      </c>
      <c r="K215" t="s">
        <v>1228</v>
      </c>
      <c r="L215" t="s">
        <v>1225</v>
      </c>
    </row>
    <row r="216" spans="1:12" x14ac:dyDescent="0.35">
      <c r="A216">
        <v>2.2676579457354702E-2</v>
      </c>
      <c r="B216">
        <v>2.1729771469873E-2</v>
      </c>
      <c r="C216">
        <v>2.9538555790939999E-2</v>
      </c>
      <c r="D216">
        <v>2.9538555790939999E-2</v>
      </c>
      <c r="E216" t="s">
        <v>1751</v>
      </c>
      <c r="F216" t="s">
        <v>1748</v>
      </c>
      <c r="H216">
        <v>7.3042210756391101E-3</v>
      </c>
      <c r="J216">
        <v>7.3042210756391101E-3</v>
      </c>
      <c r="K216" t="s">
        <v>1229</v>
      </c>
      <c r="L216" t="s">
        <v>1225</v>
      </c>
    </row>
    <row r="217" spans="1:12" x14ac:dyDescent="0.35">
      <c r="A217">
        <v>2.2178287431426899E-2</v>
      </c>
      <c r="B217">
        <v>2.22727407121028E-2</v>
      </c>
      <c r="C217">
        <v>2.8512142036472E-2</v>
      </c>
      <c r="D217">
        <v>2.8512142036472E-2</v>
      </c>
      <c r="E217" t="s">
        <v>1752</v>
      </c>
      <c r="F217" t="s">
        <v>1748</v>
      </c>
      <c r="H217">
        <v>7.0530654325617901E-3</v>
      </c>
      <c r="J217">
        <v>7.0530654325617901E-3</v>
      </c>
      <c r="K217" t="s">
        <v>1230</v>
      </c>
      <c r="L217" t="s">
        <v>1225</v>
      </c>
    </row>
    <row r="218" spans="1:12" x14ac:dyDescent="0.35">
      <c r="A218">
        <v>2.1434276652948898E-2</v>
      </c>
      <c r="B218">
        <v>2.23623952750127E-2</v>
      </c>
      <c r="C218">
        <v>2.8283584176253401E-2</v>
      </c>
      <c r="D218">
        <v>2.8283584176253401E-2</v>
      </c>
      <c r="E218" t="s">
        <v>1753</v>
      </c>
      <c r="F218" t="s">
        <v>1748</v>
      </c>
      <c r="H218">
        <v>6.9971134735056202E-3</v>
      </c>
      <c r="J218">
        <v>6.9971134735056202E-3</v>
      </c>
      <c r="K218" t="s">
        <v>1231</v>
      </c>
      <c r="L218" t="s">
        <v>1225</v>
      </c>
    </row>
    <row r="219" spans="1:12" x14ac:dyDescent="0.35">
      <c r="A219">
        <v>2.10072065089228E-2</v>
      </c>
      <c r="B219">
        <v>2.2496789219665199E-2</v>
      </c>
      <c r="C219">
        <v>2.7654852328046001E-2</v>
      </c>
      <c r="D219">
        <v>2.7654852328046001E-2</v>
      </c>
      <c r="E219" t="s">
        <v>1754</v>
      </c>
      <c r="F219" t="s">
        <v>1748</v>
      </c>
      <c r="H219">
        <v>6.8431490448084302E-3</v>
      </c>
      <c r="J219">
        <v>6.8431490448084302E-3</v>
      </c>
      <c r="K219" t="s">
        <v>1232</v>
      </c>
      <c r="L219" t="s">
        <v>1225</v>
      </c>
    </row>
    <row r="220" spans="1:12" x14ac:dyDescent="0.35">
      <c r="A220">
        <v>2.0591622707038602E-2</v>
      </c>
      <c r="B220">
        <v>2.25123599902981E-2</v>
      </c>
      <c r="C220">
        <v>2.7753662335143502E-2</v>
      </c>
      <c r="D220">
        <v>2.7753662335143502E-2</v>
      </c>
      <c r="E220" t="s">
        <v>1755</v>
      </c>
      <c r="F220" t="s">
        <v>1748</v>
      </c>
      <c r="H220">
        <v>6.8673504076357502E-3</v>
      </c>
      <c r="J220">
        <v>6.8673504076357502E-3</v>
      </c>
      <c r="K220" t="s">
        <v>1233</v>
      </c>
      <c r="L220" t="s">
        <v>1225</v>
      </c>
    </row>
    <row r="221" spans="1:12" x14ac:dyDescent="0.35">
      <c r="A221">
        <v>2.0347186911993099E-2</v>
      </c>
      <c r="B221">
        <v>2.2891901714989799E-2</v>
      </c>
      <c r="C221">
        <v>2.8110399323646899E-2</v>
      </c>
      <c r="D221">
        <v>2.8110399323646899E-2</v>
      </c>
      <c r="E221" t="s">
        <v>1756</v>
      </c>
      <c r="F221" t="s">
        <v>1748</v>
      </c>
      <c r="H221">
        <v>6.9547108559351303E-3</v>
      </c>
      <c r="J221">
        <v>6.9547108559351303E-3</v>
      </c>
      <c r="K221" t="s">
        <v>1234</v>
      </c>
      <c r="L221" t="s">
        <v>1225</v>
      </c>
    </row>
    <row r="222" spans="1:12" x14ac:dyDescent="0.35">
      <c r="A222">
        <v>2.03844462174123E-2</v>
      </c>
      <c r="B222">
        <v>2.2688598137850801E-2</v>
      </c>
      <c r="C222">
        <v>2.89673943247446E-2</v>
      </c>
      <c r="D222">
        <v>2.89673943247446E-2</v>
      </c>
      <c r="E222" t="s">
        <v>1757</v>
      </c>
      <c r="F222" t="s">
        <v>1748</v>
      </c>
      <c r="H222">
        <v>7.1644853940870902E-3</v>
      </c>
      <c r="J222">
        <v>7.1644853940870902E-3</v>
      </c>
      <c r="K222" t="s">
        <v>1235</v>
      </c>
      <c r="L222" t="s">
        <v>1225</v>
      </c>
    </row>
    <row r="223" spans="1:12" x14ac:dyDescent="0.35">
      <c r="A223">
        <v>2.02121429685698E-2</v>
      </c>
      <c r="B223">
        <v>2.2861927422401802E-2</v>
      </c>
      <c r="C223">
        <v>2.97171972862664E-2</v>
      </c>
      <c r="D223">
        <v>2.97171972862664E-2</v>
      </c>
      <c r="E223" t="s">
        <v>1758</v>
      </c>
      <c r="F223" t="s">
        <v>1748</v>
      </c>
      <c r="H223">
        <v>7.3479141028771596E-3</v>
      </c>
      <c r="J223">
        <v>7.3479141028771596E-3</v>
      </c>
      <c r="K223" t="s">
        <v>1236</v>
      </c>
      <c r="L223" t="s">
        <v>1225</v>
      </c>
    </row>
    <row r="224" spans="1:12" x14ac:dyDescent="0.35">
      <c r="A224">
        <v>2.00951255413373E-2</v>
      </c>
      <c r="B224">
        <v>2.2789213164977801E-2</v>
      </c>
      <c r="C224">
        <v>2.9972823640437098E-2</v>
      </c>
      <c r="D224">
        <v>2.9972823640437098E-2</v>
      </c>
      <c r="E224" t="s">
        <v>1759</v>
      </c>
      <c r="F224" t="s">
        <v>1748</v>
      </c>
      <c r="H224">
        <v>7.4104265836887296E-3</v>
      </c>
      <c r="J224">
        <v>7.4104265836887296E-3</v>
      </c>
      <c r="K224" t="s">
        <v>1237</v>
      </c>
      <c r="L224" t="s">
        <v>1225</v>
      </c>
    </row>
    <row r="225" spans="1:12" x14ac:dyDescent="0.35">
      <c r="A225">
        <v>2.0005533751415599E-2</v>
      </c>
      <c r="B225">
        <v>2.30067515754304E-2</v>
      </c>
      <c r="C225">
        <v>3.0378543432117301E-2</v>
      </c>
      <c r="D225">
        <v>3.0378543432117301E-2</v>
      </c>
      <c r="E225" t="s">
        <v>1760</v>
      </c>
      <c r="F225" t="s">
        <v>1748</v>
      </c>
      <c r="H225">
        <v>7.5096199742570296E-3</v>
      </c>
      <c r="J225">
        <v>7.5096199742570296E-3</v>
      </c>
      <c r="K225" t="s">
        <v>1238</v>
      </c>
      <c r="L225" t="s">
        <v>1225</v>
      </c>
    </row>
    <row r="226" spans="1:12" x14ac:dyDescent="0.35">
      <c r="A226">
        <v>1.9992497685795502E-2</v>
      </c>
      <c r="B226">
        <v>2.28689196510703E-2</v>
      </c>
      <c r="C226">
        <v>3.0384347471833498E-2</v>
      </c>
      <c r="D226">
        <v>3.0384347471833498E-2</v>
      </c>
      <c r="E226" t="s">
        <v>1761</v>
      </c>
      <c r="F226" t="s">
        <v>1748</v>
      </c>
      <c r="H226">
        <v>7.5110387764860701E-3</v>
      </c>
      <c r="J226">
        <v>7.5110387764860701E-3</v>
      </c>
      <c r="K226" t="s">
        <v>1239</v>
      </c>
      <c r="L226" t="s">
        <v>1225</v>
      </c>
    </row>
    <row r="227" spans="1:12" x14ac:dyDescent="0.35">
      <c r="A227">
        <v>1.99491524210023E-2</v>
      </c>
      <c r="B227">
        <v>2.2952518060170599E-2</v>
      </c>
      <c r="C227">
        <v>3.0780667439755299E-2</v>
      </c>
      <c r="D227">
        <v>3.0780667439755299E-2</v>
      </c>
      <c r="E227" t="s">
        <v>1762</v>
      </c>
      <c r="F227" t="s">
        <v>1748</v>
      </c>
      <c r="H227">
        <v>7.6079053396602703E-3</v>
      </c>
      <c r="J227">
        <v>7.6079053396602703E-3</v>
      </c>
      <c r="K227" t="s">
        <v>1240</v>
      </c>
      <c r="L227" t="s">
        <v>1225</v>
      </c>
    </row>
    <row r="228" spans="1:12" x14ac:dyDescent="0.35">
      <c r="A228">
        <v>1.99785657506244E-2</v>
      </c>
      <c r="B228">
        <v>2.3092018308592099E-2</v>
      </c>
      <c r="C228">
        <v>3.09234356698747E-2</v>
      </c>
      <c r="D228">
        <v>3.09234356698747E-2</v>
      </c>
      <c r="E228" t="s">
        <v>1763</v>
      </c>
      <c r="F228" t="s">
        <v>1748</v>
      </c>
      <c r="H228">
        <v>7.6427931995954896E-3</v>
      </c>
      <c r="J228">
        <v>7.6427931995954896E-3</v>
      </c>
      <c r="K228" t="s">
        <v>1241</v>
      </c>
      <c r="L228" t="s">
        <v>1225</v>
      </c>
    </row>
    <row r="229" spans="1:12" x14ac:dyDescent="0.35">
      <c r="A229">
        <v>1.9973482507164499E-2</v>
      </c>
      <c r="B229">
        <v>2.29188557927167E-2</v>
      </c>
      <c r="C229">
        <v>3.0940126349132901E-2</v>
      </c>
      <c r="D229">
        <v>3.0940126349132901E-2</v>
      </c>
      <c r="E229" t="s">
        <v>1764</v>
      </c>
      <c r="F229" t="s">
        <v>1748</v>
      </c>
      <c r="H229">
        <v>7.6468716160857904E-3</v>
      </c>
      <c r="J229">
        <v>7.6468716160857904E-3</v>
      </c>
      <c r="K229" t="s">
        <v>1242</v>
      </c>
      <c r="L229" t="s">
        <v>1225</v>
      </c>
    </row>
    <row r="230" spans="1:12" x14ac:dyDescent="0.35">
      <c r="A230">
        <v>2.00262569988248E-2</v>
      </c>
      <c r="B230">
        <v>2.34219478386497E-2</v>
      </c>
      <c r="C230">
        <v>3.08963138434795E-2</v>
      </c>
      <c r="D230">
        <v>3.08963138434795E-2</v>
      </c>
      <c r="E230" t="s">
        <v>1765</v>
      </c>
      <c r="F230" t="s">
        <v>1748</v>
      </c>
      <c r="H230">
        <v>7.6361657960506398E-3</v>
      </c>
      <c r="J230">
        <v>7.6361657960506398E-3</v>
      </c>
      <c r="K230" t="s">
        <v>1243</v>
      </c>
      <c r="L230" t="s">
        <v>1225</v>
      </c>
    </row>
    <row r="231" spans="1:12" x14ac:dyDescent="0.35">
      <c r="A231">
        <v>2.0068184200822601E-2</v>
      </c>
      <c r="B231">
        <v>2.29559923804479E-2</v>
      </c>
      <c r="C231">
        <v>3.1171169586274899E-2</v>
      </c>
      <c r="D231">
        <v>3.1171169586274899E-2</v>
      </c>
      <c r="E231" t="s">
        <v>1766</v>
      </c>
      <c r="F231" t="s">
        <v>1748</v>
      </c>
      <c r="H231">
        <v>7.7033226228278E-3</v>
      </c>
      <c r="J231">
        <v>7.7033226228278E-3</v>
      </c>
      <c r="K231" t="s">
        <v>1244</v>
      </c>
      <c r="L231" t="s">
        <v>1225</v>
      </c>
    </row>
    <row r="232" spans="1:12" x14ac:dyDescent="0.35">
      <c r="A232">
        <v>2.00733299513789E-2</v>
      </c>
      <c r="B232">
        <v>2.3089907346120601E-2</v>
      </c>
      <c r="C232">
        <v>3.11290252355114E-2</v>
      </c>
      <c r="D232">
        <v>3.11290252355114E-2</v>
      </c>
      <c r="E232" t="s">
        <v>1767</v>
      </c>
      <c r="F232" t="s">
        <v>1748</v>
      </c>
      <c r="H232">
        <v>7.6930261622452098E-3</v>
      </c>
      <c r="J232">
        <v>7.6930261622452098E-3</v>
      </c>
      <c r="K232" t="s">
        <v>1245</v>
      </c>
      <c r="L232" t="s">
        <v>1225</v>
      </c>
    </row>
    <row r="233" spans="1:12" x14ac:dyDescent="0.35">
      <c r="A233">
        <v>2.00833471581769E-2</v>
      </c>
      <c r="B233">
        <v>2.2986135275529802E-2</v>
      </c>
      <c r="C233">
        <v>3.12799263503531E-2</v>
      </c>
      <c r="D233">
        <v>3.12799263503531E-2</v>
      </c>
      <c r="E233" t="s">
        <v>1768</v>
      </c>
      <c r="F233" t="s">
        <v>1748</v>
      </c>
      <c r="H233">
        <v>7.72989197946106E-3</v>
      </c>
      <c r="J233">
        <v>7.72989197946106E-3</v>
      </c>
      <c r="K233" t="s">
        <v>1246</v>
      </c>
      <c r="L233" t="s">
        <v>1225</v>
      </c>
    </row>
    <row r="234" spans="1:12" x14ac:dyDescent="0.35">
      <c r="A234">
        <v>2.0140093939852201E-2</v>
      </c>
      <c r="B234">
        <v>2.31414769468055E-2</v>
      </c>
      <c r="C234">
        <v>3.1432246791632999E-2</v>
      </c>
      <c r="D234">
        <v>3.1432246791632999E-2</v>
      </c>
      <c r="E234" t="s">
        <v>1769</v>
      </c>
      <c r="F234" t="s">
        <v>1748</v>
      </c>
      <c r="H234">
        <v>7.76710044167461E-3</v>
      </c>
      <c r="J234">
        <v>7.76710044167461E-3</v>
      </c>
      <c r="K234" t="s">
        <v>1247</v>
      </c>
      <c r="L234" t="s">
        <v>1225</v>
      </c>
    </row>
    <row r="235" spans="1:12" x14ac:dyDescent="0.35">
      <c r="A235">
        <v>2.02021592909249E-2</v>
      </c>
      <c r="B235">
        <v>2.2984714477401601E-2</v>
      </c>
      <c r="C235">
        <v>3.1205847095053599E-2</v>
      </c>
      <c r="D235">
        <v>3.1205847095053599E-2</v>
      </c>
      <c r="E235" t="s">
        <v>1770</v>
      </c>
      <c r="F235" t="s">
        <v>1748</v>
      </c>
      <c r="H235">
        <v>7.7117945916846996E-3</v>
      </c>
      <c r="J235">
        <v>7.7117945916846996E-3</v>
      </c>
      <c r="K235" t="s">
        <v>1248</v>
      </c>
      <c r="L235" t="s">
        <v>1225</v>
      </c>
    </row>
    <row r="236" spans="1:12" x14ac:dyDescent="0.35">
      <c r="A236">
        <v>2.0211898969260102E-2</v>
      </c>
      <c r="B236">
        <v>2.2913195171825301E-2</v>
      </c>
      <c r="C236">
        <v>3.14110402970686E-2</v>
      </c>
      <c r="D236">
        <v>3.14110402970686E-2</v>
      </c>
      <c r="E236" t="s">
        <v>1771</v>
      </c>
      <c r="F236" t="s">
        <v>1748</v>
      </c>
      <c r="H236">
        <v>7.7619204183672101E-3</v>
      </c>
      <c r="J236">
        <v>7.7619204183672101E-3</v>
      </c>
      <c r="K236" t="s">
        <v>1249</v>
      </c>
      <c r="L236" t="s">
        <v>1225</v>
      </c>
    </row>
    <row r="237" spans="1:12" x14ac:dyDescent="0.35">
      <c r="A237">
        <v>2.0290430669000999E-2</v>
      </c>
      <c r="B237">
        <v>2.29758501503456E-2</v>
      </c>
      <c r="C237">
        <v>3.1565029186180898E-2</v>
      </c>
      <c r="D237">
        <v>3.1565029186180898E-2</v>
      </c>
      <c r="E237" t="s">
        <v>1772</v>
      </c>
      <c r="F237" t="s">
        <v>1748</v>
      </c>
      <c r="H237">
        <v>7.7995328359632401E-3</v>
      </c>
      <c r="J237">
        <v>7.7995328359632401E-3</v>
      </c>
      <c r="K237" t="s">
        <v>1250</v>
      </c>
      <c r="L237" t="s">
        <v>1225</v>
      </c>
    </row>
    <row r="238" spans="1:12" x14ac:dyDescent="0.35">
      <c r="A238">
        <v>2.0308808571870299E-2</v>
      </c>
      <c r="B238">
        <v>2.2824531954790599E-2</v>
      </c>
      <c r="C238">
        <v>3.1531274423854297E-2</v>
      </c>
      <c r="D238">
        <v>3.1531274423854297E-2</v>
      </c>
      <c r="E238" t="s">
        <v>1773</v>
      </c>
      <c r="F238" t="s">
        <v>1748</v>
      </c>
      <c r="H238">
        <v>7.7912884572341997E-3</v>
      </c>
      <c r="J238">
        <v>7.7912884572341997E-3</v>
      </c>
      <c r="K238" t="s">
        <v>1251</v>
      </c>
      <c r="L238" t="s">
        <v>1225</v>
      </c>
    </row>
    <row r="239" spans="1:12" x14ac:dyDescent="0.35">
      <c r="A239">
        <v>2.03080060292413E-2</v>
      </c>
      <c r="B239">
        <v>2.2972481063801901E-2</v>
      </c>
      <c r="C239">
        <v>3.1542996473644003E-2</v>
      </c>
      <c r="D239">
        <v>3.1542996473644003E-2</v>
      </c>
      <c r="E239" t="s">
        <v>1774</v>
      </c>
      <c r="F239" t="s">
        <v>1748</v>
      </c>
      <c r="H239">
        <v>7.7941515137436301E-3</v>
      </c>
      <c r="J239">
        <v>7.7941515137436301E-3</v>
      </c>
      <c r="K239" t="s">
        <v>1252</v>
      </c>
      <c r="L239" t="s">
        <v>1225</v>
      </c>
    </row>
    <row r="240" spans="1:12" x14ac:dyDescent="0.35">
      <c r="A240">
        <v>2.0323983720006399E-2</v>
      </c>
      <c r="B240">
        <v>2.2824566637221998E-2</v>
      </c>
      <c r="C240">
        <v>3.1855243350590097E-2</v>
      </c>
      <c r="D240">
        <v>3.1855243350590097E-2</v>
      </c>
      <c r="E240" t="s">
        <v>1775</v>
      </c>
      <c r="F240" t="s">
        <v>1748</v>
      </c>
      <c r="H240">
        <v>7.8704073905595494E-3</v>
      </c>
      <c r="J240">
        <v>7.8704073905595494E-3</v>
      </c>
      <c r="K240" t="s">
        <v>1253</v>
      </c>
      <c r="L240" t="s">
        <v>1225</v>
      </c>
    </row>
    <row r="241" spans="1:12" x14ac:dyDescent="0.35">
      <c r="A241">
        <v>2.0325704902500501E-2</v>
      </c>
      <c r="B241">
        <v>2.2886555231629101E-2</v>
      </c>
      <c r="C241">
        <v>3.1708818720508798E-2</v>
      </c>
      <c r="D241">
        <v>3.1708818720508798E-2</v>
      </c>
      <c r="E241" t="s">
        <v>1776</v>
      </c>
      <c r="F241" t="s">
        <v>1748</v>
      </c>
      <c r="H241">
        <v>7.8346502176538397E-3</v>
      </c>
      <c r="J241">
        <v>7.8346502176538397E-3</v>
      </c>
      <c r="K241" t="s">
        <v>1254</v>
      </c>
      <c r="L241" t="s">
        <v>1225</v>
      </c>
    </row>
    <row r="242" spans="1:12" x14ac:dyDescent="0.35">
      <c r="A242">
        <v>2.0305041683886599E-2</v>
      </c>
      <c r="B242">
        <v>2.29465623765257E-2</v>
      </c>
      <c r="C242">
        <v>3.1893508731351002E-2</v>
      </c>
      <c r="D242">
        <v>3.1893508731351002E-2</v>
      </c>
      <c r="E242" t="s">
        <v>1777</v>
      </c>
      <c r="F242" t="s">
        <v>1748</v>
      </c>
      <c r="H242">
        <v>7.8797512420421007E-3</v>
      </c>
      <c r="J242">
        <v>7.8797512420421007E-3</v>
      </c>
      <c r="K242" t="s">
        <v>1255</v>
      </c>
      <c r="L242" t="s">
        <v>1225</v>
      </c>
    </row>
    <row r="243" spans="1:12" x14ac:dyDescent="0.35">
      <c r="A243">
        <v>2.0287096358251301E-2</v>
      </c>
      <c r="B243">
        <v>2.2798980065175601E-2</v>
      </c>
      <c r="C243">
        <v>3.1810408581062898E-2</v>
      </c>
      <c r="D243">
        <v>3.1810408581062898E-2</v>
      </c>
      <c r="E243" t="s">
        <v>1778</v>
      </c>
      <c r="F243" t="s">
        <v>1748</v>
      </c>
      <c r="H243">
        <v>7.8594590588953999E-3</v>
      </c>
      <c r="J243">
        <v>7.8594590588953999E-3</v>
      </c>
      <c r="K243" t="s">
        <v>1256</v>
      </c>
      <c r="L243" t="s">
        <v>1225</v>
      </c>
    </row>
    <row r="244" spans="1:12" x14ac:dyDescent="0.35">
      <c r="A244">
        <v>2.0271579331879098E-2</v>
      </c>
      <c r="B244">
        <v>2.2857567238674801E-2</v>
      </c>
      <c r="C244">
        <v>3.1611362599311098E-2</v>
      </c>
      <c r="D244">
        <v>3.1611362599311098E-2</v>
      </c>
      <c r="E244" t="s">
        <v>1779</v>
      </c>
      <c r="F244" t="s">
        <v>1748</v>
      </c>
      <c r="H244">
        <v>7.8108491379678098E-3</v>
      </c>
      <c r="J244">
        <v>7.8108491379678098E-3</v>
      </c>
      <c r="K244" t="s">
        <v>1257</v>
      </c>
      <c r="L244" t="s">
        <v>1225</v>
      </c>
    </row>
    <row r="245" spans="1:12" x14ac:dyDescent="0.35">
      <c r="A245">
        <v>2.0226750918557398E-2</v>
      </c>
      <c r="B245">
        <v>2.30078651102898E-2</v>
      </c>
      <c r="C245">
        <v>3.1895036638032601E-2</v>
      </c>
      <c r="D245">
        <v>3.1895036638032601E-2</v>
      </c>
      <c r="E245" t="s">
        <v>1780</v>
      </c>
      <c r="F245" t="s">
        <v>1748</v>
      </c>
      <c r="H245">
        <v>7.8801243293176206E-3</v>
      </c>
      <c r="J245">
        <v>7.8801243293176206E-3</v>
      </c>
      <c r="K245" t="s">
        <v>1258</v>
      </c>
      <c r="L245" t="s">
        <v>1225</v>
      </c>
    </row>
    <row r="246" spans="1:12" x14ac:dyDescent="0.35">
      <c r="A246">
        <v>2.0229639632362201E-2</v>
      </c>
      <c r="B246">
        <v>2.2755662461575201E-2</v>
      </c>
      <c r="C246">
        <v>3.1906732152356301E-2</v>
      </c>
      <c r="D246">
        <v>3.1906732152356301E-2</v>
      </c>
      <c r="E246" t="s">
        <v>1781</v>
      </c>
      <c r="F246" t="s">
        <v>1748</v>
      </c>
      <c r="H246">
        <v>7.88298014941358E-3</v>
      </c>
      <c r="J246">
        <v>7.88298014941358E-3</v>
      </c>
      <c r="K246" t="s">
        <v>1259</v>
      </c>
      <c r="L246" t="s">
        <v>1225</v>
      </c>
    </row>
    <row r="247" spans="1:12" x14ac:dyDescent="0.35">
      <c r="A247">
        <v>2.0196749252488402E-2</v>
      </c>
      <c r="B247">
        <v>2.2817811468051102E-2</v>
      </c>
      <c r="C247">
        <v>3.1666344390047098E-2</v>
      </c>
      <c r="D247">
        <v>3.1666344390047098E-2</v>
      </c>
      <c r="E247" t="s">
        <v>1782</v>
      </c>
      <c r="F247" t="s">
        <v>1748</v>
      </c>
      <c r="H247">
        <v>7.8242771932854893E-3</v>
      </c>
      <c r="J247">
        <v>7.8242771932854893E-3</v>
      </c>
      <c r="K247" t="s">
        <v>1260</v>
      </c>
      <c r="L247" t="s">
        <v>1225</v>
      </c>
    </row>
    <row r="248" spans="1:12" x14ac:dyDescent="0.35">
      <c r="A248">
        <v>2.0138226913895701E-2</v>
      </c>
      <c r="B248">
        <v>2.3174738681931199E-2</v>
      </c>
      <c r="C248">
        <v>3.1749922428638201E-2</v>
      </c>
      <c r="D248">
        <v>3.1749922428638201E-2</v>
      </c>
      <c r="E248" t="s">
        <v>1783</v>
      </c>
      <c r="F248" t="s">
        <v>1748</v>
      </c>
      <c r="H248">
        <v>7.8446882055194199E-3</v>
      </c>
      <c r="J248">
        <v>7.8446882055194199E-3</v>
      </c>
      <c r="K248" t="s">
        <v>1261</v>
      </c>
      <c r="L248" t="s">
        <v>1225</v>
      </c>
    </row>
    <row r="249" spans="1:12" x14ac:dyDescent="0.35">
      <c r="A249">
        <v>2.0129535533826501E-2</v>
      </c>
      <c r="B249">
        <v>2.27379267080541E-2</v>
      </c>
      <c r="C249">
        <v>3.1908648163189397E-2</v>
      </c>
      <c r="D249">
        <v>3.1908648163189397E-2</v>
      </c>
      <c r="E249" t="s">
        <v>1784</v>
      </c>
      <c r="F249" t="s">
        <v>1748</v>
      </c>
      <c r="H249">
        <v>7.8834480001659397E-3</v>
      </c>
      <c r="J249">
        <v>7.8834480001659397E-3</v>
      </c>
      <c r="K249" t="s">
        <v>1262</v>
      </c>
      <c r="L249" t="s">
        <v>1225</v>
      </c>
    </row>
    <row r="250" spans="1:12" x14ac:dyDescent="0.35">
      <c r="A250">
        <v>2.0106884793451098E-2</v>
      </c>
      <c r="B250">
        <v>2.3093327603912001E-2</v>
      </c>
      <c r="C250">
        <v>3.1692204125751702E-2</v>
      </c>
      <c r="D250">
        <v>3.1692204125751702E-2</v>
      </c>
      <c r="E250" t="s">
        <v>1785</v>
      </c>
      <c r="F250" t="s">
        <v>1748</v>
      </c>
      <c r="H250">
        <v>7.8305926616084598E-3</v>
      </c>
      <c r="J250">
        <v>7.8305926616084598E-3</v>
      </c>
      <c r="K250" t="s">
        <v>1263</v>
      </c>
      <c r="L250" t="s">
        <v>1225</v>
      </c>
    </row>
    <row r="251" spans="1:12" x14ac:dyDescent="0.35">
      <c r="A251">
        <v>2.0037252982960399E-2</v>
      </c>
      <c r="B251">
        <v>2.2853757020905099E-2</v>
      </c>
      <c r="C251">
        <v>3.1763978164364597E-2</v>
      </c>
      <c r="D251">
        <v>3.1763978164364597E-2</v>
      </c>
      <c r="E251" t="s">
        <v>1786</v>
      </c>
      <c r="F251" t="s">
        <v>1748</v>
      </c>
      <c r="H251">
        <v>7.8481207054677E-3</v>
      </c>
      <c r="J251">
        <v>7.8481207054677E-3</v>
      </c>
      <c r="K251" t="s">
        <v>1264</v>
      </c>
      <c r="L251" t="s">
        <v>1225</v>
      </c>
    </row>
    <row r="252" spans="1:12" x14ac:dyDescent="0.35">
      <c r="A252">
        <v>2.0056022895238401E-2</v>
      </c>
      <c r="B252">
        <v>2.2713969923905002E-2</v>
      </c>
      <c r="C252">
        <v>3.17278315390737E-2</v>
      </c>
      <c r="D252">
        <v>3.17278315390737E-2</v>
      </c>
      <c r="E252" t="s">
        <v>1787</v>
      </c>
      <c r="F252" t="s">
        <v>1748</v>
      </c>
      <c r="H252">
        <v>7.8392933990876195E-3</v>
      </c>
      <c r="J252">
        <v>7.8392933990876195E-3</v>
      </c>
      <c r="K252" t="s">
        <v>1265</v>
      </c>
      <c r="L252" t="s">
        <v>1225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936</v>
      </c>
      <c r="B2" s="42" t="s">
        <v>983</v>
      </c>
      <c r="C2" s="42" t="s">
        <v>984</v>
      </c>
      <c r="D2" s="38" t="s">
        <v>1000</v>
      </c>
    </row>
    <row r="3" spans="1:4" ht="63.75" customHeight="1" x14ac:dyDescent="0.35">
      <c r="A3" s="18" t="s">
        <v>79</v>
      </c>
      <c r="B3" s="37" t="s">
        <v>40</v>
      </c>
      <c r="C3" s="37" t="s">
        <v>41</v>
      </c>
      <c r="D3" s="39" t="s">
        <v>1000</v>
      </c>
    </row>
    <row r="4" spans="1:4" ht="137.25" customHeight="1" x14ac:dyDescent="0.35">
      <c r="A4" s="47" t="s">
        <v>80</v>
      </c>
      <c r="B4" s="37" t="s">
        <v>982</v>
      </c>
      <c r="C4" s="14" t="s">
        <v>938</v>
      </c>
      <c r="D4" s="39"/>
    </row>
    <row r="5" spans="1:4" ht="29.25" customHeight="1" x14ac:dyDescent="0.35">
      <c r="A5" s="47" t="s">
        <v>81</v>
      </c>
      <c r="B5" s="48" t="s">
        <v>82</v>
      </c>
      <c r="C5" s="35" t="s">
        <v>83</v>
      </c>
      <c r="D5" s="39"/>
    </row>
    <row r="6" spans="1:4" ht="43.4" customHeight="1" x14ac:dyDescent="0.35">
      <c r="A6" s="20" t="s">
        <v>84</v>
      </c>
      <c r="B6" s="43" t="s">
        <v>940</v>
      </c>
      <c r="C6" s="36" t="s">
        <v>939</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81640625" customWidth="1"/>
  </cols>
  <sheetData>
    <row r="1" spans="1:213" x14ac:dyDescent="0.35">
      <c r="A1" s="76" t="s">
        <v>1887</v>
      </c>
      <c r="B1" s="76" t="s">
        <v>1888</v>
      </c>
      <c r="C1" s="76" t="s">
        <v>1889</v>
      </c>
      <c r="D1" s="76" t="s">
        <v>1890</v>
      </c>
      <c r="E1" s="76" t="s">
        <v>1891</v>
      </c>
      <c r="F1" s="76" t="s">
        <v>1892</v>
      </c>
      <c r="G1" s="76" t="s">
        <v>1893</v>
      </c>
      <c r="H1" s="76" t="s">
        <v>1894</v>
      </c>
      <c r="I1" s="76" t="s">
        <v>1895</v>
      </c>
      <c r="J1" s="76" t="s">
        <v>1896</v>
      </c>
      <c r="K1" s="76" t="s">
        <v>1897</v>
      </c>
      <c r="L1" s="76" t="s">
        <v>1898</v>
      </c>
      <c r="M1" s="76" t="s">
        <v>1899</v>
      </c>
      <c r="N1" s="76" t="s">
        <v>1900</v>
      </c>
      <c r="O1" s="76" t="s">
        <v>1901</v>
      </c>
      <c r="P1" s="76" t="s">
        <v>1902</v>
      </c>
      <c r="Q1" s="76" t="s">
        <v>1903</v>
      </c>
      <c r="R1" s="76" t="s">
        <v>1904</v>
      </c>
      <c r="S1" s="76" t="s">
        <v>1905</v>
      </c>
      <c r="T1" s="76" t="s">
        <v>1906</v>
      </c>
      <c r="U1" s="76" t="s">
        <v>1907</v>
      </c>
      <c r="V1" s="76" t="s">
        <v>1908</v>
      </c>
      <c r="W1" s="76" t="s">
        <v>1909</v>
      </c>
      <c r="X1" s="76" t="s">
        <v>1910</v>
      </c>
      <c r="Y1" s="76" t="s">
        <v>1911</v>
      </c>
      <c r="Z1" s="76" t="s">
        <v>1912</v>
      </c>
      <c r="AA1" s="76" t="s">
        <v>1913</v>
      </c>
      <c r="AB1" s="76" t="s">
        <v>1914</v>
      </c>
      <c r="AC1" s="76" t="s">
        <v>1915</v>
      </c>
      <c r="AD1" s="76" t="s">
        <v>1916</v>
      </c>
      <c r="AE1" s="76" t="s">
        <v>1917</v>
      </c>
      <c r="AF1" s="76" t="s">
        <v>1918</v>
      </c>
      <c r="AG1" s="76" t="s">
        <v>1919</v>
      </c>
      <c r="AH1" s="76" t="s">
        <v>1920</v>
      </c>
      <c r="AI1" s="76" t="s">
        <v>1921</v>
      </c>
      <c r="AJ1" s="76" t="s">
        <v>1922</v>
      </c>
      <c r="AK1" s="76" t="s">
        <v>1923</v>
      </c>
      <c r="AL1" s="76" t="s">
        <v>1924</v>
      </c>
      <c r="AM1" s="76" t="s">
        <v>1925</v>
      </c>
      <c r="AN1" s="76" t="s">
        <v>1926</v>
      </c>
      <c r="AO1" s="76" t="s">
        <v>1927</v>
      </c>
      <c r="AP1" s="76" t="s">
        <v>1928</v>
      </c>
      <c r="AQ1" s="76" t="s">
        <v>1929</v>
      </c>
      <c r="AR1" s="76" t="s">
        <v>1930</v>
      </c>
      <c r="AS1" s="76" t="s">
        <v>1931</v>
      </c>
      <c r="AT1" s="76" t="s">
        <v>1932</v>
      </c>
      <c r="AU1" s="76" t="s">
        <v>1933</v>
      </c>
      <c r="AV1" s="76" t="s">
        <v>1934</v>
      </c>
      <c r="AW1" s="76" t="s">
        <v>1935</v>
      </c>
      <c r="AX1" s="76" t="s">
        <v>1936</v>
      </c>
      <c r="AY1" s="76" t="s">
        <v>1937</v>
      </c>
      <c r="AZ1" s="76" t="s">
        <v>1938</v>
      </c>
      <c r="BA1" s="76" t="s">
        <v>1939</v>
      </c>
      <c r="BB1" s="76" t="s">
        <v>1940</v>
      </c>
      <c r="BC1" s="76" t="s">
        <v>1941</v>
      </c>
      <c r="BD1" s="76" t="s">
        <v>1942</v>
      </c>
      <c r="BE1" s="76" t="s">
        <v>1943</v>
      </c>
      <c r="BF1" s="76" t="s">
        <v>1944</v>
      </c>
      <c r="BG1" s="76" t="s">
        <v>1945</v>
      </c>
      <c r="BH1" s="76" t="s">
        <v>1946</v>
      </c>
      <c r="BI1" s="76" t="s">
        <v>1947</v>
      </c>
      <c r="BJ1" s="76" t="s">
        <v>1948</v>
      </c>
      <c r="BK1" s="76" t="s">
        <v>1949</v>
      </c>
      <c r="BL1" s="76" t="s">
        <v>1950</v>
      </c>
      <c r="BM1" s="76" t="s">
        <v>1951</v>
      </c>
      <c r="BN1" s="76" t="s">
        <v>1952</v>
      </c>
      <c r="BO1" s="76" t="s">
        <v>1953</v>
      </c>
      <c r="BP1" s="76" t="s">
        <v>1954</v>
      </c>
      <c r="BQ1" s="76" t="s">
        <v>1955</v>
      </c>
      <c r="BR1" s="76" t="s">
        <v>1956</v>
      </c>
      <c r="BS1" s="76" t="s">
        <v>1957</v>
      </c>
      <c r="BT1" s="76" t="s">
        <v>1958</v>
      </c>
      <c r="BU1" s="76" t="s">
        <v>1959</v>
      </c>
      <c r="BV1" s="76" t="s">
        <v>1960</v>
      </c>
      <c r="BW1" s="76" t="s">
        <v>1961</v>
      </c>
      <c r="BX1" s="76" t="s">
        <v>1962</v>
      </c>
      <c r="BY1" s="76" t="s">
        <v>1963</v>
      </c>
      <c r="BZ1" s="76" t="s">
        <v>1964</v>
      </c>
      <c r="CA1" s="76" t="s">
        <v>1965</v>
      </c>
      <c r="CB1" s="76" t="s">
        <v>1966</v>
      </c>
      <c r="CC1" s="76" t="s">
        <v>1967</v>
      </c>
      <c r="CD1" s="76" t="s">
        <v>1968</v>
      </c>
      <c r="CE1" s="76" t="s">
        <v>1969</v>
      </c>
      <c r="CF1" s="76" t="s">
        <v>1970</v>
      </c>
      <c r="CG1" s="76" t="s">
        <v>1971</v>
      </c>
      <c r="CH1" s="76" t="s">
        <v>1972</v>
      </c>
      <c r="CI1" s="76" t="s">
        <v>1973</v>
      </c>
      <c r="CJ1" s="76" t="s">
        <v>1974</v>
      </c>
      <c r="CK1" s="76" t="s">
        <v>1975</v>
      </c>
      <c r="CL1" s="76" t="s">
        <v>1976</v>
      </c>
      <c r="CM1" s="76" t="s">
        <v>1977</v>
      </c>
      <c r="CN1" s="76" t="s">
        <v>1978</v>
      </c>
      <c r="CO1" s="76" t="s">
        <v>1979</v>
      </c>
      <c r="CP1" s="76" t="s">
        <v>1980</v>
      </c>
      <c r="CQ1" s="76" t="s">
        <v>1981</v>
      </c>
      <c r="CR1" s="76" t="s">
        <v>1982</v>
      </c>
      <c r="CS1" s="76" t="s">
        <v>1983</v>
      </c>
      <c r="CT1" s="76" t="s">
        <v>1984</v>
      </c>
      <c r="CU1" s="76" t="s">
        <v>1985</v>
      </c>
      <c r="CV1" s="76" t="s">
        <v>1986</v>
      </c>
      <c r="CW1" s="76" t="s">
        <v>1987</v>
      </c>
      <c r="CX1" s="76" t="s">
        <v>1988</v>
      </c>
      <c r="CY1" s="76" t="s">
        <v>1989</v>
      </c>
      <c r="CZ1" s="76" t="s">
        <v>1990</v>
      </c>
      <c r="DA1" s="76" t="s">
        <v>1991</v>
      </c>
      <c r="DB1" s="76" t="s">
        <v>1992</v>
      </c>
      <c r="DC1" s="76" t="s">
        <v>1993</v>
      </c>
      <c r="DD1" s="76" t="s">
        <v>1994</v>
      </c>
      <c r="DE1" s="76" t="s">
        <v>1995</v>
      </c>
      <c r="DF1" s="76" t="s">
        <v>1996</v>
      </c>
      <c r="DG1" s="76" t="s">
        <v>1997</v>
      </c>
      <c r="DH1" s="76" t="s">
        <v>1998</v>
      </c>
      <c r="DI1" s="76" t="s">
        <v>1999</v>
      </c>
      <c r="DJ1" s="76" t="s">
        <v>2000</v>
      </c>
      <c r="DK1" s="76" t="s">
        <v>2001</v>
      </c>
      <c r="DL1" s="76" t="s">
        <v>2002</v>
      </c>
      <c r="DM1" s="76" t="s">
        <v>2003</v>
      </c>
      <c r="DN1" s="76" t="s">
        <v>2004</v>
      </c>
      <c r="DO1" s="76" t="s">
        <v>2005</v>
      </c>
      <c r="DP1" s="76" t="s">
        <v>2006</v>
      </c>
      <c r="DQ1" s="76" t="s">
        <v>2007</v>
      </c>
      <c r="DR1" s="76" t="s">
        <v>2008</v>
      </c>
      <c r="DS1" s="76" t="s">
        <v>2009</v>
      </c>
      <c r="DT1" s="76" t="s">
        <v>2010</v>
      </c>
      <c r="DU1" s="76" t="s">
        <v>2011</v>
      </c>
      <c r="DV1" s="76" t="s">
        <v>2012</v>
      </c>
      <c r="DW1" s="76" t="s">
        <v>2013</v>
      </c>
      <c r="DX1" s="76" t="s">
        <v>2014</v>
      </c>
      <c r="DY1" s="76" t="s">
        <v>2015</v>
      </c>
      <c r="DZ1" s="76" t="s">
        <v>2016</v>
      </c>
      <c r="EA1" s="76" t="s">
        <v>2017</v>
      </c>
      <c r="EB1" s="76" t="s">
        <v>2018</v>
      </c>
      <c r="EC1" s="76" t="s">
        <v>2019</v>
      </c>
      <c r="ED1" s="76" t="s">
        <v>2020</v>
      </c>
      <c r="EE1" s="76" t="s">
        <v>2021</v>
      </c>
      <c r="EF1" s="76" t="s">
        <v>2022</v>
      </c>
      <c r="EG1" s="76" t="s">
        <v>2023</v>
      </c>
      <c r="EH1" s="76" t="s">
        <v>2024</v>
      </c>
      <c r="EI1" s="76" t="s">
        <v>2025</v>
      </c>
      <c r="EJ1" s="76" t="s">
        <v>2026</v>
      </c>
      <c r="EK1" s="76" t="s">
        <v>2027</v>
      </c>
      <c r="EL1" s="76" t="s">
        <v>2028</v>
      </c>
      <c r="EM1" s="76" t="s">
        <v>2029</v>
      </c>
      <c r="EN1" s="76" t="s">
        <v>2030</v>
      </c>
      <c r="EO1" s="76" t="s">
        <v>2031</v>
      </c>
      <c r="EP1" s="76" t="s">
        <v>2032</v>
      </c>
      <c r="EQ1" s="76" t="s">
        <v>2033</v>
      </c>
      <c r="ER1" s="76" t="s">
        <v>2034</v>
      </c>
      <c r="ES1" s="76" t="s">
        <v>2035</v>
      </c>
      <c r="ET1" s="76" t="s">
        <v>2036</v>
      </c>
      <c r="EU1" s="76" t="s">
        <v>2037</v>
      </c>
      <c r="EV1" s="76" t="s">
        <v>2038</v>
      </c>
      <c r="EW1" s="76" t="s">
        <v>2039</v>
      </c>
      <c r="EX1" s="76" t="s">
        <v>2040</v>
      </c>
      <c r="EY1" s="76" t="s">
        <v>2041</v>
      </c>
      <c r="EZ1" s="76" t="s">
        <v>2042</v>
      </c>
      <c r="FA1" s="76" t="s">
        <v>2043</v>
      </c>
      <c r="FB1" s="76" t="s">
        <v>2044</v>
      </c>
      <c r="FC1" s="76" t="s">
        <v>2045</v>
      </c>
      <c r="FD1" s="76" t="s">
        <v>2046</v>
      </c>
      <c r="FE1" s="76" t="s">
        <v>2047</v>
      </c>
      <c r="FF1" s="76" t="s">
        <v>2048</v>
      </c>
      <c r="FG1" s="76" t="s">
        <v>2049</v>
      </c>
      <c r="FH1" s="76" t="s">
        <v>2050</v>
      </c>
      <c r="FI1" s="76" t="s">
        <v>2051</v>
      </c>
      <c r="FJ1" s="76" t="s">
        <v>2052</v>
      </c>
      <c r="FK1" s="76" t="s">
        <v>2053</v>
      </c>
      <c r="FL1" s="76" t="s">
        <v>2054</v>
      </c>
      <c r="FM1" s="76" t="s">
        <v>2055</v>
      </c>
      <c r="FN1" s="76" t="s">
        <v>2056</v>
      </c>
      <c r="FO1" s="76" t="s">
        <v>2057</v>
      </c>
      <c r="FP1" s="76" t="s">
        <v>2058</v>
      </c>
      <c r="FQ1" s="76" t="s">
        <v>2059</v>
      </c>
      <c r="FR1" s="76" t="s">
        <v>2060</v>
      </c>
      <c r="FS1" s="76" t="s">
        <v>2061</v>
      </c>
      <c r="FT1" s="76" t="s">
        <v>2062</v>
      </c>
      <c r="FU1" s="76" t="s">
        <v>2063</v>
      </c>
      <c r="FV1" s="76" t="s">
        <v>2064</v>
      </c>
      <c r="FW1" s="76" t="s">
        <v>2065</v>
      </c>
      <c r="FX1" s="76" t="s">
        <v>2066</v>
      </c>
      <c r="FY1" s="76" t="s">
        <v>2067</v>
      </c>
      <c r="FZ1" s="76" t="s">
        <v>2068</v>
      </c>
      <c r="GA1" s="76" t="s">
        <v>2069</v>
      </c>
      <c r="GB1" s="76" t="s">
        <v>2070</v>
      </c>
      <c r="GC1" s="76" t="s">
        <v>2071</v>
      </c>
      <c r="GD1" s="76" t="s">
        <v>2072</v>
      </c>
      <c r="GE1" s="76" t="s">
        <v>2073</v>
      </c>
      <c r="GF1" s="76" t="s">
        <v>2074</v>
      </c>
      <c r="GG1" s="76" t="s">
        <v>2075</v>
      </c>
      <c r="GH1" s="76" t="s">
        <v>2076</v>
      </c>
      <c r="GI1" s="76" t="s">
        <v>2077</v>
      </c>
      <c r="GJ1" s="76" t="s">
        <v>2078</v>
      </c>
      <c r="GK1" s="76" t="s">
        <v>2079</v>
      </c>
      <c r="GL1" s="76" t="s">
        <v>2080</v>
      </c>
      <c r="GM1" s="76" t="s">
        <v>2081</v>
      </c>
      <c r="GN1" s="76" t="s">
        <v>2082</v>
      </c>
      <c r="GO1" s="76" t="s">
        <v>2083</v>
      </c>
      <c r="GP1" s="76" t="s">
        <v>2084</v>
      </c>
      <c r="GQ1" s="76" t="s">
        <v>2085</v>
      </c>
      <c r="GR1" s="76" t="s">
        <v>2086</v>
      </c>
      <c r="GS1" s="76" t="s">
        <v>2087</v>
      </c>
      <c r="GT1" s="76" t="s">
        <v>2088</v>
      </c>
      <c r="GU1" s="76" t="s">
        <v>2089</v>
      </c>
      <c r="GV1" s="76" t="s">
        <v>2090</v>
      </c>
      <c r="GW1" s="76" t="s">
        <v>2091</v>
      </c>
      <c r="GX1" s="76" t="s">
        <v>2092</v>
      </c>
      <c r="GY1" s="76" t="s">
        <v>2093</v>
      </c>
      <c r="GZ1" s="76" t="s">
        <v>2094</v>
      </c>
      <c r="HA1" s="76" t="s">
        <v>2095</v>
      </c>
      <c r="HB1" s="76" t="s">
        <v>2096</v>
      </c>
      <c r="HC1" s="76" t="s">
        <v>2097</v>
      </c>
      <c r="HD1" s="76" t="s">
        <v>2098</v>
      </c>
      <c r="HE1" s="76" t="s">
        <v>2099</v>
      </c>
    </row>
    <row r="2" spans="1:213" x14ac:dyDescent="0.35">
      <c r="A2" s="35" t="s">
        <v>2100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26132.5</v>
      </c>
    </row>
    <row r="3" spans="1:213" x14ac:dyDescent="0.35">
      <c r="A3" s="35" t="s">
        <v>2101</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20198.099999999999</v>
      </c>
    </row>
    <row r="4" spans="1:213" x14ac:dyDescent="0.35">
      <c r="A4" s="35" t="s">
        <v>2102</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129.374</v>
      </c>
    </row>
    <row r="5" spans="1:213" x14ac:dyDescent="0.35">
      <c r="A5" s="35" t="s">
        <v>2103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17771.3</v>
      </c>
    </row>
    <row r="6" spans="1:213" x14ac:dyDescent="0.35">
      <c r="A6" s="35" t="s">
        <v>2104</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14252.2</v>
      </c>
    </row>
    <row r="7" spans="1:213" x14ac:dyDescent="0.35">
      <c r="A7" s="35" t="s">
        <v>2105</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124.72499999999999</v>
      </c>
    </row>
    <row r="8" spans="1:213" x14ac:dyDescent="0.35">
      <c r="A8" s="35" t="s">
        <v>2106</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123.247</v>
      </c>
    </row>
    <row r="9" spans="1:213" x14ac:dyDescent="0.35">
      <c r="A9" s="35" t="s">
        <v>2107</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138.97200000000001</v>
      </c>
    </row>
    <row r="10" spans="1:213" x14ac:dyDescent="0.35">
      <c r="A10" s="35" t="s">
        <v>2108</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138.20500000000001</v>
      </c>
    </row>
    <row r="11" spans="1:213" x14ac:dyDescent="0.35">
      <c r="A11" s="35" t="s">
        <v>2109</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5">
      <c r="A12" s="35" t="s">
        <v>2110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2111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784.6</v>
      </c>
    </row>
    <row r="14" spans="1:213" x14ac:dyDescent="0.35">
      <c r="A14" s="35" t="s">
        <v>2112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2113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3913.5</v>
      </c>
    </row>
    <row r="16" spans="1:213" x14ac:dyDescent="0.35">
      <c r="A16" s="35" t="s">
        <v>2114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2115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3229.2</v>
      </c>
      <c r="HE17">
        <v>3243.3</v>
      </c>
    </row>
    <row r="18" spans="1:213" x14ac:dyDescent="0.35">
      <c r="A18" s="35" t="s">
        <v>2116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1785.3</v>
      </c>
    </row>
    <row r="19" spans="1:213" x14ac:dyDescent="0.35">
      <c r="A19" s="35" t="s">
        <v>2117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441.3</v>
      </c>
    </row>
    <row r="20" spans="1:213" x14ac:dyDescent="0.35">
      <c r="A20" s="35" t="s">
        <v>2118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4568</v>
      </c>
    </row>
    <row r="21" spans="1:213" x14ac:dyDescent="0.35">
      <c r="A21" s="35" t="s">
        <v>2119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1686.8</v>
      </c>
      <c r="HE21">
        <v>1706</v>
      </c>
    </row>
    <row r="22" spans="1:213" x14ac:dyDescent="0.35">
      <c r="A22" s="35" t="s">
        <v>2120</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124.69199999999999</v>
      </c>
    </row>
    <row r="23" spans="1:213" x14ac:dyDescent="0.35">
      <c r="A23" s="35" t="s">
        <v>2121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1693.9</v>
      </c>
    </row>
    <row r="24" spans="1:213" x14ac:dyDescent="0.35">
      <c r="A24" s="35" t="s">
        <v>2122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2874.1</v>
      </c>
    </row>
    <row r="25" spans="1:213" x14ac:dyDescent="0.35">
      <c r="A25" s="35" t="s">
        <v>2123</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1374.1</v>
      </c>
    </row>
    <row r="26" spans="1:213" x14ac:dyDescent="0.35">
      <c r="A26" s="35" t="s">
        <v>2124</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5">
      <c r="A27" s="35" t="s">
        <v>2125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2634.4</v>
      </c>
      <c r="HE27">
        <v>2654.8</v>
      </c>
    </row>
    <row r="28" spans="1:213" x14ac:dyDescent="0.35">
      <c r="A28" s="35" t="s">
        <v>2126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5">
      <c r="A29" s="35" t="s">
        <v>2127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340.6</v>
      </c>
    </row>
    <row r="30" spans="1:213" x14ac:dyDescent="0.35">
      <c r="A30" s="35" t="s">
        <v>2128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1662.8</v>
      </c>
      <c r="HE30">
        <v>1681.5</v>
      </c>
    </row>
    <row r="31" spans="1:213" x14ac:dyDescent="0.35">
      <c r="A31" s="35" t="s">
        <v>2129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2879.8</v>
      </c>
    </row>
    <row r="32" spans="1:213" x14ac:dyDescent="0.35">
      <c r="A32" s="35" t="s">
        <v>2130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918.1</v>
      </c>
    </row>
    <row r="33" spans="1:213" x14ac:dyDescent="0.35">
      <c r="A33" s="35" t="s">
        <v>2131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588.5</v>
      </c>
    </row>
    <row r="34" spans="1:213" x14ac:dyDescent="0.35">
      <c r="A34" s="35" t="s">
        <v>2132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1592.8</v>
      </c>
    </row>
    <row r="35" spans="1:213" x14ac:dyDescent="0.35">
      <c r="A35" s="35" t="s">
        <v>2133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0</v>
      </c>
    </row>
    <row r="36" spans="1:213" x14ac:dyDescent="0.35">
      <c r="A36" s="35" t="s">
        <v>2134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2135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1033.7</v>
      </c>
    </row>
    <row r="38" spans="1:213" x14ac:dyDescent="0.35">
      <c r="A38" s="35" t="s">
        <v>2136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3808.6</v>
      </c>
    </row>
    <row r="39" spans="1:213" x14ac:dyDescent="0.35">
      <c r="A39" s="35" t="s">
        <v>2137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636.61</v>
      </c>
    </row>
    <row r="40" spans="1:213" x14ac:dyDescent="0.35">
      <c r="A40" s="35" t="s">
        <v>2138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604.79499999999996</v>
      </c>
    </row>
    <row r="41" spans="1:213" x14ac:dyDescent="0.35">
      <c r="A41" s="35" t="s">
        <v>2139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76.164000000000001</v>
      </c>
    </row>
    <row r="42" spans="1:213" x14ac:dyDescent="0.35">
      <c r="A42" s="35" t="s">
        <v>2140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107.6</v>
      </c>
    </row>
    <row r="43" spans="1:213" x14ac:dyDescent="0.35">
      <c r="A43" s="35" t="s">
        <v>2141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2142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108.3</v>
      </c>
    </row>
    <row r="45" spans="1:213" x14ac:dyDescent="0.35">
      <c r="A45" s="35" t="s">
        <v>2143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2144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2145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2146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2147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2148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2149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2150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2151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2152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2153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2154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2155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2156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2157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2158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2159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0.1</v>
      </c>
    </row>
    <row r="62" spans="1:213" x14ac:dyDescent="0.35">
      <c r="A62" s="35" t="s">
        <v>2160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2161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2162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2163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108.7</v>
      </c>
    </row>
    <row r="66" spans="1:213" x14ac:dyDescent="0.35">
      <c r="A66" s="35" t="s">
        <v>2164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123.58</v>
      </c>
    </row>
    <row r="67" spans="1:213" x14ac:dyDescent="0.35">
      <c r="A67" s="35" t="s">
        <v>2165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249.25433333333299</v>
      </c>
      <c r="GM67" s="35">
        <v>250.68100000000001</v>
      </c>
      <c r="GN67" s="35">
        <v>251.77033333333301</v>
      </c>
      <c r="GO67" s="35">
        <v>252.69</v>
      </c>
      <c r="GP67" s="35">
        <v>253.292666666667</v>
      </c>
      <c r="GQ67" s="35">
        <v>255.28299999999999</v>
      </c>
      <c r="GR67" s="35">
        <v>256.22500000000002</v>
      </c>
      <c r="GS67" s="35">
        <v>257.78533333333303</v>
      </c>
      <c r="GT67" s="35">
        <v>258.61799999999999</v>
      </c>
      <c r="GU67" s="35">
        <v>256.41833333333301</v>
      </c>
      <c r="GV67" s="35">
        <v>259.43766666666698</v>
      </c>
      <c r="GW67" s="35">
        <v>260.87900000000002</v>
      </c>
      <c r="GX67" s="35">
        <v>263.52466666666697</v>
      </c>
      <c r="GY67" s="35">
        <v>268.76033333333299</v>
      </c>
      <c r="GZ67" s="35">
        <v>273.16333333333301</v>
      </c>
      <c r="HA67" s="35">
        <v>278.41333333333301</v>
      </c>
      <c r="HB67" s="35">
        <v>284.607666666667</v>
      </c>
      <c r="HC67">
        <v>291.821666666667</v>
      </c>
      <c r="HD67">
        <v>295.88400000000001</v>
      </c>
      <c r="HE67">
        <v>298.17433333333298</v>
      </c>
    </row>
    <row r="68" spans="1:213" x14ac:dyDescent="0.35">
      <c r="A68" s="35" t="s">
        <v>2166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243.36033333333299</v>
      </c>
      <c r="GM68" s="35">
        <v>244.732</v>
      </c>
      <c r="GN68" s="35">
        <v>245.84033333333301</v>
      </c>
      <c r="GO68" s="35">
        <v>246.613333333333</v>
      </c>
      <c r="GP68" s="35">
        <v>246.874</v>
      </c>
      <c r="GQ68" s="35">
        <v>248.91200000000001</v>
      </c>
      <c r="GR68" s="35">
        <v>249.72499999999999</v>
      </c>
      <c r="GS68" s="35">
        <v>251.32566666666699</v>
      </c>
      <c r="GT68" s="35">
        <v>251.99033333333301</v>
      </c>
      <c r="GU68" s="35">
        <v>249.54300000000001</v>
      </c>
      <c r="GV68" s="35">
        <v>253.03966666666699</v>
      </c>
      <c r="GW68" s="35">
        <v>254.55600000000001</v>
      </c>
      <c r="GX68" s="35">
        <v>257.47199999999998</v>
      </c>
      <c r="GY68" s="35">
        <v>263.11700000000002</v>
      </c>
      <c r="GZ68" s="35">
        <v>267.898666666667</v>
      </c>
      <c r="HA68" s="35">
        <v>273.53666666666697</v>
      </c>
      <c r="HB68" s="35">
        <v>280.10300000000001</v>
      </c>
      <c r="HC68">
        <v>287.47933333333299</v>
      </c>
      <c r="HD68">
        <v>291.26533333333299</v>
      </c>
      <c r="HE68">
        <v>292.91500000000002</v>
      </c>
    </row>
    <row r="69" spans="1:213" x14ac:dyDescent="0.35">
      <c r="A69" s="35" t="s">
        <v>2167</v>
      </c>
      <c r="B69" s="35">
        <v>4945.1000000000004</v>
      </c>
      <c r="C69" s="35">
        <v>4986.3</v>
      </c>
      <c r="D69" s="35">
        <v>5026.2</v>
      </c>
      <c r="E69" s="35">
        <v>5065</v>
      </c>
      <c r="F69" s="35">
        <v>5103.8999999999996</v>
      </c>
      <c r="G69" s="35">
        <v>5143.6000000000004</v>
      </c>
      <c r="H69" s="35">
        <v>5183.8999999999996</v>
      </c>
      <c r="I69" s="35">
        <v>5224.7</v>
      </c>
      <c r="J69" s="35">
        <v>5266.4</v>
      </c>
      <c r="K69" s="35">
        <v>5308.6</v>
      </c>
      <c r="L69" s="35">
        <v>5351.6</v>
      </c>
      <c r="M69" s="35">
        <v>5395.2</v>
      </c>
      <c r="N69" s="35">
        <v>5439.9</v>
      </c>
      <c r="O69" s="35">
        <v>5486.7</v>
      </c>
      <c r="P69" s="35">
        <v>5534.1</v>
      </c>
      <c r="Q69" s="35">
        <v>5582.5</v>
      </c>
      <c r="R69" s="35">
        <v>5631.6</v>
      </c>
      <c r="S69" s="35">
        <v>5681</v>
      </c>
      <c r="T69" s="35">
        <v>5729.8</v>
      </c>
      <c r="U69" s="35">
        <v>5777.8</v>
      </c>
      <c r="V69" s="35">
        <v>5824.5</v>
      </c>
      <c r="W69" s="35">
        <v>5870.3</v>
      </c>
      <c r="X69" s="35">
        <v>5915.6</v>
      </c>
      <c r="Y69" s="35">
        <v>5960.9</v>
      </c>
      <c r="Z69" s="35">
        <v>6006.2</v>
      </c>
      <c r="AA69" s="35">
        <v>6052.3</v>
      </c>
      <c r="AB69" s="35">
        <v>6099.8</v>
      </c>
      <c r="AC69" s="35">
        <v>6148.1</v>
      </c>
      <c r="AD69" s="35">
        <v>6198</v>
      </c>
      <c r="AE69" s="35">
        <v>6249</v>
      </c>
      <c r="AF69" s="35">
        <v>6300.8</v>
      </c>
      <c r="AG69" s="35">
        <v>6354.1</v>
      </c>
      <c r="AH69" s="35">
        <v>6408.7</v>
      </c>
      <c r="AI69" s="35">
        <v>6464.5</v>
      </c>
      <c r="AJ69" s="35">
        <v>6521.7</v>
      </c>
      <c r="AK69" s="35">
        <v>6580</v>
      </c>
      <c r="AL69" s="35">
        <v>6640</v>
      </c>
      <c r="AM69" s="35">
        <v>6697.9</v>
      </c>
      <c r="AN69" s="35">
        <v>6757</v>
      </c>
      <c r="AO69" s="35">
        <v>6807.4</v>
      </c>
      <c r="AP69" s="35">
        <v>6854</v>
      </c>
      <c r="AQ69" s="35">
        <v>6896.1</v>
      </c>
      <c r="AR69" s="35">
        <v>6933.6</v>
      </c>
      <c r="AS69" s="35">
        <v>6973.3</v>
      </c>
      <c r="AT69" s="35">
        <v>7017.1</v>
      </c>
      <c r="AU69" s="35">
        <v>7064.1</v>
      </c>
      <c r="AV69" s="35">
        <v>7113.7</v>
      </c>
      <c r="AW69" s="35">
        <v>7165.8</v>
      </c>
      <c r="AX69" s="35">
        <v>7219.9</v>
      </c>
      <c r="AY69" s="35">
        <v>7275.2</v>
      </c>
      <c r="AZ69" s="35">
        <v>7331.6</v>
      </c>
      <c r="BA69" s="35">
        <v>7389.2</v>
      </c>
      <c r="BB69" s="35">
        <v>7446.7</v>
      </c>
      <c r="BC69" s="35">
        <v>7505.6</v>
      </c>
      <c r="BD69" s="35">
        <v>7566.2</v>
      </c>
      <c r="BE69" s="35">
        <v>7629.3</v>
      </c>
      <c r="BF69" s="35">
        <v>7701.2</v>
      </c>
      <c r="BG69" s="35">
        <v>7768.9</v>
      </c>
      <c r="BH69" s="35">
        <v>7838.1</v>
      </c>
      <c r="BI69" s="35">
        <v>7908.4</v>
      </c>
      <c r="BJ69" s="35">
        <v>7979</v>
      </c>
      <c r="BK69" s="35">
        <v>8049.7</v>
      </c>
      <c r="BL69" s="35">
        <v>8120.4</v>
      </c>
      <c r="BM69" s="35">
        <v>8190.5</v>
      </c>
      <c r="BN69" s="35">
        <v>8260.1</v>
      </c>
      <c r="BO69" s="35">
        <v>8329.2999999999993</v>
      </c>
      <c r="BP69" s="35">
        <v>8398.2999999999993</v>
      </c>
      <c r="BQ69" s="35">
        <v>8467.2999999999993</v>
      </c>
      <c r="BR69" s="35">
        <v>8535.7999999999993</v>
      </c>
      <c r="BS69" s="35">
        <v>8604.1</v>
      </c>
      <c r="BT69" s="35">
        <v>8672.1</v>
      </c>
      <c r="BU69" s="35">
        <v>8740.4</v>
      </c>
      <c r="BV69" s="35">
        <v>8808.2000000000007</v>
      </c>
      <c r="BW69" s="35">
        <v>8876.4</v>
      </c>
      <c r="BX69" s="35">
        <v>8944.2999999999993</v>
      </c>
      <c r="BY69" s="35">
        <v>9012.2000000000007</v>
      </c>
      <c r="BZ69" s="35">
        <v>9079.7999999999993</v>
      </c>
      <c r="CA69" s="35">
        <v>9146.9</v>
      </c>
      <c r="CB69" s="35">
        <v>9213.7000000000007</v>
      </c>
      <c r="CC69" s="35">
        <v>9280.1</v>
      </c>
      <c r="CD69" s="35">
        <v>9345.7000000000007</v>
      </c>
      <c r="CE69" s="35">
        <v>9410.7000000000007</v>
      </c>
      <c r="CF69" s="35">
        <v>9474.2999999999993</v>
      </c>
      <c r="CG69" s="35">
        <v>9536.7000000000007</v>
      </c>
      <c r="CH69" s="35">
        <v>9598.1</v>
      </c>
      <c r="CI69" s="35">
        <v>9658.7999999999993</v>
      </c>
      <c r="CJ69" s="35">
        <v>9719.1</v>
      </c>
      <c r="CK69" s="35">
        <v>9779.7000000000007</v>
      </c>
      <c r="CL69" s="35">
        <v>9841</v>
      </c>
      <c r="CM69" s="35">
        <v>9903.2000000000007</v>
      </c>
      <c r="CN69" s="35">
        <v>9967.2000000000007</v>
      </c>
      <c r="CO69" s="35">
        <v>10032.200000000001</v>
      </c>
      <c r="CP69" s="35">
        <v>10098.299999999999</v>
      </c>
      <c r="CQ69" s="35">
        <v>10166</v>
      </c>
      <c r="CR69" s="35">
        <v>10234.700000000001</v>
      </c>
      <c r="CS69" s="35">
        <v>10304.200000000001</v>
      </c>
      <c r="CT69" s="35">
        <v>10374.299999999999</v>
      </c>
      <c r="CU69" s="35">
        <v>10444.9</v>
      </c>
      <c r="CV69" s="35">
        <v>10516.4</v>
      </c>
      <c r="CW69" s="35">
        <v>10588.5</v>
      </c>
      <c r="CX69" s="35">
        <v>10660.9</v>
      </c>
      <c r="CY69" s="35">
        <v>10733.9</v>
      </c>
      <c r="CZ69" s="35">
        <v>10807.2</v>
      </c>
      <c r="DA69" s="35">
        <v>10882.1</v>
      </c>
      <c r="DB69" s="35">
        <v>10958.2</v>
      </c>
      <c r="DC69" s="35">
        <v>11039</v>
      </c>
      <c r="DD69" s="35">
        <v>11125.5</v>
      </c>
      <c r="DE69" s="35">
        <v>11217.6</v>
      </c>
      <c r="DF69" s="35">
        <v>11315.1</v>
      </c>
      <c r="DG69" s="35">
        <v>11417.5</v>
      </c>
      <c r="DH69" s="35">
        <v>11525.1</v>
      </c>
      <c r="DI69" s="35">
        <v>11636.5</v>
      </c>
      <c r="DJ69" s="35">
        <v>11751.3</v>
      </c>
      <c r="DK69" s="35">
        <v>11869.8</v>
      </c>
      <c r="DL69" s="35">
        <v>11990.4</v>
      </c>
      <c r="DM69" s="35">
        <v>12113.2</v>
      </c>
      <c r="DN69" s="35">
        <v>12238.5</v>
      </c>
      <c r="DO69" s="35">
        <v>12365.3</v>
      </c>
      <c r="DP69" s="35">
        <v>12493.7</v>
      </c>
      <c r="DQ69" s="35">
        <v>12624.3</v>
      </c>
      <c r="DR69" s="35">
        <v>12756.2</v>
      </c>
      <c r="DS69" s="35">
        <v>12885.5</v>
      </c>
      <c r="DT69" s="35">
        <v>13010</v>
      </c>
      <c r="DU69" s="35">
        <v>13129.1</v>
      </c>
      <c r="DV69" s="35">
        <v>13242.6</v>
      </c>
      <c r="DW69" s="35">
        <v>13350.4</v>
      </c>
      <c r="DX69" s="35">
        <v>13452.5</v>
      </c>
      <c r="DY69" s="35">
        <v>13549.6</v>
      </c>
      <c r="DZ69" s="35">
        <v>13642</v>
      </c>
      <c r="EA69" s="35">
        <v>13731.5</v>
      </c>
      <c r="EB69" s="35">
        <v>13819.4</v>
      </c>
      <c r="EC69" s="35">
        <v>13906.1</v>
      </c>
      <c r="ED69" s="35">
        <v>13992.5</v>
      </c>
      <c r="EE69" s="35">
        <v>14079.7</v>
      </c>
      <c r="EF69" s="35">
        <v>14167</v>
      </c>
      <c r="EG69" s="35">
        <v>14255.3</v>
      </c>
      <c r="EH69" s="35">
        <v>14345.5</v>
      </c>
      <c r="EI69" s="35">
        <v>14437</v>
      </c>
      <c r="EJ69" s="35">
        <v>14530.7</v>
      </c>
      <c r="EK69" s="35">
        <v>14625.5</v>
      </c>
      <c r="EL69" s="35">
        <v>14718.9</v>
      </c>
      <c r="EM69" s="35">
        <v>14810</v>
      </c>
      <c r="EN69" s="35">
        <v>14899.8</v>
      </c>
      <c r="EO69" s="35">
        <v>14987.7</v>
      </c>
      <c r="EP69" s="35">
        <v>15073.7</v>
      </c>
      <c r="EQ69" s="35">
        <v>15158</v>
      </c>
      <c r="ER69" s="35">
        <v>15239.1</v>
      </c>
      <c r="ES69" s="35">
        <v>15316.9</v>
      </c>
      <c r="ET69" s="35">
        <v>15394.6</v>
      </c>
      <c r="EU69" s="35">
        <v>15472.8</v>
      </c>
      <c r="EV69" s="35">
        <v>15551.7</v>
      </c>
      <c r="EW69" s="35">
        <v>15630.2</v>
      </c>
      <c r="EX69" s="35">
        <v>15707.9</v>
      </c>
      <c r="EY69" s="35">
        <v>15782.9</v>
      </c>
      <c r="EZ69" s="35">
        <v>15854.5</v>
      </c>
      <c r="FA69" s="35">
        <v>15921.6</v>
      </c>
      <c r="FB69" s="35">
        <v>15983.3</v>
      </c>
      <c r="FC69" s="35">
        <v>16040.7</v>
      </c>
      <c r="FD69" s="35">
        <v>16094.7</v>
      </c>
      <c r="FE69" s="35">
        <v>16147.1</v>
      </c>
      <c r="FF69" s="35">
        <v>16199.7</v>
      </c>
      <c r="FG69" s="35">
        <v>16253.7</v>
      </c>
      <c r="FH69" s="35">
        <v>16310.4</v>
      </c>
      <c r="FI69" s="35">
        <v>16369.3</v>
      </c>
      <c r="FJ69" s="35">
        <v>16430.5</v>
      </c>
      <c r="FK69" s="35">
        <v>16494.099999999999</v>
      </c>
      <c r="FL69" s="35">
        <v>16560.099999999999</v>
      </c>
      <c r="FM69" s="35">
        <v>16627.900000000001</v>
      </c>
      <c r="FN69" s="35">
        <v>16697.400000000001</v>
      </c>
      <c r="FO69" s="35">
        <v>16769</v>
      </c>
      <c r="FP69" s="35">
        <v>16842.2</v>
      </c>
      <c r="FQ69" s="35">
        <v>16916.7</v>
      </c>
      <c r="FR69" s="35">
        <v>16992.599999999999</v>
      </c>
      <c r="FS69" s="35">
        <v>17069.599999999999</v>
      </c>
      <c r="FT69" s="35">
        <v>17147.2</v>
      </c>
      <c r="FU69" s="35">
        <v>17225.8</v>
      </c>
      <c r="FV69" s="35">
        <v>17305.400000000001</v>
      </c>
      <c r="FW69" s="35">
        <v>17385.7</v>
      </c>
      <c r="FX69" s="35">
        <v>17467.5</v>
      </c>
      <c r="FY69" s="35">
        <v>17550</v>
      </c>
      <c r="FZ69" s="35">
        <v>17632.8</v>
      </c>
      <c r="GA69" s="35">
        <v>17715.599999999999</v>
      </c>
      <c r="GB69" s="35">
        <v>17797.900000000001</v>
      </c>
      <c r="GC69" s="35">
        <v>17879.099999999999</v>
      </c>
      <c r="GD69" s="35">
        <v>17959.5</v>
      </c>
      <c r="GE69" s="35">
        <v>18039.099999999999</v>
      </c>
      <c r="GF69" s="35">
        <v>18117.599999999999</v>
      </c>
      <c r="GG69" s="35">
        <v>18195.900000000001</v>
      </c>
      <c r="GH69" s="35">
        <v>18274.5</v>
      </c>
      <c r="GI69" s="35">
        <v>18353</v>
      </c>
      <c r="GJ69" s="35">
        <v>18433.5</v>
      </c>
      <c r="GK69" s="35">
        <v>18516.099999999999</v>
      </c>
      <c r="GL69" s="35">
        <v>18600.5</v>
      </c>
      <c r="GM69" s="35">
        <v>18687.3</v>
      </c>
      <c r="GN69" s="35">
        <v>18776.099999999999</v>
      </c>
      <c r="GO69" s="35">
        <v>18865.400000000001</v>
      </c>
      <c r="GP69" s="35">
        <v>18954.8</v>
      </c>
      <c r="GQ69" s="35">
        <v>19044.900000000001</v>
      </c>
      <c r="GR69" s="35">
        <v>19135.400000000001</v>
      </c>
      <c r="GS69" s="35">
        <v>19225.599999999999</v>
      </c>
      <c r="GT69" s="35">
        <v>19314.3</v>
      </c>
      <c r="GU69" s="35">
        <v>19399.7</v>
      </c>
      <c r="GV69" s="35">
        <v>19477.2</v>
      </c>
      <c r="GW69" s="35">
        <v>19559.3</v>
      </c>
      <c r="GX69" s="35">
        <v>19644.5</v>
      </c>
      <c r="GY69" s="35">
        <v>19733</v>
      </c>
      <c r="GZ69" s="35">
        <v>19822.8</v>
      </c>
      <c r="HA69" s="35">
        <v>19914.3</v>
      </c>
      <c r="HB69" s="35">
        <v>20005.5</v>
      </c>
      <c r="HC69">
        <v>20101.2</v>
      </c>
      <c r="HD69">
        <v>20197.900000000001</v>
      </c>
      <c r="HE69">
        <v>20295.5</v>
      </c>
    </row>
    <row r="70" spans="1:213" x14ac:dyDescent="0.35">
      <c r="A70" s="35" t="s">
        <v>2168</v>
      </c>
      <c r="B70" s="35">
        <v>1052.3</v>
      </c>
      <c r="C70" s="35">
        <v>1075.9000000000001</v>
      </c>
      <c r="D70" s="35">
        <v>1093.5</v>
      </c>
      <c r="E70" s="35">
        <v>1116.4000000000001</v>
      </c>
      <c r="F70" s="35">
        <v>1142.0999999999999</v>
      </c>
      <c r="G70" s="35">
        <v>1166.0999999999999</v>
      </c>
      <c r="H70" s="35">
        <v>1187.2</v>
      </c>
      <c r="I70" s="35">
        <v>1206.5</v>
      </c>
      <c r="J70" s="35">
        <v>1234.5999999999999</v>
      </c>
      <c r="K70" s="35">
        <v>1252.3</v>
      </c>
      <c r="L70" s="35">
        <v>1274.5</v>
      </c>
      <c r="M70" s="35">
        <v>1301.2</v>
      </c>
      <c r="N70" s="35">
        <v>1327.1</v>
      </c>
      <c r="O70" s="35">
        <v>1359.1</v>
      </c>
      <c r="P70" s="35">
        <v>1397.5</v>
      </c>
      <c r="Q70" s="35">
        <v>1437.9</v>
      </c>
      <c r="R70" s="35">
        <v>1477.9</v>
      </c>
      <c r="S70" s="35">
        <v>1526.1</v>
      </c>
      <c r="T70" s="35">
        <v>1584.3</v>
      </c>
      <c r="U70" s="35">
        <v>1644.6</v>
      </c>
      <c r="V70" s="35">
        <v>1695.5</v>
      </c>
      <c r="W70" s="35">
        <v>1734.3</v>
      </c>
      <c r="X70" s="35">
        <v>1778.5</v>
      </c>
      <c r="Y70" s="35">
        <v>1822.1</v>
      </c>
      <c r="Z70" s="35">
        <v>1855.4</v>
      </c>
      <c r="AA70" s="35">
        <v>1888.4</v>
      </c>
      <c r="AB70" s="35">
        <v>1927.9</v>
      </c>
      <c r="AC70" s="35">
        <v>1978</v>
      </c>
      <c r="AD70" s="35">
        <v>2026</v>
      </c>
      <c r="AE70" s="35">
        <v>2071.6</v>
      </c>
      <c r="AF70" s="35">
        <v>2114.1999999999998</v>
      </c>
      <c r="AG70" s="35">
        <v>2178.1</v>
      </c>
      <c r="AH70" s="35">
        <v>2228.9</v>
      </c>
      <c r="AI70" s="35">
        <v>2291.1</v>
      </c>
      <c r="AJ70" s="35">
        <v>2350.6999999999998</v>
      </c>
      <c r="AK70" s="35">
        <v>2420.1999999999998</v>
      </c>
      <c r="AL70" s="35">
        <v>2486.8000000000002</v>
      </c>
      <c r="AM70" s="35">
        <v>2569.9</v>
      </c>
      <c r="AN70" s="35">
        <v>2649.3</v>
      </c>
      <c r="AO70" s="35">
        <v>2718.6</v>
      </c>
      <c r="AP70" s="35">
        <v>2794.7</v>
      </c>
      <c r="AQ70" s="35">
        <v>2878.8</v>
      </c>
      <c r="AR70" s="35">
        <v>2959.2</v>
      </c>
      <c r="AS70" s="35">
        <v>3053.7</v>
      </c>
      <c r="AT70" s="35">
        <v>3153.7</v>
      </c>
      <c r="AU70" s="35">
        <v>3237.7</v>
      </c>
      <c r="AV70" s="35">
        <v>3321.8</v>
      </c>
      <c r="AW70" s="35">
        <v>3404</v>
      </c>
      <c r="AX70" s="35">
        <v>3476.9</v>
      </c>
      <c r="AY70" s="35">
        <v>3549</v>
      </c>
      <c r="AZ70" s="35">
        <v>3627.3</v>
      </c>
      <c r="BA70" s="35">
        <v>3693.7</v>
      </c>
      <c r="BB70" s="35">
        <v>3750.5</v>
      </c>
      <c r="BC70" s="35">
        <v>3808.2</v>
      </c>
      <c r="BD70" s="35">
        <v>3879.8</v>
      </c>
      <c r="BE70" s="35">
        <v>3941.8</v>
      </c>
      <c r="BF70" s="35">
        <v>4019.2</v>
      </c>
      <c r="BG70" s="35">
        <v>4089.3</v>
      </c>
      <c r="BH70" s="35">
        <v>4162.3999999999996</v>
      </c>
      <c r="BI70" s="35">
        <v>4231.2</v>
      </c>
      <c r="BJ70" s="35">
        <v>4311.1000000000004</v>
      </c>
      <c r="BK70" s="35">
        <v>4377.3</v>
      </c>
      <c r="BL70" s="35">
        <v>4442.3999999999996</v>
      </c>
      <c r="BM70" s="35">
        <v>4505.8</v>
      </c>
      <c r="BN70" s="35">
        <v>4566.7</v>
      </c>
      <c r="BO70" s="35">
        <v>4622.3</v>
      </c>
      <c r="BP70" s="35">
        <v>4679.8</v>
      </c>
      <c r="BQ70" s="35">
        <v>4743.8999999999996</v>
      </c>
      <c r="BR70" s="35">
        <v>4812.7</v>
      </c>
      <c r="BS70" s="35">
        <v>4884.8</v>
      </c>
      <c r="BT70" s="35">
        <v>4960.7</v>
      </c>
      <c r="BU70" s="35">
        <v>5039.5</v>
      </c>
      <c r="BV70" s="35">
        <v>5118.5</v>
      </c>
      <c r="BW70" s="35">
        <v>5208.2</v>
      </c>
      <c r="BX70" s="35">
        <v>5310.8</v>
      </c>
      <c r="BY70" s="35">
        <v>5397.4</v>
      </c>
      <c r="BZ70" s="35">
        <v>5494.6</v>
      </c>
      <c r="CA70" s="35">
        <v>5594.2</v>
      </c>
      <c r="CB70" s="35">
        <v>5676.2</v>
      </c>
      <c r="CC70" s="35">
        <v>5757.8</v>
      </c>
      <c r="CD70" s="35">
        <v>5861.1</v>
      </c>
      <c r="CE70" s="35">
        <v>5967.9</v>
      </c>
      <c r="CF70" s="35">
        <v>6059.7</v>
      </c>
      <c r="CG70" s="35">
        <v>6145</v>
      </c>
      <c r="CH70" s="35">
        <v>6245.3</v>
      </c>
      <c r="CI70" s="35">
        <v>6330.9</v>
      </c>
      <c r="CJ70" s="35">
        <v>6420.1</v>
      </c>
      <c r="CK70" s="35">
        <v>6498.5</v>
      </c>
      <c r="CL70" s="35">
        <v>6563.6</v>
      </c>
      <c r="CM70" s="35">
        <v>6644.8</v>
      </c>
      <c r="CN70" s="35">
        <v>6720.3</v>
      </c>
      <c r="CO70" s="35">
        <v>6810.7</v>
      </c>
      <c r="CP70" s="35">
        <v>6894.1</v>
      </c>
      <c r="CQ70" s="35">
        <v>6981.5</v>
      </c>
      <c r="CR70" s="35">
        <v>7070.5</v>
      </c>
      <c r="CS70" s="35">
        <v>7157.4</v>
      </c>
      <c r="CT70" s="35">
        <v>7240.6</v>
      </c>
      <c r="CU70" s="35">
        <v>7325</v>
      </c>
      <c r="CV70" s="35">
        <v>7417.5</v>
      </c>
      <c r="CW70" s="35">
        <v>7508.8</v>
      </c>
      <c r="CX70" s="35">
        <v>7601.1</v>
      </c>
      <c r="CY70" s="35">
        <v>7690.1</v>
      </c>
      <c r="CZ70" s="35">
        <v>7780.7</v>
      </c>
      <c r="DA70" s="35">
        <v>7872.4</v>
      </c>
      <c r="DB70" s="35">
        <v>7965.6</v>
      </c>
      <c r="DC70" s="35">
        <v>8057.5</v>
      </c>
      <c r="DD70" s="35">
        <v>8147.2</v>
      </c>
      <c r="DE70" s="35">
        <v>8258.6</v>
      </c>
      <c r="DF70" s="35">
        <v>8380</v>
      </c>
      <c r="DG70" s="35">
        <v>8472.9</v>
      </c>
      <c r="DH70" s="35">
        <v>8589.9</v>
      </c>
      <c r="DI70" s="35">
        <v>8701.5</v>
      </c>
      <c r="DJ70" s="35">
        <v>8800.1</v>
      </c>
      <c r="DK70" s="35">
        <v>8909.9</v>
      </c>
      <c r="DL70" s="35">
        <v>9039.1</v>
      </c>
      <c r="DM70" s="35">
        <v>9156.7999999999993</v>
      </c>
      <c r="DN70" s="35">
        <v>9281</v>
      </c>
      <c r="DO70" s="35">
        <v>9412.7000000000007</v>
      </c>
      <c r="DP70" s="35">
        <v>9544.2999999999993</v>
      </c>
      <c r="DQ70" s="35">
        <v>9697.4</v>
      </c>
      <c r="DR70" s="35">
        <v>9863.7000000000007</v>
      </c>
      <c r="DS70" s="35">
        <v>10025.799999999999</v>
      </c>
      <c r="DT70" s="35">
        <v>10182.1</v>
      </c>
      <c r="DU70" s="35">
        <v>10330.9</v>
      </c>
      <c r="DV70" s="35">
        <v>10488.7</v>
      </c>
      <c r="DW70" s="35">
        <v>10638</v>
      </c>
      <c r="DX70" s="35">
        <v>10761.5</v>
      </c>
      <c r="DY70" s="35">
        <v>10872.9</v>
      </c>
      <c r="DZ70" s="35">
        <v>10982.4</v>
      </c>
      <c r="EA70" s="35">
        <v>11092.8</v>
      </c>
      <c r="EB70" s="35">
        <v>11217.6</v>
      </c>
      <c r="EC70" s="35">
        <v>11352.6</v>
      </c>
      <c r="ED70" s="35">
        <v>11480.2</v>
      </c>
      <c r="EE70" s="35">
        <v>11591.6</v>
      </c>
      <c r="EF70" s="35">
        <v>11729.6</v>
      </c>
      <c r="EG70" s="35">
        <v>11875.4</v>
      </c>
      <c r="EH70" s="35">
        <v>12035.1</v>
      </c>
      <c r="EI70" s="35">
        <v>12209.2</v>
      </c>
      <c r="EJ70" s="35">
        <v>12367.3</v>
      </c>
      <c r="EK70" s="35">
        <v>12544.3</v>
      </c>
      <c r="EL70" s="35">
        <v>12725</v>
      </c>
      <c r="EM70" s="35">
        <v>12896.8</v>
      </c>
      <c r="EN70" s="35">
        <v>13092.9</v>
      </c>
      <c r="EO70" s="35">
        <v>13276.8</v>
      </c>
      <c r="EP70" s="35">
        <v>13447.2</v>
      </c>
      <c r="EQ70" s="35">
        <v>13642.3</v>
      </c>
      <c r="ER70" s="35">
        <v>13810.9</v>
      </c>
      <c r="ES70" s="35">
        <v>13933.5</v>
      </c>
      <c r="ET70" s="35">
        <v>14138.2</v>
      </c>
      <c r="EU70" s="35">
        <v>14305</v>
      </c>
      <c r="EV70" s="35">
        <v>14452.7</v>
      </c>
      <c r="EW70" s="35">
        <v>14587.3</v>
      </c>
      <c r="EX70" s="35">
        <v>14711.2</v>
      </c>
      <c r="EY70" s="35">
        <v>14856.4</v>
      </c>
      <c r="EZ70" s="35">
        <v>15036.4</v>
      </c>
      <c r="FA70" s="35">
        <v>15135.9</v>
      </c>
      <c r="FB70" s="35">
        <v>15187.1</v>
      </c>
      <c r="FC70" s="35">
        <v>15214.9</v>
      </c>
      <c r="FD70" s="35">
        <v>15282.7</v>
      </c>
      <c r="FE70" s="35">
        <v>15382.7</v>
      </c>
      <c r="FF70" s="35">
        <v>15474.9</v>
      </c>
      <c r="FG70" s="35">
        <v>15602.3</v>
      </c>
      <c r="FH70" s="35">
        <v>15704</v>
      </c>
      <c r="FI70" s="35">
        <v>15853.1</v>
      </c>
      <c r="FJ70" s="35">
        <v>15994.4</v>
      </c>
      <c r="FK70" s="35">
        <v>16162.4</v>
      </c>
      <c r="FL70" s="35">
        <v>16327.4</v>
      </c>
      <c r="FM70" s="35">
        <v>16414</v>
      </c>
      <c r="FN70" s="35">
        <v>16582.599999999999</v>
      </c>
      <c r="FO70" s="35">
        <v>16720.900000000001</v>
      </c>
      <c r="FP70" s="35">
        <v>16880.7</v>
      </c>
      <c r="FQ70" s="35">
        <v>17041.599999999999</v>
      </c>
      <c r="FR70" s="35">
        <v>17186.5</v>
      </c>
      <c r="FS70" s="35">
        <v>17313.400000000001</v>
      </c>
      <c r="FT70" s="35">
        <v>17474.099999999999</v>
      </c>
      <c r="FU70" s="35">
        <v>17659</v>
      </c>
      <c r="FV70" s="35">
        <v>17814.7</v>
      </c>
      <c r="FW70" s="35">
        <v>17998.599999999999</v>
      </c>
      <c r="FX70" s="35">
        <v>18162.2</v>
      </c>
      <c r="FY70" s="35">
        <v>18278.3</v>
      </c>
      <c r="FZ70" s="35">
        <v>18357.900000000001</v>
      </c>
      <c r="GA70" s="35">
        <v>18544.099999999999</v>
      </c>
      <c r="GB70" s="35">
        <v>18685.8</v>
      </c>
      <c r="GC70" s="35">
        <v>18769.3</v>
      </c>
      <c r="GD70" s="35">
        <v>18838.599999999999</v>
      </c>
      <c r="GE70" s="35">
        <v>19055.8</v>
      </c>
      <c r="GF70" s="35">
        <v>19192</v>
      </c>
      <c r="GG70" s="35">
        <v>19376.099999999999</v>
      </c>
      <c r="GH70" s="35">
        <v>19558.400000000001</v>
      </c>
      <c r="GI70" s="35">
        <v>19705.3</v>
      </c>
      <c r="GJ70" s="35">
        <v>19890.3</v>
      </c>
      <c r="GK70" s="35">
        <v>20121.400000000001</v>
      </c>
      <c r="GL70" s="35">
        <v>20323.2</v>
      </c>
      <c r="GM70" s="35">
        <v>20599.8</v>
      </c>
      <c r="GN70" s="35">
        <v>20765.8</v>
      </c>
      <c r="GO70" s="35">
        <v>20973.5</v>
      </c>
      <c r="GP70" s="35">
        <v>21137.200000000001</v>
      </c>
      <c r="GQ70" s="35">
        <v>21359.3</v>
      </c>
      <c r="GR70" s="35">
        <v>21530.6</v>
      </c>
      <c r="GS70" s="35">
        <v>21720.799999999999</v>
      </c>
      <c r="GT70" s="35">
        <v>21892.1</v>
      </c>
      <c r="GU70" s="35">
        <v>21894.2</v>
      </c>
      <c r="GV70" s="35">
        <v>22182.3</v>
      </c>
      <c r="GW70" s="35">
        <v>22383.3</v>
      </c>
      <c r="GX70" s="35">
        <v>22719.200000000001</v>
      </c>
      <c r="GY70" s="35">
        <v>23169.200000000001</v>
      </c>
      <c r="GZ70" s="35">
        <v>23612</v>
      </c>
      <c r="HA70" s="35">
        <v>24134.2</v>
      </c>
      <c r="HB70" s="35">
        <v>24577</v>
      </c>
      <c r="HC70">
        <v>24971.1</v>
      </c>
      <c r="HD70">
        <v>25289.599999999999</v>
      </c>
      <c r="HE70">
        <v>25591.4</v>
      </c>
    </row>
    <row r="71" spans="1:213" x14ac:dyDescent="0.35">
      <c r="A71" s="35" t="s">
        <v>2169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2170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5152</v>
      </c>
      <c r="GM72" s="35">
        <v>5177.6666666666697</v>
      </c>
      <c r="GN72" s="35">
        <v>5182.6666666666697</v>
      </c>
      <c r="GO72" s="35">
        <v>5174</v>
      </c>
      <c r="GP72" s="35">
        <v>5175</v>
      </c>
      <c r="GQ72" s="35">
        <v>5182</v>
      </c>
      <c r="GR72" s="35">
        <v>5214.6666666666697</v>
      </c>
      <c r="GS72" s="35">
        <v>5244</v>
      </c>
      <c r="GT72" s="35">
        <v>5273.6666666666697</v>
      </c>
      <c r="GU72" s="35">
        <v>5082.3333333333303</v>
      </c>
      <c r="GV72" s="35">
        <v>5100</v>
      </c>
      <c r="GW72" s="35">
        <v>5078</v>
      </c>
      <c r="GX72" s="35">
        <v>5160.3333333333303</v>
      </c>
      <c r="GY72" s="35">
        <v>5218.3333333333303</v>
      </c>
      <c r="GZ72" s="35">
        <v>5230.3333333333303</v>
      </c>
      <c r="HA72" s="35">
        <v>5227</v>
      </c>
      <c r="HB72" s="35">
        <v>5214.6666666666697</v>
      </c>
      <c r="HC72">
        <v>5238</v>
      </c>
      <c r="HD72">
        <v>5260</v>
      </c>
      <c r="HE72">
        <v>5277</v>
      </c>
    </row>
    <row r="73" spans="1:213" x14ac:dyDescent="0.35">
      <c r="A73" s="35" t="s">
        <v>2171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14453.666666666701</v>
      </c>
      <c r="GM73" s="35">
        <v>14486</v>
      </c>
      <c r="GN73" s="35">
        <v>14482</v>
      </c>
      <c r="GO73" s="35">
        <v>14507</v>
      </c>
      <c r="GP73" s="35">
        <v>14550</v>
      </c>
      <c r="GQ73" s="35">
        <v>14587.666666666701</v>
      </c>
      <c r="GR73" s="35">
        <v>14542.666666666701</v>
      </c>
      <c r="GS73" s="35">
        <v>14625.666666666701</v>
      </c>
      <c r="GT73" s="35">
        <v>14691.333333333299</v>
      </c>
      <c r="GU73" s="35">
        <v>13620</v>
      </c>
      <c r="GV73" s="35">
        <v>13637.333333333299</v>
      </c>
      <c r="GW73" s="35">
        <v>13719</v>
      </c>
      <c r="GX73" s="35">
        <v>13769.666666666701</v>
      </c>
      <c r="GY73" s="35">
        <v>13862.333333333299</v>
      </c>
      <c r="GZ73" s="35">
        <v>13978</v>
      </c>
      <c r="HA73" s="35">
        <v>14009.333333333299</v>
      </c>
      <c r="HB73" s="35">
        <v>14071.666666666701</v>
      </c>
      <c r="HC73">
        <v>14093.333333333299</v>
      </c>
      <c r="HD73">
        <v>14186</v>
      </c>
      <c r="HE73">
        <v>14270.333333333299</v>
      </c>
    </row>
    <row r="74" spans="1:213" x14ac:dyDescent="0.35">
      <c r="A74" s="35" t="s">
        <v>2172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row>
    <row r="75" spans="1:213" x14ac:dyDescent="0.35">
      <c r="A75" s="35" t="s">
        <v>2173</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8.5596682154103192E-3</v>
      </c>
    </row>
    <row r="76" spans="1:213" x14ac:dyDescent="0.35">
      <c r="A76" s="35" t="s">
        <v>2174</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7.7973497091143899E-3</v>
      </c>
    </row>
    <row r="77" spans="1:213" x14ac:dyDescent="0.35">
      <c r="A77" s="35" t="s">
        <v>2175</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7.0598040577531896E-3</v>
      </c>
    </row>
    <row r="78" spans="1:213" x14ac:dyDescent="0.35">
      <c r="A78" s="35" t="s">
        <v>2176</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7.6714474237569198E-3</v>
      </c>
    </row>
    <row r="79" spans="1:213" x14ac:dyDescent="0.35">
      <c r="A79" s="35" t="s">
        <v>2177</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6.5767432375349903E-3</v>
      </c>
    </row>
    <row r="80" spans="1:213" x14ac:dyDescent="0.35">
      <c r="A80" s="35" t="s">
        <v>2178</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5">
      <c r="A81" s="35" t="s">
        <v>2179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11259.5</v>
      </c>
      <c r="HE81">
        <v>11398</v>
      </c>
    </row>
    <row r="82" spans="1:213" x14ac:dyDescent="0.35">
      <c r="A82" s="35" t="s">
        <v>2180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1871.6</v>
      </c>
    </row>
    <row r="83" spans="1:213" x14ac:dyDescent="0.35">
      <c r="A83" s="35" t="s">
        <v>2181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808.3</v>
      </c>
    </row>
    <row r="84" spans="1:213" x14ac:dyDescent="0.35">
      <c r="A84" s="35" t="s">
        <v>2182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3413.5</v>
      </c>
    </row>
    <row r="85" spans="1:213" x14ac:dyDescent="0.35">
      <c r="A85" s="35" t="s">
        <v>2183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2553.1999999999998</v>
      </c>
    </row>
    <row r="86" spans="1:213" x14ac:dyDescent="0.35">
      <c r="A86" s="35" t="s">
        <v>2184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2185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2186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1225318</v>
      </c>
    </row>
    <row r="89" spans="1:213" x14ac:dyDescent="0.35">
      <c r="A89" s="35" t="s">
        <v>2187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1886</v>
      </c>
      <c r="E2" s="61" t="s">
        <v>1886</v>
      </c>
      <c r="F2" s="61"/>
      <c r="H2" s="62"/>
    </row>
    <row r="3" spans="1:11" x14ac:dyDescent="0.35">
      <c r="B3" s="56" t="s">
        <v>91</v>
      </c>
      <c r="C3" s="56" t="str">
        <f>'Haver Pivoted'!A2</f>
        <v>gdp</v>
      </c>
      <c r="D3">
        <v>26132.5</v>
      </c>
      <c r="E3" s="56">
        <f>'Haver Pivoted'!HE2</f>
        <v>26132.5</v>
      </c>
      <c r="F3" s="56">
        <f>E3-D3</f>
        <v>0</v>
      </c>
      <c r="G3" s="63">
        <f>F3/D3</f>
        <v>0</v>
      </c>
      <c r="H3" s="64"/>
    </row>
    <row r="4" spans="1:11" x14ac:dyDescent="0.35">
      <c r="B4" s="56" t="s">
        <v>92</v>
      </c>
      <c r="C4" s="56" t="str">
        <f>'Haver Pivoted'!A3</f>
        <v>gdph</v>
      </c>
      <c r="D4">
        <v>20198.099999999999</v>
      </c>
      <c r="E4" s="56">
        <f>'Haver Pivoted'!HE3</f>
        <v>20198.099999999999</v>
      </c>
      <c r="F4" s="56">
        <f t="shared" ref="F4:F67" si="0">E4-D4</f>
        <v>0</v>
      </c>
      <c r="G4" s="63">
        <f t="shared" ref="G4:G67" si="1">F4/D4</f>
        <v>0</v>
      </c>
      <c r="H4" s="64"/>
    </row>
    <row r="5" spans="1:11" x14ac:dyDescent="0.35">
      <c r="B5" s="56" t="s">
        <v>93</v>
      </c>
      <c r="C5" s="56" t="str">
        <f>'Haver Pivoted'!A4</f>
        <v>jgdp</v>
      </c>
      <c r="D5">
        <v>129.374</v>
      </c>
      <c r="E5" s="56">
        <f>'Haver Pivoted'!HE4</f>
        <v>129.374</v>
      </c>
      <c r="F5" s="56">
        <f t="shared" si="0"/>
        <v>0</v>
      </c>
      <c r="G5" s="63">
        <f t="shared" si="1"/>
        <v>0</v>
      </c>
      <c r="H5" s="65"/>
    </row>
    <row r="6" spans="1:11" x14ac:dyDescent="0.35">
      <c r="B6" s="56" t="s">
        <v>94</v>
      </c>
      <c r="C6" s="56" t="str">
        <f>'Haver Pivoted'!A5</f>
        <v>c</v>
      </c>
      <c r="D6">
        <v>17771.3</v>
      </c>
      <c r="E6" s="56">
        <f>'Haver Pivoted'!HE5</f>
        <v>17771.3</v>
      </c>
      <c r="F6" s="56">
        <f t="shared" si="0"/>
        <v>0</v>
      </c>
      <c r="G6" s="63">
        <f t="shared" si="1"/>
        <v>0</v>
      </c>
    </row>
    <row r="7" spans="1:11" x14ac:dyDescent="0.35">
      <c r="B7" s="56" t="s">
        <v>95</v>
      </c>
      <c r="C7" s="56" t="str">
        <f>'Haver Pivoted'!A6</f>
        <v>ch</v>
      </c>
      <c r="D7">
        <v>14252.2</v>
      </c>
      <c r="E7" s="56">
        <f>'Haver Pivoted'!HE6</f>
        <v>14252.2</v>
      </c>
      <c r="F7" s="56">
        <f t="shared" si="0"/>
        <v>0</v>
      </c>
      <c r="G7" s="63">
        <f t="shared" si="1"/>
        <v>0</v>
      </c>
      <c r="K7" s="65"/>
    </row>
    <row r="8" spans="1:11" x14ac:dyDescent="0.35">
      <c r="B8" s="56" t="s">
        <v>96</v>
      </c>
      <c r="C8" s="56" t="str">
        <f>'Haver Pivoted'!A7</f>
        <v>jc</v>
      </c>
      <c r="D8">
        <v>124.72499999999999</v>
      </c>
      <c r="E8" s="56">
        <f>'Haver Pivoted'!HE7</f>
        <v>124.72499999999999</v>
      </c>
      <c r="F8" s="56">
        <f t="shared" si="0"/>
        <v>0</v>
      </c>
      <c r="G8" s="63">
        <f t="shared" si="1"/>
        <v>0</v>
      </c>
    </row>
    <row r="9" spans="1:11" x14ac:dyDescent="0.35">
      <c r="B9" s="56" t="s">
        <v>97</v>
      </c>
      <c r="C9" s="56" t="str">
        <f>'Haver Pivoted'!A8</f>
        <v>jgf</v>
      </c>
      <c r="D9">
        <v>123.247</v>
      </c>
      <c r="E9" s="56">
        <f>'Haver Pivoted'!HE8</f>
        <v>123.247</v>
      </c>
      <c r="F9" s="56">
        <f t="shared" si="0"/>
        <v>0</v>
      </c>
      <c r="G9" s="63">
        <f t="shared" si="1"/>
        <v>0</v>
      </c>
    </row>
    <row r="10" spans="1:11" x14ac:dyDescent="0.35">
      <c r="B10" s="56" t="s">
        <v>98</v>
      </c>
      <c r="C10" s="56" t="str">
        <f>'Haver Pivoted'!A9</f>
        <v>jgs</v>
      </c>
      <c r="D10">
        <v>138.97200000000001</v>
      </c>
      <c r="E10" s="56">
        <f>'Haver Pivoted'!HE9</f>
        <v>138.97200000000001</v>
      </c>
      <c r="F10" s="56">
        <f t="shared" si="0"/>
        <v>0</v>
      </c>
      <c r="G10" s="63">
        <f t="shared" si="1"/>
        <v>0</v>
      </c>
    </row>
    <row r="11" spans="1:11" x14ac:dyDescent="0.35">
      <c r="B11" s="56" t="s">
        <v>99</v>
      </c>
      <c r="C11" s="56" t="str">
        <f>'Haver Pivoted'!A10</f>
        <v>jgse</v>
      </c>
      <c r="D11">
        <v>138.20500000000001</v>
      </c>
      <c r="E11" s="56">
        <f>'Haver Pivoted'!HE10</f>
        <v>138.20500000000001</v>
      </c>
      <c r="F11" s="56">
        <f t="shared" si="0"/>
        <v>0</v>
      </c>
      <c r="G11" s="63">
        <f t="shared" si="1"/>
        <v>0</v>
      </c>
    </row>
    <row r="12" spans="1:11" x14ac:dyDescent="0.35">
      <c r="B12" s="56" t="s">
        <v>100</v>
      </c>
      <c r="C12" s="56" t="str">
        <f>'Haver Pivoted'!A11</f>
        <v>jgsi</v>
      </c>
      <c r="D12">
        <v>142.75</v>
      </c>
      <c r="E12" s="56">
        <f>'Haver Pivoted'!HE11</f>
        <v>142.75</v>
      </c>
      <c r="F12" s="56">
        <f t="shared" si="0"/>
        <v>0</v>
      </c>
      <c r="G12" s="63">
        <f t="shared" si="1"/>
        <v>0</v>
      </c>
    </row>
    <row r="13" spans="1:11" x14ac:dyDescent="0.35">
      <c r="A13" s="56" t="s">
        <v>55</v>
      </c>
      <c r="B13" s="56" t="s">
        <v>55</v>
      </c>
      <c r="C13" s="56" t="str">
        <f>'Haver Pivoted'!A12</f>
        <v>yptmr</v>
      </c>
      <c r="D13">
        <v>941.6</v>
      </c>
      <c r="E13" s="56">
        <f>'Haver Pivoted'!HE12</f>
        <v>941.6</v>
      </c>
      <c r="F13" s="56">
        <f t="shared" si="0"/>
        <v>0</v>
      </c>
      <c r="G13" s="63">
        <f t="shared" si="1"/>
        <v>0</v>
      </c>
      <c r="I13" s="66"/>
    </row>
    <row r="14" spans="1:11" x14ac:dyDescent="0.35">
      <c r="A14" s="56" t="s">
        <v>54</v>
      </c>
      <c r="B14" s="56" t="s">
        <v>101</v>
      </c>
      <c r="C14" s="56" t="str">
        <f>'Haver Pivoted'!A13</f>
        <v>yptmd</v>
      </c>
      <c r="D14">
        <v>784.6</v>
      </c>
      <c r="E14" s="56">
        <f>'Haver Pivoted'!HE13</f>
        <v>784.6</v>
      </c>
      <c r="F14" s="56">
        <f t="shared" si="0"/>
        <v>0</v>
      </c>
      <c r="G14" s="63">
        <f t="shared" si="1"/>
        <v>0</v>
      </c>
    </row>
    <row r="15" spans="1:11" x14ac:dyDescent="0.35">
      <c r="A15" s="56" t="s">
        <v>53</v>
      </c>
      <c r="B15" s="56" t="s">
        <v>102</v>
      </c>
      <c r="C15" s="56" t="str">
        <f>'Haver Pivoted'!A14</f>
        <v>yptu</v>
      </c>
      <c r="D15">
        <v>20.399999999999999</v>
      </c>
      <c r="E15" s="56">
        <f>'Haver Pivoted'!HE14</f>
        <v>20.399999999999999</v>
      </c>
      <c r="F15" s="56">
        <f t="shared" si="0"/>
        <v>0</v>
      </c>
      <c r="G15" s="63">
        <f t="shared" si="1"/>
        <v>0</v>
      </c>
    </row>
    <row r="16" spans="1:11" x14ac:dyDescent="0.35">
      <c r="B16" s="56" t="s">
        <v>57</v>
      </c>
      <c r="C16" s="56" t="str">
        <f>'Haver Pivoted'!A15</f>
        <v>gtfp</v>
      </c>
      <c r="D16">
        <v>3913.5</v>
      </c>
      <c r="E16" s="56">
        <f>'Haver Pivoted'!HE15</f>
        <v>3913.5</v>
      </c>
      <c r="F16" s="56">
        <f t="shared" si="0"/>
        <v>0</v>
      </c>
      <c r="G16" s="63">
        <f t="shared" si="1"/>
        <v>0</v>
      </c>
    </row>
    <row r="17" spans="1:7" x14ac:dyDescent="0.35">
      <c r="B17" s="56" t="s">
        <v>103</v>
      </c>
      <c r="C17" s="56" t="str">
        <f>'Haver Pivoted'!A16</f>
        <v>ypog</v>
      </c>
      <c r="D17">
        <v>117</v>
      </c>
      <c r="E17" s="56">
        <f>'Haver Pivoted'!HE16</f>
        <v>117</v>
      </c>
      <c r="F17" s="56">
        <f t="shared" si="0"/>
        <v>0</v>
      </c>
      <c r="G17" s="63">
        <f t="shared" si="1"/>
        <v>0</v>
      </c>
    </row>
    <row r="18" spans="1:7" x14ac:dyDescent="0.35">
      <c r="B18" s="56" t="s">
        <v>104</v>
      </c>
      <c r="C18" s="56" t="str">
        <f>'Haver Pivoted'!A17</f>
        <v>yptx</v>
      </c>
      <c r="D18">
        <v>3243.3</v>
      </c>
      <c r="E18" s="56">
        <f>'Haver Pivoted'!HE17</f>
        <v>3243.3</v>
      </c>
      <c r="F18" s="56">
        <f t="shared" si="0"/>
        <v>0</v>
      </c>
      <c r="G18" s="63">
        <f t="shared" si="1"/>
        <v>0</v>
      </c>
    </row>
    <row r="19" spans="1:7" x14ac:dyDescent="0.35">
      <c r="B19" s="56" t="s">
        <v>105</v>
      </c>
      <c r="C19" s="56" t="str">
        <f>'Haver Pivoted'!A18</f>
        <v>ytpi</v>
      </c>
      <c r="D19">
        <v>1785.3</v>
      </c>
      <c r="E19" s="56">
        <f>'Haver Pivoted'!HE18</f>
        <v>1785.3</v>
      </c>
      <c r="F19" s="56">
        <f t="shared" si="0"/>
        <v>0</v>
      </c>
      <c r="G19" s="63">
        <f t="shared" si="1"/>
        <v>0</v>
      </c>
    </row>
    <row r="20" spans="1:7" x14ac:dyDescent="0.35">
      <c r="B20" s="56" t="s">
        <v>106</v>
      </c>
      <c r="C20" s="56" t="str">
        <f>'Haver Pivoted'!A19</f>
        <v>yctlg</v>
      </c>
      <c r="D20">
        <v>441.3</v>
      </c>
      <c r="E20" s="56">
        <f>'Haver Pivoted'!HE19</f>
        <v>441.3</v>
      </c>
      <c r="F20" s="56">
        <f t="shared" si="0"/>
        <v>0</v>
      </c>
      <c r="G20" s="63">
        <f t="shared" si="1"/>
        <v>0</v>
      </c>
    </row>
    <row r="21" spans="1:7" x14ac:dyDescent="0.35">
      <c r="B21" s="56" t="s">
        <v>107</v>
      </c>
      <c r="C21" s="56" t="str">
        <f>'Haver Pivoted'!A20</f>
        <v>g</v>
      </c>
      <c r="D21">
        <v>4568</v>
      </c>
      <c r="E21" s="56">
        <f>'Haver Pivoted'!HE20</f>
        <v>4568</v>
      </c>
      <c r="F21" s="56">
        <f t="shared" si="0"/>
        <v>0</v>
      </c>
      <c r="G21" s="63">
        <f t="shared" si="1"/>
        <v>0</v>
      </c>
    </row>
    <row r="22" spans="1:7" x14ac:dyDescent="0.35">
      <c r="B22" s="56" t="s">
        <v>108</v>
      </c>
      <c r="C22" s="56" t="str">
        <f>'Haver Pivoted'!A21</f>
        <v>grcsi</v>
      </c>
      <c r="D22">
        <v>1706</v>
      </c>
      <c r="E22" s="56">
        <f>'Haver Pivoted'!HE21</f>
        <v>1706</v>
      </c>
      <c r="F22" s="56">
        <f t="shared" si="0"/>
        <v>0</v>
      </c>
      <c r="G22" s="63">
        <f t="shared" si="1"/>
        <v>0</v>
      </c>
    </row>
    <row r="23" spans="1:7" x14ac:dyDescent="0.35">
      <c r="B23" s="56" t="s">
        <v>96</v>
      </c>
      <c r="C23" s="56" t="str">
        <f>'Haver Pivoted'!A22</f>
        <v>dc</v>
      </c>
      <c r="D23">
        <v>124.69199999999999</v>
      </c>
      <c r="E23" s="56">
        <f>'Haver Pivoted'!HE22</f>
        <v>124.69199999999999</v>
      </c>
      <c r="F23" s="56">
        <f t="shared" si="0"/>
        <v>0</v>
      </c>
      <c r="G23" s="63">
        <f t="shared" si="1"/>
        <v>0</v>
      </c>
    </row>
    <row r="24" spans="1:7" x14ac:dyDescent="0.35">
      <c r="A24" s="56" t="s">
        <v>109</v>
      </c>
      <c r="B24" s="56" t="s">
        <v>110</v>
      </c>
      <c r="C24" s="56" t="str">
        <f>'Haver Pivoted'!A23</f>
        <v>gf</v>
      </c>
      <c r="D24">
        <v>1693.9</v>
      </c>
      <c r="E24" s="56">
        <f>'Haver Pivoted'!HE23</f>
        <v>1693.9</v>
      </c>
      <c r="F24" s="56">
        <f t="shared" si="0"/>
        <v>0</v>
      </c>
      <c r="G24" s="63">
        <f t="shared" si="1"/>
        <v>0</v>
      </c>
    </row>
    <row r="25" spans="1:7" x14ac:dyDescent="0.35">
      <c r="A25" s="56" t="s">
        <v>109</v>
      </c>
      <c r="B25" s="56" t="s">
        <v>111</v>
      </c>
      <c r="C25" s="56" t="str">
        <f>'Haver Pivoted'!A24</f>
        <v>gs</v>
      </c>
      <c r="D25">
        <v>2874.1</v>
      </c>
      <c r="E25" s="56">
        <f>'Haver Pivoted'!HE24</f>
        <v>2874.1</v>
      </c>
      <c r="F25" s="56">
        <f t="shared" si="0"/>
        <v>0</v>
      </c>
      <c r="G25" s="63">
        <f t="shared" si="1"/>
        <v>0</v>
      </c>
    </row>
    <row r="26" spans="1:7" x14ac:dyDescent="0.35">
      <c r="B26" s="56" t="s">
        <v>112</v>
      </c>
      <c r="C26" s="56" t="str">
        <f>'Haver Pivoted'!A25</f>
        <v>gfh</v>
      </c>
      <c r="D26">
        <v>1374.1</v>
      </c>
      <c r="E26" s="56">
        <f>'Haver Pivoted'!HE25</f>
        <v>1374.1</v>
      </c>
      <c r="F26" s="56">
        <f t="shared" si="0"/>
        <v>0</v>
      </c>
      <c r="G26" s="63">
        <f t="shared" si="1"/>
        <v>0</v>
      </c>
    </row>
    <row r="27" spans="1:7" x14ac:dyDescent="0.35">
      <c r="B27" s="56" t="s">
        <v>113</v>
      </c>
      <c r="C27" s="56" t="str">
        <f>'Haver Pivoted'!A26</f>
        <v>gsh</v>
      </c>
      <c r="D27">
        <v>2068.3000000000002</v>
      </c>
      <c r="E27" s="56">
        <f>'Haver Pivoted'!HE26</f>
        <v>2068.3000000000002</v>
      </c>
      <c r="F27" s="56">
        <f t="shared" si="0"/>
        <v>0</v>
      </c>
      <c r="G27" s="63">
        <f t="shared" si="1"/>
        <v>0</v>
      </c>
    </row>
    <row r="28" spans="1:7" x14ac:dyDescent="0.35">
      <c r="A28" s="56" t="s">
        <v>58</v>
      </c>
      <c r="B28" s="56" t="s">
        <v>114</v>
      </c>
      <c r="C28" s="56" t="s">
        <v>115</v>
      </c>
      <c r="D28">
        <v>2654.8</v>
      </c>
      <c r="E28" s="56">
        <f>'Haver Pivoted'!HE27</f>
        <v>2654.8</v>
      </c>
      <c r="F28" s="56">
        <f t="shared" si="0"/>
        <v>0</v>
      </c>
      <c r="G28" s="63">
        <f t="shared" si="1"/>
        <v>0</v>
      </c>
    </row>
    <row r="29" spans="1:7" x14ac:dyDescent="0.35">
      <c r="A29" s="56" t="s">
        <v>58</v>
      </c>
      <c r="B29" s="56" t="s">
        <v>116</v>
      </c>
      <c r="C29" s="56" t="s">
        <v>117</v>
      </c>
      <c r="D29">
        <v>192.5</v>
      </c>
      <c r="E29" s="56">
        <f>'Haver Pivoted'!HE28</f>
        <v>192.5</v>
      </c>
      <c r="F29" s="56">
        <f t="shared" si="0"/>
        <v>0</v>
      </c>
      <c r="G29" s="63">
        <f t="shared" si="1"/>
        <v>0</v>
      </c>
    </row>
    <row r="30" spans="1:7" x14ac:dyDescent="0.35">
      <c r="A30" s="56" t="s">
        <v>58</v>
      </c>
      <c r="B30" s="56" t="s">
        <v>118</v>
      </c>
      <c r="C30" s="56" t="s">
        <v>119</v>
      </c>
      <c r="D30">
        <v>340.6</v>
      </c>
      <c r="E30" s="56">
        <f>'Haver Pivoted'!HE29</f>
        <v>340.6</v>
      </c>
      <c r="F30" s="56">
        <f t="shared" si="0"/>
        <v>0</v>
      </c>
      <c r="G30" s="63">
        <f t="shared" si="1"/>
        <v>0</v>
      </c>
    </row>
    <row r="31" spans="1:7" x14ac:dyDescent="0.35">
      <c r="A31" s="56" t="s">
        <v>58</v>
      </c>
      <c r="B31" s="56" t="s">
        <v>120</v>
      </c>
      <c r="C31" s="56" t="s">
        <v>121</v>
      </c>
      <c r="D31">
        <v>1681.5</v>
      </c>
      <c r="E31" s="56">
        <f>'Haver Pivoted'!HE30</f>
        <v>1681.5</v>
      </c>
      <c r="F31" s="56">
        <f t="shared" si="0"/>
        <v>0</v>
      </c>
      <c r="G31" s="63">
        <f t="shared" si="1"/>
        <v>0</v>
      </c>
    </row>
    <row r="32" spans="1:7" x14ac:dyDescent="0.35">
      <c r="A32" s="56" t="s">
        <v>122</v>
      </c>
      <c r="B32" s="56" t="s">
        <v>123</v>
      </c>
      <c r="C32" s="56" t="str">
        <f>'Haver Pivoted'!A31</f>
        <v>gftfp</v>
      </c>
      <c r="D32">
        <v>2879.8</v>
      </c>
      <c r="E32" s="56">
        <f>'Haver Pivoted'!HE31</f>
        <v>2879.8</v>
      </c>
      <c r="F32" s="56">
        <f t="shared" si="0"/>
        <v>0</v>
      </c>
      <c r="G32" s="63">
        <f t="shared" si="1"/>
        <v>0</v>
      </c>
    </row>
    <row r="33" spans="1:10" x14ac:dyDescent="0.35">
      <c r="A33" s="56" t="s">
        <v>51</v>
      </c>
      <c r="B33" s="55" t="s">
        <v>124</v>
      </c>
      <c r="C33" s="56" t="str">
        <f>'Haver Pivoted'!A32</f>
        <v>gfeg</v>
      </c>
      <c r="D33">
        <v>918.1</v>
      </c>
      <c r="E33" s="56">
        <f>'Haver Pivoted'!HE32</f>
        <v>918.1</v>
      </c>
      <c r="F33" s="56">
        <f t="shared" si="0"/>
        <v>0</v>
      </c>
      <c r="G33" s="63">
        <f t="shared" si="1"/>
        <v>0</v>
      </c>
    </row>
    <row r="34" spans="1:10" x14ac:dyDescent="0.35">
      <c r="A34" s="56" t="s">
        <v>58</v>
      </c>
      <c r="B34" s="56" t="s">
        <v>125</v>
      </c>
      <c r="C34" s="56" t="str">
        <f>'Haver Pivoted'!A33</f>
        <v>gsrpt</v>
      </c>
      <c r="D34">
        <v>588.5</v>
      </c>
      <c r="E34" s="56">
        <f>'Haver Pivoted'!HE33</f>
        <v>588.5</v>
      </c>
      <c r="F34" s="56">
        <f t="shared" si="0"/>
        <v>0</v>
      </c>
      <c r="G34" s="63">
        <f t="shared" si="1"/>
        <v>0</v>
      </c>
    </row>
    <row r="35" spans="1:10" x14ac:dyDescent="0.35">
      <c r="A35" s="56" t="s">
        <v>58</v>
      </c>
      <c r="B35" s="56" t="s">
        <v>126</v>
      </c>
      <c r="C35" s="56" t="str">
        <f>'Haver Pivoted'!A34</f>
        <v>gsrpri</v>
      </c>
      <c r="D35">
        <v>1592.8</v>
      </c>
      <c r="E35" s="56">
        <f>'Haver Pivoted'!HE34</f>
        <v>1592.8</v>
      </c>
      <c r="F35" s="56">
        <f t="shared" si="0"/>
        <v>0</v>
      </c>
      <c r="G35" s="63">
        <f t="shared" si="1"/>
        <v>0</v>
      </c>
    </row>
    <row r="36" spans="1:10" x14ac:dyDescent="0.35">
      <c r="A36" s="56" t="s">
        <v>58</v>
      </c>
      <c r="B36" s="56" t="s">
        <v>127</v>
      </c>
      <c r="C36" s="56" t="str">
        <f>'Haver Pivoted'!A35</f>
        <v>gsrcp</v>
      </c>
      <c r="D36">
        <v>0</v>
      </c>
      <c r="E36" s="56">
        <f>'Haver Pivoted'!HE35</f>
        <v>0</v>
      </c>
      <c r="F36" s="56">
        <f t="shared" si="0"/>
        <v>0</v>
      </c>
      <c r="G36" s="63" t="e">
        <f t="shared" si="1"/>
        <v>#DIV/0!</v>
      </c>
    </row>
    <row r="37" spans="1:10" x14ac:dyDescent="0.35">
      <c r="A37" s="56" t="s">
        <v>58</v>
      </c>
      <c r="B37" s="56" t="s">
        <v>128</v>
      </c>
      <c r="C37" s="56" t="str">
        <f>'Haver Pivoted'!A36</f>
        <v>gsrs</v>
      </c>
      <c r="D37">
        <v>24.5</v>
      </c>
      <c r="E37" s="56">
        <f>'Haver Pivoted'!HE36</f>
        <v>24.5</v>
      </c>
      <c r="F37" s="56">
        <f t="shared" si="0"/>
        <v>0</v>
      </c>
      <c r="G37" s="63">
        <f t="shared" si="1"/>
        <v>0</v>
      </c>
    </row>
    <row r="38" spans="1:10" x14ac:dyDescent="0.35">
      <c r="A38" s="56" t="s">
        <v>57</v>
      </c>
      <c r="B38" s="56" t="s">
        <v>129</v>
      </c>
      <c r="C38" s="56" t="str">
        <f>'Haver Pivoted'!A37</f>
        <v>gstfp</v>
      </c>
      <c r="D38">
        <v>1033.7</v>
      </c>
      <c r="E38" s="56">
        <f>'Haver Pivoted'!HE37</f>
        <v>1033.7</v>
      </c>
      <c r="F38" s="56">
        <f t="shared" si="0"/>
        <v>0</v>
      </c>
      <c r="G38" s="63">
        <f t="shared" si="1"/>
        <v>0</v>
      </c>
    </row>
    <row r="39" spans="1:10" x14ac:dyDescent="0.35">
      <c r="B39" s="56" t="s">
        <v>130</v>
      </c>
      <c r="C39" s="56" t="str">
        <f>'Haver Pivoted'!A38</f>
        <v>gset</v>
      </c>
      <c r="D39">
        <v>3808.6</v>
      </c>
      <c r="E39" s="56">
        <f>'Haver Pivoted'!HE38</f>
        <v>3808.6</v>
      </c>
      <c r="F39" s="56">
        <f t="shared" si="0"/>
        <v>0</v>
      </c>
      <c r="G39" s="63">
        <f t="shared" si="1"/>
        <v>0</v>
      </c>
    </row>
    <row r="40" spans="1:10" x14ac:dyDescent="0.35">
      <c r="B40" s="56" t="s">
        <v>131</v>
      </c>
      <c r="C40" s="56" t="str">
        <f>'Haver Pivoted'!A39</f>
        <v>gfeghhx</v>
      </c>
      <c r="D40">
        <v>636.61</v>
      </c>
      <c r="E40" s="56">
        <f>'Haver Pivoted'!HE39</f>
        <v>636.61</v>
      </c>
      <c r="F40" s="56">
        <f t="shared" si="0"/>
        <v>0</v>
      </c>
      <c r="G40" s="63">
        <f t="shared" si="1"/>
        <v>0</v>
      </c>
    </row>
    <row r="41" spans="1:10" x14ac:dyDescent="0.35">
      <c r="A41" s="56" t="s">
        <v>132</v>
      </c>
      <c r="B41" s="56" t="s">
        <v>133</v>
      </c>
      <c r="C41" s="56" t="str">
        <f>'Haver Pivoted'!A40</f>
        <v>gfeghdx</v>
      </c>
      <c r="D41">
        <v>604.79499999999996</v>
      </c>
      <c r="E41" s="56">
        <f>'Haver Pivoted'!HE40</f>
        <v>604.79499999999996</v>
      </c>
      <c r="F41" s="56">
        <f t="shared" si="0"/>
        <v>0</v>
      </c>
      <c r="G41" s="63">
        <f t="shared" si="1"/>
        <v>0</v>
      </c>
    </row>
    <row r="42" spans="1:10" x14ac:dyDescent="0.35">
      <c r="A42" s="56" t="s">
        <v>51</v>
      </c>
      <c r="B42" s="56" t="s">
        <v>134</v>
      </c>
      <c r="C42" s="56" t="str">
        <f>'Haver Pivoted'!A41</f>
        <v>gfeigx</v>
      </c>
      <c r="D42">
        <v>76.164000000000001</v>
      </c>
      <c r="E42" s="56">
        <f>'Haver Pivoted'!HE41</f>
        <v>76.164000000000001</v>
      </c>
      <c r="F42" s="56">
        <f t="shared" si="0"/>
        <v>0</v>
      </c>
      <c r="G42" s="63">
        <f t="shared" si="1"/>
        <v>0</v>
      </c>
    </row>
    <row r="43" spans="1:10" x14ac:dyDescent="0.35">
      <c r="B43" s="56" t="s">
        <v>135</v>
      </c>
      <c r="C43" s="56" t="str">
        <f>'Haver Pivoted'!A42</f>
        <v>gfsub</v>
      </c>
      <c r="D43">
        <v>107.6</v>
      </c>
      <c r="E43" s="56">
        <f>'Haver Pivoted'!HE42</f>
        <v>107.6</v>
      </c>
      <c r="F43" s="56">
        <f t="shared" si="0"/>
        <v>0</v>
      </c>
      <c r="G43" s="63">
        <f t="shared" si="1"/>
        <v>0</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108.3</v>
      </c>
      <c r="E45" s="56">
        <f>'Haver Pivoted'!HE44</f>
        <v>108.3</v>
      </c>
      <c r="F45" s="56">
        <f t="shared" si="0"/>
        <v>0</v>
      </c>
      <c r="G45" s="63">
        <f t="shared" si="1"/>
        <v>0</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0.4</v>
      </c>
      <c r="E51" s="56">
        <f>'Haver Pivoted'!HE50</f>
        <v>0.4</v>
      </c>
      <c r="F51" s="56">
        <f t="shared" si="0"/>
        <v>0</v>
      </c>
      <c r="G51" s="63">
        <f t="shared" si="1"/>
        <v>0</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15.8</v>
      </c>
      <c r="E53" s="56">
        <f>'Haver Pivoted'!HE52</f>
        <v>15.8</v>
      </c>
      <c r="F53" s="56">
        <f t="shared" si="0"/>
        <v>0</v>
      </c>
      <c r="G53" s="63">
        <f t="shared" si="1"/>
        <v>0</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3.6</v>
      </c>
      <c r="E55" s="56">
        <f>'Haver Pivoted'!HE54</f>
        <v>3.6</v>
      </c>
      <c r="F55" s="56">
        <f t="shared" si="0"/>
        <v>0</v>
      </c>
      <c r="G55" s="63">
        <f t="shared" si="1"/>
        <v>0</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64</v>
      </c>
      <c r="E58" s="56">
        <f>'Haver Pivoted'!HE57</f>
        <v>64</v>
      </c>
      <c r="F58" s="56">
        <f t="shared" si="0"/>
        <v>0</v>
      </c>
      <c r="G58" s="63">
        <f t="shared" si="1"/>
        <v>0</v>
      </c>
      <c r="H58" s="49"/>
      <c r="I58" s="50"/>
    </row>
    <row r="59" spans="1:9" x14ac:dyDescent="0.35">
      <c r="A59" s="56" t="s">
        <v>151</v>
      </c>
      <c r="B59" s="55" t="s">
        <v>152</v>
      </c>
      <c r="C59" s="56" t="str">
        <f>'Haver Pivoted'!A58</f>
        <v>gfegv</v>
      </c>
      <c r="D59">
        <v>6.2</v>
      </c>
      <c r="E59" s="56">
        <f>'Haver Pivoted'!HE58</f>
        <v>6.2</v>
      </c>
      <c r="F59" s="56">
        <f t="shared" si="0"/>
        <v>0</v>
      </c>
      <c r="G59" s="63">
        <f t="shared" si="1"/>
        <v>0</v>
      </c>
    </row>
    <row r="60" spans="1:9" x14ac:dyDescent="0.35">
      <c r="A60" s="56" t="s">
        <v>53</v>
      </c>
      <c r="B60" s="56" t="s">
        <v>153</v>
      </c>
      <c r="C60" s="56" t="str">
        <f>'Haver Pivoted'!A59</f>
        <v>yptue</v>
      </c>
      <c r="D60">
        <v>0.2</v>
      </c>
      <c r="E60" s="56">
        <f>'Haver Pivoted'!HE59</f>
        <v>0.2</v>
      </c>
      <c r="F60" s="56">
        <f t="shared" si="0"/>
        <v>0</v>
      </c>
      <c r="G60" s="63">
        <f t="shared" si="1"/>
        <v>0</v>
      </c>
    </row>
    <row r="61" spans="1:9" x14ac:dyDescent="0.35">
      <c r="A61" s="56" t="s">
        <v>53</v>
      </c>
      <c r="B61" s="56" t="s">
        <v>154</v>
      </c>
      <c r="C61" s="56" t="str">
        <f>'Haver Pivoted'!A60</f>
        <v>yptup</v>
      </c>
      <c r="D61">
        <v>0.1</v>
      </c>
      <c r="E61" s="56">
        <f>'Haver Pivoted'!HE60</f>
        <v>0.1</v>
      </c>
      <c r="F61" s="56">
        <f t="shared" si="0"/>
        <v>0</v>
      </c>
      <c r="G61" s="63">
        <f t="shared" si="1"/>
        <v>0</v>
      </c>
    </row>
    <row r="62" spans="1:9" x14ac:dyDescent="0.35">
      <c r="A62" s="56" t="s">
        <v>53</v>
      </c>
      <c r="B62" s="56" t="s">
        <v>155</v>
      </c>
      <c r="C62" s="56" t="str">
        <f>'Haver Pivoted'!A61</f>
        <v>yptuc</v>
      </c>
      <c r="D62">
        <v>0.1</v>
      </c>
      <c r="E62" s="56">
        <f>'Haver Pivoted'!HE61</f>
        <v>0.1</v>
      </c>
      <c r="F62" s="56">
        <f t="shared" si="0"/>
        <v>0</v>
      </c>
      <c r="G62" s="63">
        <f t="shared" si="1"/>
        <v>0</v>
      </c>
    </row>
    <row r="63" spans="1:9" x14ac:dyDescent="0.35">
      <c r="B63" s="56" t="s">
        <v>156</v>
      </c>
      <c r="C63" s="56" t="str">
        <f>'Haver Pivoted'!A62</f>
        <v>gftfpu</v>
      </c>
      <c r="D63">
        <v>0.3</v>
      </c>
      <c r="E63" s="56">
        <f>'Haver Pivoted'!HE62</f>
        <v>0.3</v>
      </c>
      <c r="F63" s="56">
        <f t="shared" si="0"/>
        <v>0</v>
      </c>
      <c r="G63" s="63">
        <f t="shared" si="1"/>
        <v>0</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108.7</v>
      </c>
      <c r="E66" s="56">
        <f>'Haver Pivoted'!HE65</f>
        <v>108.7</v>
      </c>
      <c r="F66" s="56">
        <f t="shared" si="0"/>
        <v>0</v>
      </c>
      <c r="G66" s="63">
        <f t="shared" si="1"/>
        <v>0</v>
      </c>
      <c r="H66" s="55"/>
      <c r="I66" s="55"/>
    </row>
    <row r="67" spans="1:9" x14ac:dyDescent="0.35">
      <c r="A67" s="56" t="s">
        <v>57</v>
      </c>
      <c r="B67" s="54" t="s">
        <v>160</v>
      </c>
      <c r="C67" s="56" t="str">
        <f>'Haver Pivoted'!A66</f>
        <v>gftffx</v>
      </c>
      <c r="D67">
        <v>123.58</v>
      </c>
      <c r="E67" s="56">
        <f>'Haver Pivoted'!HE66</f>
        <v>123.58</v>
      </c>
      <c r="F67" s="56">
        <f t="shared" si="0"/>
        <v>0</v>
      </c>
      <c r="G67" s="63">
        <f t="shared" si="1"/>
        <v>0</v>
      </c>
      <c r="H67" s="55"/>
      <c r="I67" s="55"/>
    </row>
    <row r="68" spans="1:9" x14ac:dyDescent="0.35">
      <c r="B68" s="56" t="s">
        <v>161</v>
      </c>
      <c r="C68" s="56" t="str">
        <f>'Haver Pivoted'!A67</f>
        <v>cpiu</v>
      </c>
      <c r="D68">
        <v>298.17433333333298</v>
      </c>
      <c r="E68" s="56">
        <f>'Haver Pivoted'!HE67</f>
        <v>298.17433333333298</v>
      </c>
      <c r="F68" s="56">
        <f t="shared" ref="F68:F81" si="2">E68-D68</f>
        <v>0</v>
      </c>
      <c r="G68" s="63">
        <f t="shared" ref="G68:G81" si="3">F68/D68</f>
        <v>0</v>
      </c>
      <c r="H68" s="55"/>
      <c r="I68" s="55"/>
    </row>
    <row r="69" spans="1:9" x14ac:dyDescent="0.35">
      <c r="C69" s="56" t="str">
        <f>'Haver Pivoted'!A68</f>
        <v>pcw</v>
      </c>
      <c r="D69">
        <v>292.91500000000002</v>
      </c>
      <c r="E69" s="56">
        <f>'Haver Pivoted'!HE68</f>
        <v>292.91500000000002</v>
      </c>
      <c r="F69" s="56">
        <f t="shared" si="2"/>
        <v>0</v>
      </c>
      <c r="G69" s="63">
        <f t="shared" si="3"/>
        <v>0</v>
      </c>
    </row>
    <row r="70" spans="1:9" x14ac:dyDescent="0.35">
      <c r="B70" s="56" t="s">
        <v>162</v>
      </c>
      <c r="C70" s="56" t="str">
        <f>'Haver Pivoted'!A69</f>
        <v>gdppothq</v>
      </c>
      <c r="D70">
        <v>20295.5</v>
      </c>
      <c r="E70" s="56">
        <f>'Haver Pivoted'!HE69</f>
        <v>20295.5</v>
      </c>
      <c r="F70" s="56">
        <f t="shared" si="2"/>
        <v>0</v>
      </c>
      <c r="G70" s="63">
        <f t="shared" si="3"/>
        <v>0</v>
      </c>
    </row>
    <row r="71" spans="1:9" x14ac:dyDescent="0.35">
      <c r="B71" s="56" t="s">
        <v>163</v>
      </c>
      <c r="C71" s="56" t="str">
        <f>'Haver Pivoted'!A70</f>
        <v>gdppotq</v>
      </c>
      <c r="D71">
        <v>25591.4</v>
      </c>
      <c r="E71" s="56">
        <f>'Haver Pivoted'!HE70</f>
        <v>25591.4</v>
      </c>
      <c r="F71" s="56">
        <f t="shared" si="2"/>
        <v>0</v>
      </c>
      <c r="G71" s="63">
        <f t="shared" si="3"/>
        <v>0</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5277</v>
      </c>
      <c r="E73" s="56">
        <f>'Haver Pivoted'!HE72</f>
        <v>5277</v>
      </c>
      <c r="F73" s="56">
        <f t="shared" si="2"/>
        <v>0</v>
      </c>
      <c r="G73" s="63">
        <f t="shared" si="3"/>
        <v>0</v>
      </c>
    </row>
    <row r="74" spans="1:9" x14ac:dyDescent="0.35">
      <c r="A74" s="56" t="s">
        <v>165</v>
      </c>
      <c r="B74" s="56" t="s">
        <v>167</v>
      </c>
      <c r="C74" s="56" t="str">
        <f>'Haver Pivoted'!A73</f>
        <v>lalgova</v>
      </c>
      <c r="D74">
        <v>14270.333333333299</v>
      </c>
      <c r="E74" s="56">
        <f>'Haver Pivoted'!HE73</f>
        <v>14270.333333333299</v>
      </c>
      <c r="F74" s="56">
        <f t="shared" si="2"/>
        <v>0</v>
      </c>
      <c r="G74" s="63">
        <f t="shared" si="3"/>
        <v>0</v>
      </c>
    </row>
    <row r="75" spans="1:9" x14ac:dyDescent="0.35">
      <c r="A75" s="56" t="s">
        <v>165</v>
      </c>
      <c r="B75" s="56" t="s">
        <v>168</v>
      </c>
      <c r="C75" s="56" t="str">
        <f>'Haver Pivoted'!A74</f>
        <v>cpgs</v>
      </c>
      <c r="D75">
        <v>0</v>
      </c>
      <c r="E75" s="56">
        <f>'Haver Pivoted'!HE74</f>
        <v>0</v>
      </c>
      <c r="F75" s="56">
        <f t="shared" si="2"/>
        <v>0</v>
      </c>
      <c r="G75" s="63" t="e">
        <f t="shared" si="3"/>
        <v>#DIV/0!</v>
      </c>
    </row>
    <row r="76" spans="1:9" x14ac:dyDescent="0.35">
      <c r="B76" s="56" t="s">
        <v>169</v>
      </c>
      <c r="C76" s="56" t="str">
        <f>'Haver Pivoted'!A75</f>
        <v>jgdp_growth</v>
      </c>
      <c r="D76">
        <v>8.5596682154103192E-3</v>
      </c>
      <c r="E76" s="56">
        <f>'Haver Pivoted'!HE75</f>
        <v>8.5596682154103192E-3</v>
      </c>
      <c r="F76" s="51">
        <f t="shared" si="2"/>
        <v>0</v>
      </c>
      <c r="G76" s="63">
        <f t="shared" si="3"/>
        <v>0</v>
      </c>
    </row>
    <row r="77" spans="1:9" x14ac:dyDescent="0.35">
      <c r="B77" s="56" t="s">
        <v>170</v>
      </c>
      <c r="C77" s="56" t="str">
        <f>'Haver Pivoted'!A76</f>
        <v>jc_growth</v>
      </c>
      <c r="D77">
        <v>7.7973497091143899E-3</v>
      </c>
      <c r="E77" s="56">
        <f>'Haver Pivoted'!HE76</f>
        <v>7.7973497091143899E-3</v>
      </c>
      <c r="F77" s="51">
        <f t="shared" si="2"/>
        <v>0</v>
      </c>
      <c r="G77" s="63">
        <f t="shared" si="3"/>
        <v>0</v>
      </c>
    </row>
    <row r="78" spans="1:9" x14ac:dyDescent="0.35">
      <c r="B78" s="56" t="s">
        <v>171</v>
      </c>
      <c r="C78" s="56" t="str">
        <f>'Haver Pivoted'!A77</f>
        <v>jgf_growth</v>
      </c>
      <c r="D78">
        <v>7.0598040577531896E-3</v>
      </c>
      <c r="E78" s="56">
        <f>'Haver Pivoted'!HE77</f>
        <v>7.0598040577531896E-3</v>
      </c>
      <c r="F78" s="51">
        <f t="shared" si="2"/>
        <v>0</v>
      </c>
      <c r="G78" s="63">
        <f t="shared" si="3"/>
        <v>0</v>
      </c>
    </row>
    <row r="79" spans="1:9" x14ac:dyDescent="0.35">
      <c r="B79" s="56" t="s">
        <v>172</v>
      </c>
      <c r="C79" s="56" t="str">
        <f>'Haver Pivoted'!A78</f>
        <v>jgs_growth</v>
      </c>
      <c r="D79">
        <v>7.6714474237569198E-3</v>
      </c>
      <c r="E79" s="56">
        <f>'Haver Pivoted'!HE78</f>
        <v>7.6714474237569198E-3</v>
      </c>
      <c r="F79" s="51">
        <f>E79/D79-1</f>
        <v>0</v>
      </c>
      <c r="G79" s="63">
        <f t="shared" si="3"/>
        <v>0</v>
      </c>
    </row>
    <row r="80" spans="1:9" x14ac:dyDescent="0.35">
      <c r="B80" s="56" t="s">
        <v>173</v>
      </c>
      <c r="C80" s="56" t="str">
        <f>'Haver Pivoted'!A79</f>
        <v>jgse_growth</v>
      </c>
      <c r="D80">
        <v>6.5767432375349903E-3</v>
      </c>
      <c r="E80" s="56">
        <f>'Haver Pivoted'!HE79</f>
        <v>6.5767432375349903E-3</v>
      </c>
      <c r="F80" s="51">
        <f t="shared" si="2"/>
        <v>0</v>
      </c>
      <c r="G80" s="63">
        <f t="shared" si="3"/>
        <v>0</v>
      </c>
    </row>
    <row r="81" spans="2:7" x14ac:dyDescent="0.35">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zoomScale="84" zoomScaleNormal="133" workbookViewId="0">
      <selection activeCell="H15" sqref="H15"/>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408" t="s">
        <v>2232</v>
      </c>
      <c r="C2" s="1408"/>
      <c r="D2" s="1408"/>
      <c r="E2" s="1408"/>
      <c r="F2" s="1408"/>
      <c r="G2" s="1408"/>
      <c r="H2" s="1408"/>
      <c r="I2" s="1408"/>
      <c r="J2" s="1408"/>
      <c r="K2" s="1408"/>
      <c r="L2" s="1408"/>
      <c r="M2" s="1408"/>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0">
        <f>forecast!C2</f>
        <v>419.69592800000004</v>
      </c>
      <c r="E4" s="70">
        <f>forecast!D2</f>
        <v>396.53932436420291</v>
      </c>
      <c r="F4" s="70">
        <f>forecast!E2</f>
        <v>400.37374923659348</v>
      </c>
      <c r="G4" s="70">
        <f>forecast!F2</f>
        <v>398.73055822591346</v>
      </c>
      <c r="H4" s="70">
        <f>forecast!G2</f>
        <v>398.6166106666667</v>
      </c>
      <c r="I4" s="70">
        <f>forecast!H2</f>
        <v>386.72738297077103</v>
      </c>
      <c r="J4" s="70">
        <f>forecast!I2</f>
        <v>366.38133844605721</v>
      </c>
      <c r="K4" s="70">
        <f>forecast!J2</f>
        <v>370.35262831494998</v>
      </c>
      <c r="L4" s="70">
        <f>forecast!K2</f>
        <v>374.61000143333331</v>
      </c>
      <c r="M4" s="70">
        <f>forecast!L2</f>
        <v>357.28055880960187</v>
      </c>
    </row>
    <row r="5" spans="2:13" x14ac:dyDescent="0.35">
      <c r="B5" t="str">
        <f>forecast!A3</f>
        <v>Investment Grants</v>
      </c>
      <c r="C5" t="str">
        <f>forecast!B3</f>
        <v>investment_grants</v>
      </c>
      <c r="D5" s="70">
        <f>forecast!C3</f>
        <v>76.15900000000002</v>
      </c>
      <c r="E5" s="70">
        <f>forecast!D3</f>
        <v>76.15900000000002</v>
      </c>
      <c r="F5" s="70">
        <f>forecast!E3</f>
        <v>76.15900000000002</v>
      </c>
      <c r="G5" s="70">
        <f>forecast!F3</f>
        <v>76.15900000000002</v>
      </c>
      <c r="H5" s="70">
        <f>forecast!G3</f>
        <v>77.818000000000012</v>
      </c>
      <c r="I5" s="70">
        <f>forecast!H3</f>
        <v>77.818000000000012</v>
      </c>
      <c r="J5" s="70">
        <f>forecast!I3</f>
        <v>77.818000000000012</v>
      </c>
      <c r="K5" s="70">
        <f>forecast!J3</f>
        <v>77.818000000000012</v>
      </c>
      <c r="L5" s="70">
        <f>forecast!K3</f>
        <v>79.41200000000002</v>
      </c>
      <c r="M5" s="70">
        <f>forecast!L3</f>
        <v>79.41200000000002</v>
      </c>
    </row>
    <row r="6" spans="2:13" x14ac:dyDescent="0.35">
      <c r="B6" t="str">
        <f>forecast!A4</f>
        <v>Federal Purchases (NIPA Consistent)</v>
      </c>
      <c r="C6" t="str">
        <f>forecast!B4</f>
        <v>federal_purchases</v>
      </c>
      <c r="D6" s="70">
        <f>forecast!C4</f>
        <v>1693.9</v>
      </c>
      <c r="E6" s="70">
        <f>forecast!D4</f>
        <v>1711.593516628647</v>
      </c>
      <c r="F6" s="70">
        <f>forecast!E4</f>
        <v>1727.6600432224757</v>
      </c>
      <c r="G6" s="70">
        <f>forecast!F4</f>
        <v>1750.1328430784008</v>
      </c>
      <c r="H6" s="70">
        <f>forecast!G4</f>
        <v>1770.0634710049226</v>
      </c>
      <c r="I6" s="70">
        <f>forecast!H4</f>
        <v>1787.8586745107455</v>
      </c>
      <c r="J6" s="70">
        <f>forecast!I4</f>
        <v>1804.1285748589264</v>
      </c>
      <c r="K6" s="70">
        <f>forecast!J4</f>
        <v>1820.6018489614596</v>
      </c>
      <c r="L6" s="70">
        <f>forecast!K4</f>
        <v>1835.9565674150556</v>
      </c>
      <c r="M6" s="70">
        <f>forecast!L4</f>
        <v>1849.6842958338334</v>
      </c>
    </row>
    <row r="7" spans="2:13" x14ac:dyDescent="0.35">
      <c r="B7" t="str">
        <f>forecast!A5</f>
        <v>State Purchases (NIPA Consistent)</v>
      </c>
      <c r="C7" t="str">
        <f>forecast!B5</f>
        <v>state_purchases</v>
      </c>
      <c r="D7" s="70">
        <f>forecast!C5</f>
        <v>2874.1</v>
      </c>
      <c r="E7" s="70">
        <f>forecast!D5</f>
        <v>2903.130301974853</v>
      </c>
      <c r="F7" s="70">
        <f>forecast!E5</f>
        <v>2935.7643655741699</v>
      </c>
      <c r="G7" s="70">
        <f>forecast!F5</f>
        <v>2973.7039671206157</v>
      </c>
      <c r="H7" s="70">
        <f>forecast!G5</f>
        <v>3006.0377172512281</v>
      </c>
      <c r="I7" s="70">
        <f>forecast!H5</f>
        <v>3037.5706314652921</v>
      </c>
      <c r="J7" s="70">
        <f>forecast!I5</f>
        <v>3065.6999930340289</v>
      </c>
      <c r="K7" s="70">
        <f>forecast!J5</f>
        <v>3093.328832154923</v>
      </c>
      <c r="L7" s="70">
        <f>forecast!K5</f>
        <v>3120.8575667862492</v>
      </c>
      <c r="M7" s="70">
        <f>forecast!L5</f>
        <v>3146.1</v>
      </c>
    </row>
    <row r="8" spans="2:13" x14ac:dyDescent="0.35">
      <c r="B8" t="str">
        <f>forecast!A6</f>
        <v>Non-ARP Subsidies + ARP Provider Relief and PPP</v>
      </c>
      <c r="C8" t="str">
        <f>forecast!B6</f>
        <v>federal_subsidies</v>
      </c>
      <c r="D8" s="70">
        <f>forecast!C6</f>
        <v>94.873999999999995</v>
      </c>
      <c r="E8" s="70">
        <f>forecast!D6</f>
        <v>83.295999999999992</v>
      </c>
      <c r="F8" s="70">
        <f>forecast!E6</f>
        <v>75.782000000000011</v>
      </c>
      <c r="G8" s="70">
        <f>forecast!F6</f>
        <v>75.782000000000011</v>
      </c>
      <c r="H8" s="70">
        <f>forecast!G6</f>
        <v>84.266000000000005</v>
      </c>
      <c r="I8" s="70">
        <f>forecast!H6</f>
        <v>84.266000000000005</v>
      </c>
      <c r="J8" s="70">
        <f>forecast!I6</f>
        <v>84.266000000000005</v>
      </c>
      <c r="K8" s="70">
        <f>forecast!J6</f>
        <v>84.266000000000005</v>
      </c>
      <c r="L8" s="70">
        <f>forecast!K6</f>
        <v>91.364999999999995</v>
      </c>
      <c r="M8" s="70">
        <f>forecast!L6</f>
        <v>91.364999999999995</v>
      </c>
    </row>
    <row r="9" spans="2:13" x14ac:dyDescent="0.35">
      <c r="B9" t="str">
        <f>forecast!A7</f>
        <v>ARP Subsidies less Provider Relief and PPP</v>
      </c>
      <c r="C9" t="str">
        <f>forecast!B7</f>
        <v>federal_aid_to_small_businesses_arp</v>
      </c>
      <c r="D9" s="70">
        <f>forecast!C7</f>
        <v>12.726000000000001</v>
      </c>
      <c r="E9" s="70">
        <f>forecast!D7</f>
        <v>12.726000000000001</v>
      </c>
      <c r="F9" s="70">
        <f>forecast!E7</f>
        <v>12.726000000000001</v>
      </c>
      <c r="G9" s="70">
        <f>forecast!F7</f>
        <v>12.726000000000001</v>
      </c>
      <c r="H9" s="70">
        <f>forecast!G7</f>
        <v>1.365</v>
      </c>
      <c r="I9" s="70">
        <f>forecast!H7</f>
        <v>1.365</v>
      </c>
      <c r="J9" s="70">
        <f>forecast!I7</f>
        <v>1.365</v>
      </c>
      <c r="K9" s="70">
        <f>forecast!J7</f>
        <v>1.365</v>
      </c>
      <c r="L9" s="70">
        <f>forecast!K7</f>
        <v>-0.90100000000000025</v>
      </c>
      <c r="M9" s="70">
        <f>forecast!L7</f>
        <v>-0.90100000000000025</v>
      </c>
    </row>
    <row r="10" spans="2:13" x14ac:dyDescent="0.35">
      <c r="B10" t="str">
        <f>forecast!A8</f>
        <v>Federal UI</v>
      </c>
      <c r="C10" t="str">
        <f>forecast!B8</f>
        <v>federal_ui</v>
      </c>
      <c r="D10" s="70">
        <f>forecast!C8</f>
        <v>0.39999999999999858</v>
      </c>
      <c r="E10" s="70">
        <f>forecast!D8</f>
        <v>0.45544444444444565</v>
      </c>
      <c r="F10" s="70">
        <f>forecast!E8</f>
        <v>0.51099999999999923</v>
      </c>
      <c r="G10" s="70">
        <f>forecast!F8</f>
        <v>0.54433333333333422</v>
      </c>
      <c r="H10" s="70">
        <f>forecast!G8</f>
        <v>0.56822222222222152</v>
      </c>
      <c r="I10" s="70">
        <f>forecast!H8</f>
        <v>0.56655555555555637</v>
      </c>
      <c r="J10" s="70">
        <f>forecast!I8</f>
        <v>0.54922222222222317</v>
      </c>
      <c r="K10" s="70">
        <f>forecast!J8</f>
        <v>0.53988888888888908</v>
      </c>
      <c r="L10" s="70">
        <f>forecast!K8</f>
        <v>0.53322222222222138</v>
      </c>
      <c r="M10" s="70">
        <f>forecast!L8</f>
        <v>0.53066666666666507</v>
      </c>
    </row>
    <row r="11" spans="2:13" x14ac:dyDescent="0.35">
      <c r="B11" t="str">
        <f>forecast!A9</f>
        <v>State UI</v>
      </c>
      <c r="C11" t="str">
        <f>forecast!B9</f>
        <v>state_ui</v>
      </c>
      <c r="D11" s="70">
        <f>forecast!C9</f>
        <v>20</v>
      </c>
      <c r="E11" s="70">
        <f>forecast!D9</f>
        <v>22.772222222222222</v>
      </c>
      <c r="F11" s="70">
        <f>forecast!E9</f>
        <v>25.549999999999997</v>
      </c>
      <c r="G11" s="70">
        <f>forecast!F9</f>
        <v>27.216666666666661</v>
      </c>
      <c r="H11" s="70">
        <f>forecast!G9</f>
        <v>28.411111111111108</v>
      </c>
      <c r="I11" s="70">
        <f>forecast!H9</f>
        <v>28.327777777777776</v>
      </c>
      <c r="J11" s="70">
        <f>forecast!I9</f>
        <v>27.461111111111109</v>
      </c>
      <c r="K11" s="70">
        <f>forecast!J9</f>
        <v>26.994444444444444</v>
      </c>
      <c r="L11" s="70">
        <f>forecast!K9</f>
        <v>26.661111111111111</v>
      </c>
      <c r="M11" s="70">
        <f>forecast!L9</f>
        <v>26.533333333333331</v>
      </c>
    </row>
    <row r="12" spans="2:13" x14ac:dyDescent="0.35">
      <c r="B12" t="str">
        <f>forecast!A10</f>
        <v>Federal Medicaid</v>
      </c>
      <c r="C12" t="str">
        <f>forecast!B10</f>
        <v>medicaid_grants</v>
      </c>
      <c r="D12" s="70">
        <f>forecast!C10</f>
        <v>604.79499999999996</v>
      </c>
      <c r="E12" s="70">
        <f>forecast!D10</f>
        <v>606.05037285109495</v>
      </c>
      <c r="F12" s="70">
        <f>forecast!E10</f>
        <v>580.65323903901697</v>
      </c>
      <c r="G12" s="70">
        <f>forecast!F10</f>
        <v>569.0941447642507</v>
      </c>
      <c r="H12" s="70">
        <f>forecast!G10</f>
        <v>561.70373395965726</v>
      </c>
      <c r="I12" s="70">
        <f>forecast!H10</f>
        <v>554.82780470342925</v>
      </c>
      <c r="J12" s="70">
        <f>forecast!I10</f>
        <v>548.03604509087336</v>
      </c>
      <c r="K12" s="70">
        <f>forecast!J10</f>
        <v>541.32742478432147</v>
      </c>
      <c r="L12" s="70">
        <f>forecast!K10</f>
        <v>531.08827601622306</v>
      </c>
      <c r="M12" s="70">
        <f>forecast!L10</f>
        <v>524.58711678596967</v>
      </c>
    </row>
    <row r="13" spans="2:13" x14ac:dyDescent="0.35">
      <c r="B13" t="str">
        <f>forecast!A11</f>
        <v>Total Medicaid</v>
      </c>
      <c r="C13" t="str">
        <f>forecast!B11</f>
        <v>medicaid</v>
      </c>
      <c r="D13" s="70">
        <f>forecast!C11</f>
        <v>784.6</v>
      </c>
      <c r="E13" s="70">
        <f>forecast!D11</f>
        <v>786.22859405082568</v>
      </c>
      <c r="F13" s="70">
        <f>forecast!E11</f>
        <v>787.86056857397148</v>
      </c>
      <c r="G13" s="70">
        <f>forecast!F11</f>
        <v>789.49593058628307</v>
      </c>
      <c r="H13" s="70">
        <f>forecast!G11</f>
        <v>779.83155088112517</v>
      </c>
      <c r="I13" s="70">
        <f>forecast!H11</f>
        <v>770.28547480676127</v>
      </c>
      <c r="J13" s="70">
        <f>forecast!I11</f>
        <v>760.85625418446853</v>
      </c>
      <c r="K13" s="70">
        <f>forecast!J11</f>
        <v>751.54245856297325</v>
      </c>
      <c r="L13" s="70">
        <f>forecast!K11</f>
        <v>742.34267500144574</v>
      </c>
      <c r="M13" s="70">
        <f>forecast!L11</f>
        <v>733.25550785515156</v>
      </c>
    </row>
    <row r="14" spans="2:13" x14ac:dyDescent="0.35">
      <c r="B14" t="str">
        <f>forecast!A12</f>
        <v>Medicare</v>
      </c>
      <c r="C14" t="str">
        <f>forecast!B12</f>
        <v>medicare</v>
      </c>
      <c r="D14" s="70">
        <f>forecast!C12</f>
        <v>941.6</v>
      </c>
      <c r="E14" s="70">
        <f>forecast!D12</f>
        <v>958.68725729225423</v>
      </c>
      <c r="F14" s="70">
        <f>forecast!E12</f>
        <v>976.08459780644091</v>
      </c>
      <c r="G14" s="70">
        <f>forecast!F12</f>
        <v>993.79764863665025</v>
      </c>
      <c r="H14" s="70">
        <f>forecast!G12</f>
        <v>1017.7617761487271</v>
      </c>
      <c r="I14" s="70">
        <f>forecast!H12</f>
        <v>1042.3037671808102</v>
      </c>
      <c r="J14" s="70">
        <f>forecast!I12</f>
        <v>1067.437556154154</v>
      </c>
      <c r="K14" s="70">
        <f>forecast!J12</f>
        <v>1093.1774135003152</v>
      </c>
      <c r="L14" s="70">
        <f>forecast!K12</f>
        <v>1119.5379537635997</v>
      </c>
      <c r="M14" s="70">
        <f>forecast!L12</f>
        <v>1146.534143898891</v>
      </c>
    </row>
    <row r="15" spans="2:13"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x14ac:dyDescent="0.35">
      <c r="B17" t="str">
        <f>forecast!A15</f>
        <v>ARP Other Vulnerable</v>
      </c>
      <c r="C17" t="str">
        <f>forecast!B15</f>
        <v>federal_other_vulnerable_arp</v>
      </c>
      <c r="D17" s="70">
        <f>forecast!C15</f>
        <v>30</v>
      </c>
      <c r="E17" s="70">
        <f>forecast!D15</f>
        <v>12</v>
      </c>
      <c r="F17" s="70">
        <f>forecast!E15</f>
        <v>12</v>
      </c>
      <c r="G17" s="70">
        <f>forecast!F15</f>
        <v>12</v>
      </c>
      <c r="H17" s="70">
        <f>forecast!G15</f>
        <v>4.2219999999999995</v>
      </c>
      <c r="I17" s="70">
        <f>forecast!H15</f>
        <v>4.2219999999999995</v>
      </c>
      <c r="J17" s="70">
        <f>forecast!I15</f>
        <v>4.2219999999999995</v>
      </c>
      <c r="K17" s="70">
        <f>forecast!J15</f>
        <v>4.2219999999999995</v>
      </c>
      <c r="L17" s="70">
        <f>forecast!K15</f>
        <v>2.3719999999999999</v>
      </c>
      <c r="M17" s="70">
        <f>forecast!L15</f>
        <v>2.3719999999999999</v>
      </c>
    </row>
    <row r="18" spans="2:13" x14ac:dyDescent="0.35">
      <c r="B18" t="str">
        <f>forecast!A16</f>
        <v xml:space="preserve">ARP Other Direct Aid plus Provider Relief </v>
      </c>
      <c r="C18" t="str">
        <f>forecast!B16</f>
        <v>federal_other_direct_aid_arp</v>
      </c>
      <c r="D18" s="70">
        <f>forecast!C16</f>
        <v>6.3160000000000007</v>
      </c>
      <c r="E18" s="70">
        <f>forecast!D16</f>
        <v>1.4159999999999999</v>
      </c>
      <c r="F18" s="70">
        <f>forecast!E16</f>
        <v>1.4159999999999999</v>
      </c>
      <c r="G18" s="70">
        <f>forecast!F16</f>
        <v>1.4159999999999999</v>
      </c>
      <c r="H18" s="70">
        <f>forecast!G16</f>
        <v>1.4790000000000001</v>
      </c>
      <c r="I18" s="70">
        <f>forecast!H16</f>
        <v>1.4790000000000001</v>
      </c>
      <c r="J18" s="70">
        <f>forecast!I16</f>
        <v>1.4790000000000001</v>
      </c>
      <c r="K18" s="70">
        <f>forecast!J16</f>
        <v>1.4790000000000001</v>
      </c>
      <c r="L18" s="70">
        <f>forecast!K16</f>
        <v>1.63</v>
      </c>
      <c r="M18" s="70">
        <f>forecast!L16</f>
        <v>1.63</v>
      </c>
    </row>
    <row r="19" spans="2:13" x14ac:dyDescent="0.35">
      <c r="B19" t="str">
        <f>forecast!A17</f>
        <v>Other Federal Social Benefits (including all SNAP)</v>
      </c>
      <c r="C19" t="str">
        <f>forecast!B17</f>
        <v>federal_social_benefits</v>
      </c>
      <c r="D19" s="70">
        <f>forecast!C17</f>
        <v>1903.3740000000003</v>
      </c>
      <c r="E19" s="70">
        <f>forecast!D17</f>
        <v>1953.929241</v>
      </c>
      <c r="F19" s="70">
        <f>forecast!E17</f>
        <v>1960.929241</v>
      </c>
      <c r="G19" s="70">
        <f>forecast!F17</f>
        <v>1967.929241</v>
      </c>
      <c r="H19" s="70">
        <f>forecast!G17</f>
        <v>1968.478241</v>
      </c>
      <c r="I19" s="70">
        <f>forecast!H17</f>
        <v>2013.4377810000001</v>
      </c>
      <c r="J19" s="70">
        <f>forecast!I17</f>
        <v>2020.4377810000001</v>
      </c>
      <c r="K19" s="70">
        <f>forecast!J17</f>
        <v>2027.4377810000001</v>
      </c>
      <c r="L19" s="70">
        <f>forecast!K17</f>
        <v>2035.9657810000001</v>
      </c>
      <c r="M19" s="70">
        <f>forecast!L17</f>
        <v>2068.9121410000002</v>
      </c>
    </row>
    <row r="20" spans="2:13" x14ac:dyDescent="0.35">
      <c r="B20" t="str">
        <f>forecast!A18</f>
        <v>State Social Benefits ex Medicaid</v>
      </c>
      <c r="C20" t="str">
        <f>forecast!B18</f>
        <v>state_social_benefits</v>
      </c>
      <c r="D20" s="70">
        <f>forecast!C18</f>
        <v>249.10000000000002</v>
      </c>
      <c r="E20" s="70">
        <f>forecast!D18</f>
        <v>182.96282157770224</v>
      </c>
      <c r="F20" s="70">
        <f>forecast!E18</f>
        <v>185.80004652795367</v>
      </c>
      <c r="G20" s="70">
        <f>forecast!F18</f>
        <v>188.68126864303298</v>
      </c>
      <c r="H20" s="70">
        <f>forecast!G18</f>
        <v>191.60717019189906</v>
      </c>
      <c r="I20" s="70">
        <f>forecast!H18</f>
        <v>194.57844402353186</v>
      </c>
      <c r="J20" s="70">
        <f>forecast!I18</f>
        <v>197.59579373099803</v>
      </c>
      <c r="K20" s="70">
        <f>forecast!J18</f>
        <v>200.65993381806064</v>
      </c>
      <c r="L20" s="70">
        <f>forecast!K18</f>
        <v>203.77158986837259</v>
      </c>
      <c r="M20" s="70">
        <f>forecast!L18</f>
        <v>206.93149871729366</v>
      </c>
    </row>
    <row r="21" spans="2:13" x14ac:dyDescent="0.35">
      <c r="B21" t="str">
        <f>forecast!A19</f>
        <v>Federal Non-Corporate Taxes</v>
      </c>
      <c r="C21" t="str">
        <f>forecast!B19</f>
        <v>federal_non_corporate_taxes</v>
      </c>
      <c r="D21" s="70">
        <f>forecast!C19</f>
        <v>4528.8</v>
      </c>
      <c r="E21" s="70">
        <f>forecast!D19</f>
        <v>4467.3739968285072</v>
      </c>
      <c r="F21" s="70">
        <f>forecast!E19</f>
        <v>4457.4043214546246</v>
      </c>
      <c r="G21" s="70">
        <f>forecast!F19</f>
        <v>4447.8895270730181</v>
      </c>
      <c r="H21" s="70">
        <f>forecast!G19</f>
        <v>4460.0815040789694</v>
      </c>
      <c r="I21" s="70">
        <f>forecast!H19</f>
        <v>4467.5864561878179</v>
      </c>
      <c r="J21" s="70">
        <f>forecast!I19</f>
        <v>4475.4065403252825</v>
      </c>
      <c r="K21" s="70">
        <f>forecast!J19</f>
        <v>4483.5439444895819</v>
      </c>
      <c r="L21" s="70">
        <f>forecast!K19</f>
        <v>4513.5325415378738</v>
      </c>
      <c r="M21" s="70">
        <f>forecast!L19</f>
        <v>4543.7701819739486</v>
      </c>
    </row>
    <row r="22" spans="2:13" x14ac:dyDescent="0.35">
      <c r="B22" t="str">
        <f>forecast!A20</f>
        <v>State Non-Corporate Taxes</v>
      </c>
      <c r="C22" t="str">
        <f>forecast!B20</f>
        <v>state_non_corporate_taxes</v>
      </c>
      <c r="D22" s="70">
        <f>forecast!C20</f>
        <v>2205.8000000000002</v>
      </c>
      <c r="E22" s="70">
        <f>forecast!D20</f>
        <v>2232.4070379024242</v>
      </c>
      <c r="F22" s="70">
        <f>forecast!E20</f>
        <v>2257.3320679704652</v>
      </c>
      <c r="G22" s="70">
        <f>forecast!F20</f>
        <v>2282.8714249965174</v>
      </c>
      <c r="H22" s="70">
        <f>forecast!G20</f>
        <v>2308.5582874457068</v>
      </c>
      <c r="I22" s="70">
        <f>forecast!H20</f>
        <v>2332.3157040423512</v>
      </c>
      <c r="J22" s="70">
        <f>forecast!I20</f>
        <v>2355.3202036226157</v>
      </c>
      <c r="K22" s="70">
        <f>forecast!J20</f>
        <v>2378.2329159267574</v>
      </c>
      <c r="L22" s="70">
        <f>forecast!K20</f>
        <v>2402.1008683516784</v>
      </c>
      <c r="M22" s="70">
        <f>forecast!L20</f>
        <v>2426.7126329151943</v>
      </c>
    </row>
    <row r="23" spans="2:13" x14ac:dyDescent="0.35">
      <c r="B23" t="str">
        <f>forecast!A21</f>
        <v>Federal Corporate Taxes</v>
      </c>
      <c r="C23" t="str">
        <f>forecast!B21</f>
        <v>federal_corporate_taxes</v>
      </c>
      <c r="D23" s="70">
        <f>forecast!C21</f>
        <v>350.30119606059549</v>
      </c>
      <c r="E23" s="70">
        <f>forecast!D21</f>
        <v>360.27870804898345</v>
      </c>
      <c r="F23" s="70">
        <f>forecast!E21</f>
        <v>370.54040617946271</v>
      </c>
      <c r="G23" s="70">
        <f>forecast!F21</f>
        <v>381.09438483101775</v>
      </c>
      <c r="H23" s="70">
        <f>forecast!G21</f>
        <v>381.72153892635089</v>
      </c>
      <c r="I23" s="70">
        <f>forecast!H21</f>
        <v>382.34972510789402</v>
      </c>
      <c r="J23" s="70">
        <f>forecast!I21</f>
        <v>382.97894507411644</v>
      </c>
      <c r="K23" s="70">
        <f>forecast!J21</f>
        <v>383.60920052628245</v>
      </c>
      <c r="L23" s="70">
        <f>forecast!K21</f>
        <v>385.61244152866738</v>
      </c>
      <c r="M23" s="70">
        <f>forecast!L21</f>
        <v>400.52681927840081</v>
      </c>
    </row>
    <row r="24" spans="2:13" x14ac:dyDescent="0.35">
      <c r="B24" t="str">
        <f>forecast!A22</f>
        <v>State Corporate Taxes</v>
      </c>
      <c r="C24" s="35" t="str">
        <f>forecast!B22</f>
        <v>state_corporate_taxes</v>
      </c>
      <c r="D24" s="70">
        <f>forecast!C22</f>
        <v>95.360546952748706</v>
      </c>
      <c r="E24" s="70">
        <f>forecast!D22</f>
        <v>88.958815333784486</v>
      </c>
      <c r="F24" s="70">
        <f>forecast!E22</f>
        <v>83.91599856693604</v>
      </c>
      <c r="G24" s="70">
        <f>forecast!F22</f>
        <v>81.073902312806027</v>
      </c>
      <c r="H24" s="70">
        <f>forecast!G22</f>
        <v>78.997448349986072</v>
      </c>
      <c r="I24" s="70">
        <f>forecast!H22</f>
        <v>79.891365789578444</v>
      </c>
      <c r="J24" s="70">
        <f>forecast!I22</f>
        <v>81.322435412602999</v>
      </c>
      <c r="K24" s="70">
        <f>forecast!J22</f>
        <v>83.346777596433256</v>
      </c>
      <c r="L24" s="70">
        <f>forecast!K22</f>
        <v>86.228959834401508</v>
      </c>
      <c r="M24" s="70">
        <f>forecast!L22</f>
        <v>89.010927112774183</v>
      </c>
    </row>
    <row r="25" spans="2:13" x14ac:dyDescent="0.35">
      <c r="B25" s="35" t="str">
        <f>forecast!A23</f>
        <v>Federal Student Loans</v>
      </c>
      <c r="C25" s="35" t="str">
        <f>forecast!B23</f>
        <v>federal_student_loans</v>
      </c>
      <c r="D25" s="70">
        <f>forecast!C23</f>
        <v>0</v>
      </c>
      <c r="E25" s="70">
        <f>forecast!D23</f>
        <v>0</v>
      </c>
      <c r="F25" s="70">
        <f>forecast!E23</f>
        <v>0</v>
      </c>
      <c r="G25" s="70">
        <f>forecast!F23</f>
        <v>20.815079999999998</v>
      </c>
      <c r="H25" s="70">
        <f>forecast!G23</f>
        <v>21.006180000000001</v>
      </c>
      <c r="I25" s="70">
        <f>forecast!H23</f>
        <v>25.815300000000001</v>
      </c>
      <c r="J25" s="70">
        <f>forecast!I23</f>
        <v>26.04045</v>
      </c>
      <c r="K25" s="70">
        <f>forecast!J23</f>
        <v>26.26465</v>
      </c>
      <c r="L25" s="70">
        <f>forecast!K23</f>
        <v>26.498349999999999</v>
      </c>
      <c r="M25" s="70">
        <f>forecast!L23</f>
        <v>26.454419999999999</v>
      </c>
    </row>
    <row r="27" spans="2:13" x14ac:dyDescent="0.35">
      <c r="B27" s="1408" t="s">
        <v>2231</v>
      </c>
      <c r="C27" s="1408"/>
      <c r="D27" s="1408"/>
      <c r="E27" s="1408"/>
      <c r="F27" s="1408"/>
      <c r="G27" s="1408"/>
      <c r="H27" s="1408"/>
      <c r="I27" s="1408"/>
      <c r="J27" s="1408"/>
      <c r="K27" s="1408"/>
      <c r="L27" s="1408"/>
      <c r="M27" s="1408"/>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0">
        <v>419.69592800000004</v>
      </c>
      <c r="E29" s="70">
        <v>396.53932436420291</v>
      </c>
      <c r="F29" s="70">
        <v>400.37374923659348</v>
      </c>
      <c r="G29" s="70">
        <v>398.73055822591346</v>
      </c>
      <c r="H29" s="70">
        <v>398.6166106666667</v>
      </c>
      <c r="I29" s="70">
        <v>386.72738297077103</v>
      </c>
      <c r="J29" s="70">
        <v>366.38133844605721</v>
      </c>
      <c r="K29" s="70">
        <v>370.35262831494998</v>
      </c>
      <c r="L29" s="70">
        <v>374.61000143333331</v>
      </c>
      <c r="M29" s="70">
        <v>357.28055880960187</v>
      </c>
    </row>
    <row r="30" spans="2:13" x14ac:dyDescent="0.35">
      <c r="B30" t="s">
        <v>134</v>
      </c>
      <c r="C30" t="s">
        <v>194</v>
      </c>
      <c r="D30" s="70">
        <v>76.15900000000002</v>
      </c>
      <c r="E30" s="70">
        <v>76.15900000000002</v>
      </c>
      <c r="F30" s="70">
        <v>76.15900000000002</v>
      </c>
      <c r="G30" s="70">
        <v>76.15900000000002</v>
      </c>
      <c r="H30" s="70">
        <v>77.818000000000012</v>
      </c>
      <c r="I30" s="70">
        <v>77.818000000000012</v>
      </c>
      <c r="J30" s="70">
        <v>77.818000000000012</v>
      </c>
      <c r="K30" s="70">
        <v>77.818000000000012</v>
      </c>
      <c r="L30" s="70">
        <v>79.41200000000002</v>
      </c>
      <c r="M30" s="70">
        <v>79.41200000000002</v>
      </c>
    </row>
    <row r="31" spans="2:13" x14ac:dyDescent="0.35">
      <c r="B31" t="s">
        <v>195</v>
      </c>
      <c r="C31" t="s">
        <v>196</v>
      </c>
      <c r="D31" s="70">
        <v>1693.9</v>
      </c>
      <c r="E31" s="70">
        <v>1711.593516628647</v>
      </c>
      <c r="F31" s="70">
        <v>1727.6600432224757</v>
      </c>
      <c r="G31" s="70">
        <v>1750.1328430784008</v>
      </c>
      <c r="H31" s="70">
        <v>1770.0634710049226</v>
      </c>
      <c r="I31" s="70">
        <v>1787.8586745107455</v>
      </c>
      <c r="J31" s="70">
        <v>1804.1285748589264</v>
      </c>
      <c r="K31" s="70">
        <v>1820.6018489614596</v>
      </c>
      <c r="L31" s="70">
        <v>1835.9565674150556</v>
      </c>
      <c r="M31" s="70">
        <v>1849.6842958338334</v>
      </c>
    </row>
    <row r="32" spans="2:13" x14ac:dyDescent="0.35">
      <c r="B32" t="s">
        <v>197</v>
      </c>
      <c r="C32" t="s">
        <v>198</v>
      </c>
      <c r="D32" s="70">
        <v>2874.1</v>
      </c>
      <c r="E32" s="70">
        <v>2903.130301974853</v>
      </c>
      <c r="F32" s="70">
        <v>2935.7643655741699</v>
      </c>
      <c r="G32" s="70">
        <v>2973.7039671206157</v>
      </c>
      <c r="H32" s="70">
        <v>3006.0377172512281</v>
      </c>
      <c r="I32" s="70">
        <v>3037.5706314652921</v>
      </c>
      <c r="J32" s="70">
        <v>3065.6999930340289</v>
      </c>
      <c r="K32" s="70">
        <v>3093.328832154923</v>
      </c>
      <c r="L32" s="70">
        <v>3120.8575667862492</v>
      </c>
      <c r="M32" s="70">
        <v>3146.1</v>
      </c>
    </row>
    <row r="33" spans="2:13" x14ac:dyDescent="0.35">
      <c r="B33" t="s">
        <v>199</v>
      </c>
      <c r="C33" t="s">
        <v>200</v>
      </c>
      <c r="D33" s="70">
        <v>94.873999999999995</v>
      </c>
      <c r="E33" s="70">
        <v>83.295999999999992</v>
      </c>
      <c r="F33" s="70">
        <v>75.782000000000011</v>
      </c>
      <c r="G33" s="70">
        <v>75.782000000000011</v>
      </c>
      <c r="H33" s="70">
        <v>84.266000000000005</v>
      </c>
      <c r="I33" s="70">
        <v>84.266000000000005</v>
      </c>
      <c r="J33" s="70">
        <v>84.266000000000005</v>
      </c>
      <c r="K33" s="70">
        <v>84.266000000000005</v>
      </c>
      <c r="L33" s="70">
        <v>91.364999999999995</v>
      </c>
      <c r="M33" s="70">
        <v>91.364999999999995</v>
      </c>
    </row>
    <row r="34" spans="2:13" x14ac:dyDescent="0.35">
      <c r="B34" t="s">
        <v>201</v>
      </c>
      <c r="C34" t="s">
        <v>202</v>
      </c>
      <c r="D34" s="70">
        <v>12.726000000000001</v>
      </c>
      <c r="E34" s="70">
        <v>12.726000000000001</v>
      </c>
      <c r="F34" s="70">
        <v>12.726000000000001</v>
      </c>
      <c r="G34" s="70">
        <v>12.726000000000001</v>
      </c>
      <c r="H34" s="70">
        <v>1.365</v>
      </c>
      <c r="I34" s="70">
        <v>1.365</v>
      </c>
      <c r="J34" s="70">
        <v>1.365</v>
      </c>
      <c r="K34" s="70">
        <v>1.365</v>
      </c>
      <c r="L34" s="70">
        <v>-0.90100000000000025</v>
      </c>
      <c r="M34" s="70">
        <v>-0.90100000000000025</v>
      </c>
    </row>
    <row r="35" spans="2:13" x14ac:dyDescent="0.35">
      <c r="B35" t="s">
        <v>203</v>
      </c>
      <c r="C35" t="s">
        <v>204</v>
      </c>
      <c r="D35" s="70">
        <v>0.39999999999999858</v>
      </c>
      <c r="E35" s="70">
        <v>0.45544444444444565</v>
      </c>
      <c r="F35" s="70">
        <v>0.51099999999999923</v>
      </c>
      <c r="G35" s="70">
        <v>0.54433333333333422</v>
      </c>
      <c r="H35" s="70">
        <v>0.56822222222222152</v>
      </c>
      <c r="I35" s="70">
        <v>0.56655555555555637</v>
      </c>
      <c r="J35" s="70">
        <v>0.54922222222222317</v>
      </c>
      <c r="K35" s="70">
        <v>0.53988888888888908</v>
      </c>
      <c r="L35" s="70">
        <v>0.53322222222222138</v>
      </c>
      <c r="M35" s="70">
        <v>0.53066666666666507</v>
      </c>
    </row>
    <row r="36" spans="2:13" x14ac:dyDescent="0.35">
      <c r="B36" t="s">
        <v>205</v>
      </c>
      <c r="C36" t="s">
        <v>206</v>
      </c>
      <c r="D36" s="70">
        <v>20</v>
      </c>
      <c r="E36" s="70">
        <v>22.772222222222222</v>
      </c>
      <c r="F36" s="70">
        <v>25.549999999999997</v>
      </c>
      <c r="G36" s="70">
        <v>27.216666666666661</v>
      </c>
      <c r="H36" s="70">
        <v>28.411111111111108</v>
      </c>
      <c r="I36" s="70">
        <v>28.327777777777776</v>
      </c>
      <c r="J36" s="70">
        <v>27.461111111111109</v>
      </c>
      <c r="K36" s="70">
        <v>26.994444444444444</v>
      </c>
      <c r="L36" s="70">
        <v>26.661111111111111</v>
      </c>
      <c r="M36" s="70">
        <v>26.533333333333331</v>
      </c>
    </row>
    <row r="37" spans="2:13" x14ac:dyDescent="0.35">
      <c r="B37" t="s">
        <v>207</v>
      </c>
      <c r="C37" t="s">
        <v>208</v>
      </c>
      <c r="D37" s="70">
        <v>604.79499999999996</v>
      </c>
      <c r="E37" s="70">
        <v>606.05037285109495</v>
      </c>
      <c r="F37" s="70">
        <v>580.65323903901697</v>
      </c>
      <c r="G37" s="70">
        <v>569.0941447642507</v>
      </c>
      <c r="H37" s="70">
        <v>561.70373395965726</v>
      </c>
      <c r="I37" s="70">
        <v>554.82780470342925</v>
      </c>
      <c r="J37" s="70">
        <v>548.03604509087336</v>
      </c>
      <c r="K37" s="70">
        <v>541.32742478432147</v>
      </c>
      <c r="L37" s="70">
        <v>531.08827601622306</v>
      </c>
      <c r="M37" s="70">
        <v>524.58711678596967</v>
      </c>
    </row>
    <row r="38" spans="2:13" x14ac:dyDescent="0.35">
      <c r="B38" t="s">
        <v>209</v>
      </c>
      <c r="C38" t="s">
        <v>210</v>
      </c>
      <c r="D38" s="70">
        <v>784.6</v>
      </c>
      <c r="E38" s="70">
        <v>786.22859405082568</v>
      </c>
      <c r="F38" s="70">
        <v>787.86056857397148</v>
      </c>
      <c r="G38" s="70">
        <v>789.49593058628307</v>
      </c>
      <c r="H38" s="70">
        <v>779.83155088112517</v>
      </c>
      <c r="I38" s="70">
        <v>770.28547480676127</v>
      </c>
      <c r="J38" s="70">
        <v>760.85625418446853</v>
      </c>
      <c r="K38" s="70">
        <v>751.54245856297325</v>
      </c>
      <c r="L38" s="70">
        <v>742.34267500144574</v>
      </c>
      <c r="M38" s="70">
        <v>733.25550785515156</v>
      </c>
    </row>
    <row r="39" spans="2:13" x14ac:dyDescent="0.35">
      <c r="B39" t="s">
        <v>55</v>
      </c>
      <c r="C39" t="s">
        <v>211</v>
      </c>
      <c r="D39" s="70">
        <v>941.6</v>
      </c>
      <c r="E39" s="70">
        <v>958.68725729225423</v>
      </c>
      <c r="F39" s="70">
        <v>976.08459780644091</v>
      </c>
      <c r="G39" s="70">
        <v>993.79764863665025</v>
      </c>
      <c r="H39" s="70">
        <v>1017.7617761487271</v>
      </c>
      <c r="I39" s="70">
        <v>1042.3037671808102</v>
      </c>
      <c r="J39" s="70">
        <v>1067.437556154154</v>
      </c>
      <c r="K39" s="70">
        <v>1093.1774135003152</v>
      </c>
      <c r="L39" s="70">
        <v>1119.5379537635997</v>
      </c>
      <c r="M39" s="70">
        <v>1146.534143898891</v>
      </c>
    </row>
    <row r="40" spans="2:13" x14ac:dyDescent="0.35">
      <c r="B40" t="s">
        <v>212</v>
      </c>
      <c r="C40" t="s">
        <v>213</v>
      </c>
      <c r="D40" s="70">
        <v>0</v>
      </c>
      <c r="E40" s="70">
        <v>0</v>
      </c>
      <c r="F40" s="70">
        <v>0</v>
      </c>
      <c r="G40" s="70">
        <v>0</v>
      </c>
      <c r="H40" s="70">
        <v>0</v>
      </c>
      <c r="I40" s="70">
        <v>0</v>
      </c>
      <c r="J40" s="70">
        <v>0</v>
      </c>
      <c r="K40" s="70">
        <v>0</v>
      </c>
      <c r="L40" s="70">
        <v>0</v>
      </c>
      <c r="M40" s="70">
        <v>0</v>
      </c>
    </row>
    <row r="41" spans="2:13" x14ac:dyDescent="0.35">
      <c r="B41" t="s">
        <v>214</v>
      </c>
      <c r="C41" t="s">
        <v>215</v>
      </c>
      <c r="D41" s="70">
        <v>0</v>
      </c>
      <c r="E41" s="70">
        <v>0</v>
      </c>
      <c r="F41" s="70">
        <v>0</v>
      </c>
      <c r="G41" s="70">
        <v>0</v>
      </c>
      <c r="H41" s="70">
        <v>0</v>
      </c>
      <c r="I41" s="70">
        <v>0</v>
      </c>
      <c r="J41" s="70">
        <v>0</v>
      </c>
      <c r="K41" s="70">
        <v>0</v>
      </c>
      <c r="L41" s="70">
        <v>0</v>
      </c>
      <c r="M41" s="70">
        <v>0</v>
      </c>
    </row>
    <row r="42" spans="2:13" x14ac:dyDescent="0.35">
      <c r="B42" t="s">
        <v>216</v>
      </c>
      <c r="C42" t="s">
        <v>217</v>
      </c>
      <c r="D42" s="70">
        <v>30</v>
      </c>
      <c r="E42" s="70">
        <v>12</v>
      </c>
      <c r="F42" s="70">
        <v>12</v>
      </c>
      <c r="G42" s="70">
        <v>12</v>
      </c>
      <c r="H42" s="70">
        <v>4.2219999999999995</v>
      </c>
      <c r="I42" s="70">
        <v>4.2219999999999995</v>
      </c>
      <c r="J42" s="70">
        <v>4.2219999999999995</v>
      </c>
      <c r="K42" s="70">
        <v>4.2219999999999995</v>
      </c>
      <c r="L42" s="70">
        <v>2.3719999999999999</v>
      </c>
      <c r="M42" s="70">
        <v>2.3719999999999999</v>
      </c>
    </row>
    <row r="43" spans="2:13" x14ac:dyDescent="0.35">
      <c r="B43" t="s">
        <v>852</v>
      </c>
      <c r="C43" t="s">
        <v>219</v>
      </c>
      <c r="D43" s="70">
        <v>6.3160000000000007</v>
      </c>
      <c r="E43" s="70">
        <v>1.4159999999999999</v>
      </c>
      <c r="F43" s="70">
        <v>1.4159999999999999</v>
      </c>
      <c r="G43" s="70">
        <v>1.4159999999999999</v>
      </c>
      <c r="H43" s="70">
        <v>1.4790000000000001</v>
      </c>
      <c r="I43" s="70">
        <v>1.4790000000000001</v>
      </c>
      <c r="J43" s="70">
        <v>1.4790000000000001</v>
      </c>
      <c r="K43" s="70">
        <v>1.4790000000000001</v>
      </c>
      <c r="L43" s="70">
        <v>1.63</v>
      </c>
      <c r="M43" s="70">
        <v>1.63</v>
      </c>
    </row>
    <row r="44" spans="2:13" x14ac:dyDescent="0.35">
      <c r="B44" t="s">
        <v>220</v>
      </c>
      <c r="C44" t="s">
        <v>221</v>
      </c>
      <c r="D44" s="70">
        <v>1903.3740000000003</v>
      </c>
      <c r="E44" s="70">
        <v>1953.929241</v>
      </c>
      <c r="F44" s="70">
        <v>1960.929241</v>
      </c>
      <c r="G44" s="70">
        <v>1967.929241</v>
      </c>
      <c r="H44" s="70">
        <v>1968.478241</v>
      </c>
      <c r="I44" s="70">
        <v>2013.4377810000001</v>
      </c>
      <c r="J44" s="70">
        <v>2020.4377810000001</v>
      </c>
      <c r="K44" s="70">
        <v>2027.4377810000001</v>
      </c>
      <c r="L44" s="70">
        <v>2035.9657810000001</v>
      </c>
      <c r="M44" s="70">
        <v>2068.9121410000002</v>
      </c>
    </row>
    <row r="45" spans="2:13" x14ac:dyDescent="0.35">
      <c r="B45" t="s">
        <v>222</v>
      </c>
      <c r="C45" t="s">
        <v>223</v>
      </c>
      <c r="D45" s="70">
        <v>249.10000000000002</v>
      </c>
      <c r="E45" s="70">
        <v>182.96282157770224</v>
      </c>
      <c r="F45" s="70">
        <v>185.80004652795367</v>
      </c>
      <c r="G45" s="70">
        <v>188.68126864303298</v>
      </c>
      <c r="H45" s="70">
        <v>191.60717019189906</v>
      </c>
      <c r="I45" s="70">
        <v>194.57844402353186</v>
      </c>
      <c r="J45" s="70">
        <v>197.59579373099803</v>
      </c>
      <c r="K45" s="70">
        <v>200.65993381806064</v>
      </c>
      <c r="L45" s="70">
        <v>203.77158986837259</v>
      </c>
      <c r="M45" s="70">
        <v>206.93149871729366</v>
      </c>
    </row>
    <row r="46" spans="2:13" x14ac:dyDescent="0.35">
      <c r="B46" t="s">
        <v>224</v>
      </c>
      <c r="C46" t="s">
        <v>225</v>
      </c>
      <c r="D46" s="70">
        <v>4528.8</v>
      </c>
      <c r="E46" s="70">
        <v>4467.3739968285072</v>
      </c>
      <c r="F46" s="70">
        <v>4457.4043214546246</v>
      </c>
      <c r="G46" s="70">
        <v>4447.8895270730181</v>
      </c>
      <c r="H46" s="70">
        <v>4460.0815040789694</v>
      </c>
      <c r="I46" s="70">
        <v>4467.5864561878179</v>
      </c>
      <c r="J46" s="70">
        <v>4475.4065403252825</v>
      </c>
      <c r="K46" s="70">
        <v>4483.5439444895819</v>
      </c>
      <c r="L46" s="70">
        <v>4513.5325415378738</v>
      </c>
      <c r="M46" s="70">
        <v>4543.7701819739486</v>
      </c>
    </row>
    <row r="47" spans="2:13" x14ac:dyDescent="0.35">
      <c r="B47" t="s">
        <v>226</v>
      </c>
      <c r="C47" t="s">
        <v>227</v>
      </c>
      <c r="D47" s="70">
        <v>2205.8000000000002</v>
      </c>
      <c r="E47" s="70">
        <v>2232.4070379024242</v>
      </c>
      <c r="F47" s="70">
        <v>2257.3320679704652</v>
      </c>
      <c r="G47" s="70">
        <v>2282.8714249965174</v>
      </c>
      <c r="H47" s="70">
        <v>2308.5582874457068</v>
      </c>
      <c r="I47" s="70">
        <v>2332.3157040423512</v>
      </c>
      <c r="J47" s="70">
        <v>2355.3202036226157</v>
      </c>
      <c r="K47" s="70">
        <v>2378.2329159267574</v>
      </c>
      <c r="L47" s="70">
        <v>2402.1008683516784</v>
      </c>
      <c r="M47" s="70">
        <v>2426.7126329151943</v>
      </c>
    </row>
    <row r="48" spans="2:13" x14ac:dyDescent="0.35">
      <c r="B48" t="s">
        <v>228</v>
      </c>
      <c r="C48" t="s">
        <v>229</v>
      </c>
      <c r="D48" s="70">
        <v>350.30119606059549</v>
      </c>
      <c r="E48" s="70">
        <v>360.27870804898345</v>
      </c>
      <c r="F48" s="70">
        <v>370.54040617946271</v>
      </c>
      <c r="G48" s="70">
        <v>381.09438483101775</v>
      </c>
      <c r="H48" s="70">
        <v>381.72153892635089</v>
      </c>
      <c r="I48" s="70">
        <v>382.34972510789402</v>
      </c>
      <c r="J48" s="70">
        <v>382.97894507411644</v>
      </c>
      <c r="K48" s="70">
        <v>383.60920052628245</v>
      </c>
      <c r="L48" s="70">
        <v>385.61244152866738</v>
      </c>
      <c r="M48" s="70">
        <v>400.52681927840081</v>
      </c>
    </row>
    <row r="49" spans="2:13" x14ac:dyDescent="0.35">
      <c r="B49" t="s">
        <v>230</v>
      </c>
      <c r="C49" s="35" t="s">
        <v>231</v>
      </c>
      <c r="D49" s="70">
        <v>95.360546952748706</v>
      </c>
      <c r="E49" s="70">
        <v>88.958815333784486</v>
      </c>
      <c r="F49" s="70">
        <v>83.91599856693604</v>
      </c>
      <c r="G49" s="70">
        <v>81.073902312806027</v>
      </c>
      <c r="H49" s="70">
        <v>78.997448349986072</v>
      </c>
      <c r="I49" s="70">
        <v>79.891365789578444</v>
      </c>
      <c r="J49" s="70">
        <v>81.322435412602999</v>
      </c>
      <c r="K49" s="70">
        <v>83.346777596433256</v>
      </c>
      <c r="L49" s="70">
        <v>86.228959834401508</v>
      </c>
      <c r="M49" s="70">
        <v>89.010927112774183</v>
      </c>
    </row>
    <row r="50" spans="2:13" x14ac:dyDescent="0.35">
      <c r="B50" s="35" t="s">
        <v>1472</v>
      </c>
      <c r="C50" s="35" t="s">
        <v>1471</v>
      </c>
      <c r="D50" s="70">
        <v>0</v>
      </c>
      <c r="E50" s="70">
        <v>0</v>
      </c>
      <c r="F50" s="70">
        <v>0</v>
      </c>
      <c r="G50" s="70">
        <v>20.815079999999998</v>
      </c>
      <c r="H50" s="70">
        <v>21.006180000000001</v>
      </c>
      <c r="I50" s="70">
        <v>25.815300000000001</v>
      </c>
      <c r="J50" s="70">
        <v>26.04045</v>
      </c>
      <c r="K50" s="70">
        <v>26.26465</v>
      </c>
      <c r="L50" s="70">
        <v>26.498349999999999</v>
      </c>
      <c r="M50" s="70">
        <v>26.454419999999999</v>
      </c>
    </row>
    <row r="51" spans="2:13" x14ac:dyDescent="0.35">
      <c r="D51" s="1056"/>
      <c r="E51" s="1056"/>
      <c r="F51" s="1056"/>
      <c r="G51" s="1056"/>
      <c r="H51" s="1056"/>
      <c r="I51" s="1056"/>
      <c r="J51" s="1056"/>
      <c r="K51" s="1056"/>
      <c r="L51" s="1056"/>
      <c r="M51" s="1056"/>
    </row>
    <row r="52" spans="2:13" x14ac:dyDescent="0.35">
      <c r="B52" s="1408" t="s">
        <v>232</v>
      </c>
      <c r="C52" s="1408"/>
      <c r="D52" s="1408"/>
      <c r="E52" s="1408"/>
      <c r="F52" s="1408"/>
      <c r="G52" s="1408"/>
      <c r="H52" s="1408"/>
      <c r="I52" s="1408"/>
      <c r="J52" s="1408"/>
      <c r="K52" s="1408"/>
      <c r="L52" s="1408"/>
      <c r="M52" s="1408"/>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74" t="s">
        <v>192</v>
      </c>
      <c r="C54" s="1174" t="s">
        <v>193</v>
      </c>
      <c r="D54" s="70">
        <f t="shared" ref="D54:M54" si="0">D4-D29</f>
        <v>0</v>
      </c>
      <c r="E54" s="70">
        <f t="shared" si="0"/>
        <v>0</v>
      </c>
      <c r="F54" s="70">
        <f t="shared" si="0"/>
        <v>0</v>
      </c>
      <c r="G54" s="70">
        <f t="shared" si="0"/>
        <v>0</v>
      </c>
      <c r="H54" s="70">
        <f t="shared" si="0"/>
        <v>0</v>
      </c>
      <c r="I54" s="70">
        <f t="shared" si="0"/>
        <v>0</v>
      </c>
      <c r="J54" s="70">
        <f t="shared" si="0"/>
        <v>0</v>
      </c>
      <c r="K54" s="70">
        <f t="shared" si="0"/>
        <v>0</v>
      </c>
      <c r="L54" s="70">
        <f t="shared" si="0"/>
        <v>0</v>
      </c>
      <c r="M54" s="70">
        <f t="shared" si="0"/>
        <v>0</v>
      </c>
    </row>
    <row r="55" spans="2:13" x14ac:dyDescent="0.35">
      <c r="B55" s="1174" t="s">
        <v>134</v>
      </c>
      <c r="C55" s="1174" t="s">
        <v>194</v>
      </c>
      <c r="D55" s="70">
        <f t="shared" ref="D55:M55" si="1">D5-D30</f>
        <v>0</v>
      </c>
      <c r="E55" s="70">
        <f t="shared" si="1"/>
        <v>0</v>
      </c>
      <c r="F55" s="70">
        <f t="shared" si="1"/>
        <v>0</v>
      </c>
      <c r="G55" s="70">
        <f t="shared" si="1"/>
        <v>0</v>
      </c>
      <c r="H55" s="70">
        <f t="shared" si="1"/>
        <v>0</v>
      </c>
      <c r="I55" s="70">
        <f t="shared" si="1"/>
        <v>0</v>
      </c>
      <c r="J55" s="70">
        <f t="shared" si="1"/>
        <v>0</v>
      </c>
      <c r="K55" s="70">
        <f t="shared" si="1"/>
        <v>0</v>
      </c>
      <c r="L55" s="70">
        <f t="shared" si="1"/>
        <v>0</v>
      </c>
      <c r="M55" s="70">
        <f t="shared" si="1"/>
        <v>0</v>
      </c>
    </row>
    <row r="56" spans="2:13" x14ac:dyDescent="0.35">
      <c r="B56" s="1174" t="s">
        <v>195</v>
      </c>
      <c r="C56" s="1174" t="s">
        <v>196</v>
      </c>
      <c r="D56" s="70">
        <f t="shared" ref="D56:M56" si="2">D6-D31</f>
        <v>0</v>
      </c>
      <c r="E56" s="70">
        <f t="shared" si="2"/>
        <v>0</v>
      </c>
      <c r="F56" s="70">
        <f t="shared" si="2"/>
        <v>0</v>
      </c>
      <c r="G56" s="70">
        <f t="shared" si="2"/>
        <v>0</v>
      </c>
      <c r="H56" s="70">
        <f t="shared" si="2"/>
        <v>0</v>
      </c>
      <c r="I56" s="70">
        <f t="shared" si="2"/>
        <v>0</v>
      </c>
      <c r="J56" s="70">
        <f t="shared" si="2"/>
        <v>0</v>
      </c>
      <c r="K56" s="70">
        <f t="shared" si="2"/>
        <v>0</v>
      </c>
      <c r="L56" s="70">
        <f t="shared" si="2"/>
        <v>0</v>
      </c>
      <c r="M56" s="70">
        <f t="shared" si="2"/>
        <v>0</v>
      </c>
    </row>
    <row r="57" spans="2:13" x14ac:dyDescent="0.35">
      <c r="B57" s="1174" t="s">
        <v>197</v>
      </c>
      <c r="C57" s="1174" t="s">
        <v>198</v>
      </c>
      <c r="D57" s="70">
        <f t="shared" ref="D57:M57" si="3">D7-D32</f>
        <v>0</v>
      </c>
      <c r="E57" s="70">
        <f t="shared" si="3"/>
        <v>0</v>
      </c>
      <c r="F57" s="70">
        <f t="shared" si="3"/>
        <v>0</v>
      </c>
      <c r="G57" s="70">
        <f t="shared" si="3"/>
        <v>0</v>
      </c>
      <c r="H57" s="70">
        <f t="shared" si="3"/>
        <v>0</v>
      </c>
      <c r="I57" s="70">
        <f t="shared" si="3"/>
        <v>0</v>
      </c>
      <c r="J57" s="70">
        <f t="shared" si="3"/>
        <v>0</v>
      </c>
      <c r="K57" s="70">
        <f t="shared" si="3"/>
        <v>0</v>
      </c>
      <c r="L57" s="70">
        <f t="shared" si="3"/>
        <v>0</v>
      </c>
      <c r="M57" s="70">
        <f t="shared" si="3"/>
        <v>0</v>
      </c>
    </row>
    <row r="58" spans="2:13" x14ac:dyDescent="0.35">
      <c r="B58" s="1174" t="s">
        <v>199</v>
      </c>
      <c r="C58" s="1174" t="s">
        <v>200</v>
      </c>
      <c r="D58" s="70">
        <f t="shared" ref="D58:M58" si="4">D8-D33</f>
        <v>0</v>
      </c>
      <c r="E58" s="70">
        <f t="shared" si="4"/>
        <v>0</v>
      </c>
      <c r="F58" s="70">
        <f t="shared" si="4"/>
        <v>0</v>
      </c>
      <c r="G58" s="70">
        <f t="shared" si="4"/>
        <v>0</v>
      </c>
      <c r="H58" s="70">
        <f t="shared" si="4"/>
        <v>0</v>
      </c>
      <c r="I58" s="70">
        <f t="shared" si="4"/>
        <v>0</v>
      </c>
      <c r="J58" s="70">
        <f t="shared" si="4"/>
        <v>0</v>
      </c>
      <c r="K58" s="70">
        <f t="shared" si="4"/>
        <v>0</v>
      </c>
      <c r="L58" s="70">
        <f t="shared" si="4"/>
        <v>0</v>
      </c>
      <c r="M58" s="70">
        <f t="shared" si="4"/>
        <v>0</v>
      </c>
    </row>
    <row r="59" spans="2:13" x14ac:dyDescent="0.35">
      <c r="B59" s="1174" t="s">
        <v>201</v>
      </c>
      <c r="C59" s="1174" t="s">
        <v>202</v>
      </c>
      <c r="D59" s="70">
        <f t="shared" ref="D59:M59" si="5">D9-D34</f>
        <v>0</v>
      </c>
      <c r="E59" s="70">
        <f t="shared" si="5"/>
        <v>0</v>
      </c>
      <c r="F59" s="70">
        <f t="shared" si="5"/>
        <v>0</v>
      </c>
      <c r="G59" s="70">
        <f t="shared" si="5"/>
        <v>0</v>
      </c>
      <c r="H59" s="70">
        <f t="shared" si="5"/>
        <v>0</v>
      </c>
      <c r="I59" s="70">
        <f t="shared" si="5"/>
        <v>0</v>
      </c>
      <c r="J59" s="70">
        <f t="shared" si="5"/>
        <v>0</v>
      </c>
      <c r="K59" s="70">
        <f t="shared" si="5"/>
        <v>0</v>
      </c>
      <c r="L59" s="70">
        <f t="shared" si="5"/>
        <v>0</v>
      </c>
      <c r="M59" s="70">
        <f t="shared" si="5"/>
        <v>0</v>
      </c>
    </row>
    <row r="60" spans="2:13" x14ac:dyDescent="0.35">
      <c r="B60" s="1174" t="s">
        <v>203</v>
      </c>
      <c r="C60" s="1174" t="s">
        <v>204</v>
      </c>
      <c r="D60" s="70">
        <f t="shared" ref="D60:M60" si="6">D10-D35</f>
        <v>0</v>
      </c>
      <c r="E60" s="70">
        <f t="shared" si="6"/>
        <v>0</v>
      </c>
      <c r="F60" s="70">
        <f t="shared" si="6"/>
        <v>0</v>
      </c>
      <c r="G60" s="70">
        <f t="shared" si="6"/>
        <v>0</v>
      </c>
      <c r="H60" s="70">
        <f t="shared" si="6"/>
        <v>0</v>
      </c>
      <c r="I60" s="70">
        <f t="shared" si="6"/>
        <v>0</v>
      </c>
      <c r="J60" s="70">
        <f t="shared" si="6"/>
        <v>0</v>
      </c>
      <c r="K60" s="70">
        <f t="shared" si="6"/>
        <v>0</v>
      </c>
      <c r="L60" s="70">
        <f t="shared" si="6"/>
        <v>0</v>
      </c>
      <c r="M60" s="70">
        <f t="shared" si="6"/>
        <v>0</v>
      </c>
    </row>
    <row r="61" spans="2:13" x14ac:dyDescent="0.35">
      <c r="B61" s="1174" t="s">
        <v>205</v>
      </c>
      <c r="C61" s="1174" t="s">
        <v>206</v>
      </c>
      <c r="D61" s="70">
        <f t="shared" ref="D61:M61" si="7">D11-D36</f>
        <v>0</v>
      </c>
      <c r="E61" s="70">
        <f t="shared" si="7"/>
        <v>0</v>
      </c>
      <c r="F61" s="70">
        <f t="shared" si="7"/>
        <v>0</v>
      </c>
      <c r="G61" s="70">
        <f t="shared" si="7"/>
        <v>0</v>
      </c>
      <c r="H61" s="70">
        <f t="shared" si="7"/>
        <v>0</v>
      </c>
      <c r="I61" s="70">
        <f t="shared" si="7"/>
        <v>0</v>
      </c>
      <c r="J61" s="70">
        <f t="shared" si="7"/>
        <v>0</v>
      </c>
      <c r="K61" s="70">
        <f t="shared" si="7"/>
        <v>0</v>
      </c>
      <c r="L61" s="70">
        <f t="shared" si="7"/>
        <v>0</v>
      </c>
      <c r="M61" s="70">
        <f t="shared" si="7"/>
        <v>0</v>
      </c>
    </row>
    <row r="62" spans="2:13" x14ac:dyDescent="0.35">
      <c r="B62" s="1174" t="s">
        <v>207</v>
      </c>
      <c r="C62" s="1174" t="s">
        <v>208</v>
      </c>
      <c r="D62" s="70">
        <f t="shared" ref="D62:M62" si="8">D12-D37</f>
        <v>0</v>
      </c>
      <c r="E62" s="70">
        <f t="shared" si="8"/>
        <v>0</v>
      </c>
      <c r="F62" s="70">
        <f t="shared" si="8"/>
        <v>0</v>
      </c>
      <c r="G62" s="70">
        <f t="shared" si="8"/>
        <v>0</v>
      </c>
      <c r="H62" s="70">
        <f t="shared" si="8"/>
        <v>0</v>
      </c>
      <c r="I62" s="70">
        <f t="shared" si="8"/>
        <v>0</v>
      </c>
      <c r="J62" s="70">
        <f t="shared" si="8"/>
        <v>0</v>
      </c>
      <c r="K62" s="70">
        <f t="shared" si="8"/>
        <v>0</v>
      </c>
      <c r="L62" s="70">
        <f t="shared" si="8"/>
        <v>0</v>
      </c>
      <c r="M62" s="70">
        <f t="shared" si="8"/>
        <v>0</v>
      </c>
    </row>
    <row r="63" spans="2:13" x14ac:dyDescent="0.35">
      <c r="B63" s="1174" t="s">
        <v>209</v>
      </c>
      <c r="C63" s="1174" t="s">
        <v>210</v>
      </c>
      <c r="D63" s="70">
        <f t="shared" ref="D63:M63" si="9">D13-D38</f>
        <v>0</v>
      </c>
      <c r="E63" s="70">
        <f t="shared" si="9"/>
        <v>0</v>
      </c>
      <c r="F63" s="70">
        <f t="shared" si="9"/>
        <v>0</v>
      </c>
      <c r="G63" s="70">
        <f t="shared" si="9"/>
        <v>0</v>
      </c>
      <c r="H63" s="70">
        <f t="shared" si="9"/>
        <v>0</v>
      </c>
      <c r="I63" s="70">
        <f t="shared" si="9"/>
        <v>0</v>
      </c>
      <c r="J63" s="70">
        <f t="shared" si="9"/>
        <v>0</v>
      </c>
      <c r="K63" s="70">
        <f t="shared" si="9"/>
        <v>0</v>
      </c>
      <c r="L63" s="70">
        <f t="shared" si="9"/>
        <v>0</v>
      </c>
      <c r="M63" s="70">
        <f t="shared" si="9"/>
        <v>0</v>
      </c>
    </row>
    <row r="64" spans="2:13" x14ac:dyDescent="0.35">
      <c r="B64" s="1174" t="s">
        <v>55</v>
      </c>
      <c r="C64" s="1174" t="s">
        <v>211</v>
      </c>
      <c r="D64" s="70">
        <f t="shared" ref="D64:M64" si="10">D14-D39</f>
        <v>0</v>
      </c>
      <c r="E64" s="70">
        <f t="shared" si="10"/>
        <v>0</v>
      </c>
      <c r="F64" s="70">
        <f t="shared" si="10"/>
        <v>0</v>
      </c>
      <c r="G64" s="70">
        <f t="shared" si="10"/>
        <v>0</v>
      </c>
      <c r="H64" s="70">
        <f t="shared" si="10"/>
        <v>0</v>
      </c>
      <c r="I64" s="70">
        <f t="shared" si="10"/>
        <v>0</v>
      </c>
      <c r="J64" s="70">
        <f t="shared" si="10"/>
        <v>0</v>
      </c>
      <c r="K64" s="70">
        <f t="shared" si="10"/>
        <v>0</v>
      </c>
      <c r="L64" s="70">
        <f t="shared" si="10"/>
        <v>0</v>
      </c>
      <c r="M64" s="70">
        <f t="shared" si="10"/>
        <v>0</v>
      </c>
    </row>
    <row r="65" spans="2:13" x14ac:dyDescent="0.35">
      <c r="B65" s="1174" t="s">
        <v>212</v>
      </c>
      <c r="C65" s="1174" t="s">
        <v>213</v>
      </c>
      <c r="D65" s="70">
        <f t="shared" ref="D65:M65" si="11">D15-D40</f>
        <v>0</v>
      </c>
      <c r="E65" s="70">
        <f t="shared" si="11"/>
        <v>0</v>
      </c>
      <c r="F65" s="70">
        <f t="shared" si="11"/>
        <v>0</v>
      </c>
      <c r="G65" s="70">
        <f t="shared" si="11"/>
        <v>0</v>
      </c>
      <c r="H65" s="70">
        <f t="shared" si="11"/>
        <v>0</v>
      </c>
      <c r="I65" s="70">
        <f t="shared" si="11"/>
        <v>0</v>
      </c>
      <c r="J65" s="70">
        <f t="shared" si="11"/>
        <v>0</v>
      </c>
      <c r="K65" s="70">
        <f t="shared" si="11"/>
        <v>0</v>
      </c>
      <c r="L65" s="70">
        <f t="shared" si="11"/>
        <v>0</v>
      </c>
      <c r="M65" s="70">
        <f t="shared" si="11"/>
        <v>0</v>
      </c>
    </row>
    <row r="66" spans="2:13" x14ac:dyDescent="0.35">
      <c r="B66" s="1174" t="s">
        <v>214</v>
      </c>
      <c r="C66" s="1174" t="s">
        <v>215</v>
      </c>
      <c r="D66" s="70">
        <f t="shared" ref="D66:M66" si="12">D16-D41</f>
        <v>0</v>
      </c>
      <c r="E66" s="70">
        <f t="shared" si="12"/>
        <v>0</v>
      </c>
      <c r="F66" s="70">
        <f t="shared" si="12"/>
        <v>0</v>
      </c>
      <c r="G66" s="70">
        <f t="shared" si="12"/>
        <v>0</v>
      </c>
      <c r="H66" s="70">
        <f t="shared" si="12"/>
        <v>0</v>
      </c>
      <c r="I66" s="70">
        <f t="shared" si="12"/>
        <v>0</v>
      </c>
      <c r="J66" s="70">
        <f t="shared" si="12"/>
        <v>0</v>
      </c>
      <c r="K66" s="70">
        <f t="shared" si="12"/>
        <v>0</v>
      </c>
      <c r="L66" s="70">
        <f t="shared" si="12"/>
        <v>0</v>
      </c>
      <c r="M66" s="70">
        <f t="shared" si="12"/>
        <v>0</v>
      </c>
    </row>
    <row r="67" spans="2:13" x14ac:dyDescent="0.35">
      <c r="B67" s="1174" t="s">
        <v>216</v>
      </c>
      <c r="C67" s="1174" t="s">
        <v>217</v>
      </c>
      <c r="D67" s="70">
        <f t="shared" ref="D67:M67" si="13">D17-D42</f>
        <v>0</v>
      </c>
      <c r="E67" s="70">
        <f t="shared" si="13"/>
        <v>0</v>
      </c>
      <c r="F67" s="70">
        <f t="shared" si="13"/>
        <v>0</v>
      </c>
      <c r="G67" s="70">
        <f t="shared" si="13"/>
        <v>0</v>
      </c>
      <c r="H67" s="70">
        <f t="shared" si="13"/>
        <v>0</v>
      </c>
      <c r="I67" s="70">
        <f t="shared" si="13"/>
        <v>0</v>
      </c>
      <c r="J67" s="70">
        <f t="shared" si="13"/>
        <v>0</v>
      </c>
      <c r="K67" s="70">
        <f t="shared" si="13"/>
        <v>0</v>
      </c>
      <c r="L67" s="70">
        <f t="shared" si="13"/>
        <v>0</v>
      </c>
      <c r="M67" s="70">
        <f t="shared" si="13"/>
        <v>0</v>
      </c>
    </row>
    <row r="68" spans="2:13" x14ac:dyDescent="0.35">
      <c r="B68" s="1174" t="s">
        <v>878</v>
      </c>
      <c r="C68" s="1174" t="s">
        <v>219</v>
      </c>
      <c r="D68" s="70">
        <f t="shared" ref="D68:M68" si="14">D18-D43</f>
        <v>0</v>
      </c>
      <c r="E68" s="70">
        <f t="shared" si="14"/>
        <v>0</v>
      </c>
      <c r="F68" s="70">
        <f t="shared" si="14"/>
        <v>0</v>
      </c>
      <c r="G68" s="70">
        <f t="shared" si="14"/>
        <v>0</v>
      </c>
      <c r="H68" s="70">
        <f t="shared" si="14"/>
        <v>0</v>
      </c>
      <c r="I68" s="70">
        <f t="shared" si="14"/>
        <v>0</v>
      </c>
      <c r="J68" s="70">
        <f t="shared" si="14"/>
        <v>0</v>
      </c>
      <c r="K68" s="70">
        <f t="shared" si="14"/>
        <v>0</v>
      </c>
      <c r="L68" s="70">
        <f t="shared" si="14"/>
        <v>0</v>
      </c>
      <c r="M68" s="70">
        <f t="shared" si="14"/>
        <v>0</v>
      </c>
    </row>
    <row r="69" spans="2:13" x14ac:dyDescent="0.35">
      <c r="B69" s="1174" t="s">
        <v>220</v>
      </c>
      <c r="C69" s="1174" t="s">
        <v>221</v>
      </c>
      <c r="D69" s="70">
        <f t="shared" ref="D69:M69" si="15">D19-D44</f>
        <v>0</v>
      </c>
      <c r="E69" s="70">
        <f t="shared" si="15"/>
        <v>0</v>
      </c>
      <c r="F69" s="70">
        <f t="shared" si="15"/>
        <v>0</v>
      </c>
      <c r="G69" s="70">
        <f t="shared" si="15"/>
        <v>0</v>
      </c>
      <c r="H69" s="70">
        <f t="shared" si="15"/>
        <v>0</v>
      </c>
      <c r="I69" s="70">
        <f t="shared" si="15"/>
        <v>0</v>
      </c>
      <c r="J69" s="70">
        <f t="shared" si="15"/>
        <v>0</v>
      </c>
      <c r="K69" s="70">
        <f t="shared" si="15"/>
        <v>0</v>
      </c>
      <c r="L69" s="70">
        <f t="shared" si="15"/>
        <v>0</v>
      </c>
      <c r="M69" s="70">
        <f t="shared" si="15"/>
        <v>0</v>
      </c>
    </row>
    <row r="70" spans="2:13" x14ac:dyDescent="0.35">
      <c r="B70" s="1174" t="s">
        <v>222</v>
      </c>
      <c r="C70" s="1174" t="s">
        <v>223</v>
      </c>
      <c r="D70" s="70">
        <f t="shared" ref="D70:M70" si="16">D20-D45</f>
        <v>0</v>
      </c>
      <c r="E70" s="70">
        <f t="shared" si="16"/>
        <v>0</v>
      </c>
      <c r="F70" s="70">
        <f t="shared" si="16"/>
        <v>0</v>
      </c>
      <c r="G70" s="70">
        <f t="shared" si="16"/>
        <v>0</v>
      </c>
      <c r="H70" s="70">
        <f t="shared" si="16"/>
        <v>0</v>
      </c>
      <c r="I70" s="70">
        <f t="shared" si="16"/>
        <v>0</v>
      </c>
      <c r="J70" s="70">
        <f t="shared" si="16"/>
        <v>0</v>
      </c>
      <c r="K70" s="70">
        <f t="shared" si="16"/>
        <v>0</v>
      </c>
      <c r="L70" s="70">
        <f t="shared" si="16"/>
        <v>0</v>
      </c>
      <c r="M70" s="70">
        <f t="shared" si="16"/>
        <v>0</v>
      </c>
    </row>
    <row r="71" spans="2:13" x14ac:dyDescent="0.35">
      <c r="B71" s="1174" t="s">
        <v>224</v>
      </c>
      <c r="C71" s="1174" t="s">
        <v>225</v>
      </c>
      <c r="D71" s="70">
        <f t="shared" ref="D71:M71" si="17">D21-D46</f>
        <v>0</v>
      </c>
      <c r="E71" s="70">
        <f t="shared" si="17"/>
        <v>0</v>
      </c>
      <c r="F71" s="70">
        <f t="shared" si="17"/>
        <v>0</v>
      </c>
      <c r="G71" s="70">
        <f t="shared" si="17"/>
        <v>0</v>
      </c>
      <c r="H71" s="70">
        <f t="shared" si="17"/>
        <v>0</v>
      </c>
      <c r="I71" s="70">
        <f t="shared" si="17"/>
        <v>0</v>
      </c>
      <c r="J71" s="70">
        <f t="shared" si="17"/>
        <v>0</v>
      </c>
      <c r="K71" s="70">
        <f t="shared" si="17"/>
        <v>0</v>
      </c>
      <c r="L71" s="70">
        <f t="shared" si="17"/>
        <v>0</v>
      </c>
      <c r="M71" s="70">
        <f t="shared" si="17"/>
        <v>0</v>
      </c>
    </row>
    <row r="72" spans="2:13" x14ac:dyDescent="0.35">
      <c r="B72" s="1174" t="s">
        <v>226</v>
      </c>
      <c r="C72" s="1174" t="s">
        <v>227</v>
      </c>
      <c r="D72" s="70">
        <f t="shared" ref="D72:M72" si="18">D22-D47</f>
        <v>0</v>
      </c>
      <c r="E72" s="70">
        <f t="shared" si="18"/>
        <v>0</v>
      </c>
      <c r="F72" s="70">
        <f t="shared" si="18"/>
        <v>0</v>
      </c>
      <c r="G72" s="70">
        <f t="shared" si="18"/>
        <v>0</v>
      </c>
      <c r="H72" s="70">
        <f t="shared" si="18"/>
        <v>0</v>
      </c>
      <c r="I72" s="70">
        <f t="shared" si="18"/>
        <v>0</v>
      </c>
      <c r="J72" s="70">
        <f t="shared" si="18"/>
        <v>0</v>
      </c>
      <c r="K72" s="70">
        <f t="shared" si="18"/>
        <v>0</v>
      </c>
      <c r="L72" s="70">
        <f t="shared" si="18"/>
        <v>0</v>
      </c>
      <c r="M72" s="70">
        <f t="shared" si="18"/>
        <v>0</v>
      </c>
    </row>
    <row r="73" spans="2:13" x14ac:dyDescent="0.35">
      <c r="B73" s="1174" t="s">
        <v>228</v>
      </c>
      <c r="C73" s="1174" t="s">
        <v>229</v>
      </c>
      <c r="D73" s="70">
        <f t="shared" ref="D73:M73" si="19">D23-D48</f>
        <v>0</v>
      </c>
      <c r="E73" s="70">
        <f t="shared" si="19"/>
        <v>0</v>
      </c>
      <c r="F73" s="70">
        <f t="shared" si="19"/>
        <v>0</v>
      </c>
      <c r="G73" s="70">
        <f t="shared" si="19"/>
        <v>0</v>
      </c>
      <c r="H73" s="70">
        <f t="shared" si="19"/>
        <v>0</v>
      </c>
      <c r="I73" s="70">
        <f t="shared" si="19"/>
        <v>0</v>
      </c>
      <c r="J73" s="70">
        <f t="shared" si="19"/>
        <v>0</v>
      </c>
      <c r="K73" s="70">
        <f t="shared" si="19"/>
        <v>0</v>
      </c>
      <c r="L73" s="70">
        <f t="shared" si="19"/>
        <v>0</v>
      </c>
      <c r="M73" s="70">
        <f t="shared" si="19"/>
        <v>0</v>
      </c>
    </row>
    <row r="74" spans="2:13" x14ac:dyDescent="0.35">
      <c r="B74" s="1174" t="s">
        <v>230</v>
      </c>
      <c r="C74" s="1174" t="s">
        <v>231</v>
      </c>
      <c r="D74" s="70">
        <f t="shared" ref="D74:M74" si="20">D24-D49</f>
        <v>0</v>
      </c>
      <c r="E74" s="70">
        <f t="shared" si="20"/>
        <v>0</v>
      </c>
      <c r="F74" s="70">
        <f t="shared" si="20"/>
        <v>0</v>
      </c>
      <c r="G74" s="70">
        <f t="shared" si="20"/>
        <v>0</v>
      </c>
      <c r="H74" s="70">
        <f t="shared" si="20"/>
        <v>0</v>
      </c>
      <c r="I74" s="70">
        <f t="shared" si="20"/>
        <v>0</v>
      </c>
      <c r="J74" s="70">
        <f t="shared" si="20"/>
        <v>0</v>
      </c>
      <c r="K74" s="70">
        <f t="shared" si="20"/>
        <v>0</v>
      </c>
      <c r="L74" s="70">
        <f t="shared" si="20"/>
        <v>0</v>
      </c>
      <c r="M74" s="70">
        <f t="shared" si="20"/>
        <v>0</v>
      </c>
    </row>
    <row r="75" spans="2:13" x14ac:dyDescent="0.35">
      <c r="B75" s="1175" t="s">
        <v>1472</v>
      </c>
      <c r="C75" s="1175" t="s">
        <v>1471</v>
      </c>
      <c r="D75" s="70">
        <f t="shared" ref="D75:M75" si="21">D25-D50</f>
        <v>0</v>
      </c>
      <c r="E75" s="70">
        <f t="shared" si="21"/>
        <v>0</v>
      </c>
      <c r="F75" s="70">
        <f t="shared" si="21"/>
        <v>0</v>
      </c>
      <c r="G75" s="70">
        <f t="shared" si="21"/>
        <v>0</v>
      </c>
      <c r="H75" s="70">
        <f t="shared" si="21"/>
        <v>0</v>
      </c>
      <c r="I75" s="70">
        <f t="shared" si="21"/>
        <v>0</v>
      </c>
      <c r="J75" s="70">
        <f t="shared" si="21"/>
        <v>0</v>
      </c>
      <c r="K75" s="70">
        <f t="shared" si="21"/>
        <v>0</v>
      </c>
      <c r="L75" s="70">
        <f t="shared" si="21"/>
        <v>0</v>
      </c>
      <c r="M75" s="70">
        <f t="shared" si="21"/>
        <v>0</v>
      </c>
    </row>
    <row r="76" spans="2:13" x14ac:dyDescent="0.35">
      <c r="B76" s="35"/>
      <c r="C76" s="35"/>
      <c r="D76" s="70"/>
      <c r="E76" s="70"/>
      <c r="F76" s="70"/>
      <c r="G76" s="70"/>
      <c r="H76" s="70"/>
      <c r="I76" s="70"/>
      <c r="J76" s="70"/>
      <c r="K76" s="70"/>
      <c r="L76" s="70"/>
      <c r="M76" s="70"/>
    </row>
    <row r="78" spans="2:13" x14ac:dyDescent="0.35">
      <c r="B78" s="1408" t="s">
        <v>233</v>
      </c>
      <c r="C78" s="1408"/>
      <c r="D78" s="1408"/>
      <c r="E78" s="1408"/>
      <c r="F78" s="1408"/>
      <c r="G78" s="1408"/>
      <c r="H78" s="1408"/>
      <c r="I78" s="1408"/>
      <c r="J78" s="1408"/>
      <c r="K78" s="1408"/>
      <c r="L78" s="1408"/>
      <c r="M78" s="1408"/>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1">
        <f t="shared" ref="D80:M80" si="22">(D4/D29-1)</f>
        <v>0</v>
      </c>
      <c r="E80" s="71">
        <f t="shared" si="22"/>
        <v>0</v>
      </c>
      <c r="F80" s="71">
        <f t="shared" si="22"/>
        <v>0</v>
      </c>
      <c r="G80" s="71">
        <f t="shared" si="22"/>
        <v>0</v>
      </c>
      <c r="H80" s="71">
        <f t="shared" si="22"/>
        <v>0</v>
      </c>
      <c r="I80" s="71">
        <f t="shared" si="22"/>
        <v>0</v>
      </c>
      <c r="J80" s="71">
        <f t="shared" si="22"/>
        <v>0</v>
      </c>
      <c r="K80" s="71">
        <f t="shared" si="22"/>
        <v>0</v>
      </c>
      <c r="L80" s="71">
        <f t="shared" si="22"/>
        <v>0</v>
      </c>
      <c r="M80" s="71">
        <f t="shared" si="22"/>
        <v>0</v>
      </c>
    </row>
    <row r="81" spans="2:13" x14ac:dyDescent="0.35">
      <c r="B81" t="s">
        <v>134</v>
      </c>
      <c r="C81" t="s">
        <v>194</v>
      </c>
      <c r="D81" s="71">
        <f t="shared" ref="D81:M81" si="23">(D5/D30-1)</f>
        <v>0</v>
      </c>
      <c r="E81" s="71">
        <f t="shared" si="23"/>
        <v>0</v>
      </c>
      <c r="F81" s="71">
        <f t="shared" si="23"/>
        <v>0</v>
      </c>
      <c r="G81" s="71">
        <f t="shared" si="23"/>
        <v>0</v>
      </c>
      <c r="H81" s="71">
        <f t="shared" si="23"/>
        <v>0</v>
      </c>
      <c r="I81" s="71">
        <f t="shared" si="23"/>
        <v>0</v>
      </c>
      <c r="J81" s="71">
        <f t="shared" si="23"/>
        <v>0</v>
      </c>
      <c r="K81" s="71">
        <f t="shared" si="23"/>
        <v>0</v>
      </c>
      <c r="L81" s="71">
        <f t="shared" si="23"/>
        <v>0</v>
      </c>
      <c r="M81" s="71">
        <f t="shared" si="23"/>
        <v>0</v>
      </c>
    </row>
    <row r="82" spans="2:13" x14ac:dyDescent="0.35">
      <c r="B82" t="s">
        <v>195</v>
      </c>
      <c r="C82" t="s">
        <v>196</v>
      </c>
      <c r="D82" s="71">
        <f t="shared" ref="D82:M82" si="24">(D6/D31-1)</f>
        <v>0</v>
      </c>
      <c r="E82" s="71">
        <f t="shared" si="24"/>
        <v>0</v>
      </c>
      <c r="F82" s="71">
        <f t="shared" si="24"/>
        <v>0</v>
      </c>
      <c r="G82" s="71">
        <f t="shared" si="24"/>
        <v>0</v>
      </c>
      <c r="H82" s="71">
        <f t="shared" si="24"/>
        <v>0</v>
      </c>
      <c r="I82" s="71">
        <f t="shared" si="24"/>
        <v>0</v>
      </c>
      <c r="J82" s="71">
        <f t="shared" si="24"/>
        <v>0</v>
      </c>
      <c r="K82" s="71">
        <f t="shared" si="24"/>
        <v>0</v>
      </c>
      <c r="L82" s="71">
        <f t="shared" si="24"/>
        <v>0</v>
      </c>
      <c r="M82" s="71">
        <f t="shared" si="24"/>
        <v>0</v>
      </c>
    </row>
    <row r="83" spans="2:13" x14ac:dyDescent="0.35">
      <c r="B83" t="s">
        <v>197</v>
      </c>
      <c r="C83" t="s">
        <v>198</v>
      </c>
      <c r="D83" s="71">
        <f t="shared" ref="D83:M83" si="25">(D7/D32-1)</f>
        <v>0</v>
      </c>
      <c r="E83" s="71">
        <f t="shared" si="25"/>
        <v>0</v>
      </c>
      <c r="F83" s="71">
        <f t="shared" si="25"/>
        <v>0</v>
      </c>
      <c r="G83" s="71">
        <f t="shared" si="25"/>
        <v>0</v>
      </c>
      <c r="H83" s="71">
        <f t="shared" si="25"/>
        <v>0</v>
      </c>
      <c r="I83" s="71">
        <f t="shared" si="25"/>
        <v>0</v>
      </c>
      <c r="J83" s="71">
        <f t="shared" si="25"/>
        <v>0</v>
      </c>
      <c r="K83" s="71">
        <f t="shared" si="25"/>
        <v>0</v>
      </c>
      <c r="L83" s="71">
        <f t="shared" si="25"/>
        <v>0</v>
      </c>
      <c r="M83" s="71">
        <f t="shared" si="25"/>
        <v>0</v>
      </c>
    </row>
    <row r="84" spans="2:13" x14ac:dyDescent="0.35">
      <c r="B84" t="s">
        <v>199</v>
      </c>
      <c r="C84" t="s">
        <v>200</v>
      </c>
      <c r="D84" s="71">
        <f t="shared" ref="D84:M84" si="26">(D8/D33-1)</f>
        <v>0</v>
      </c>
      <c r="E84" s="71">
        <f t="shared" si="26"/>
        <v>0</v>
      </c>
      <c r="F84" s="71">
        <f t="shared" si="26"/>
        <v>0</v>
      </c>
      <c r="G84" s="71">
        <f t="shared" si="26"/>
        <v>0</v>
      </c>
      <c r="H84" s="71">
        <f t="shared" si="26"/>
        <v>0</v>
      </c>
      <c r="I84" s="71">
        <f t="shared" si="26"/>
        <v>0</v>
      </c>
      <c r="J84" s="71">
        <f t="shared" si="26"/>
        <v>0</v>
      </c>
      <c r="K84" s="71">
        <f t="shared" si="26"/>
        <v>0</v>
      </c>
      <c r="L84" s="71">
        <f t="shared" si="26"/>
        <v>0</v>
      </c>
      <c r="M84" s="71">
        <f t="shared" si="26"/>
        <v>0</v>
      </c>
    </row>
    <row r="85" spans="2:13" x14ac:dyDescent="0.35">
      <c r="B85" t="s">
        <v>201</v>
      </c>
      <c r="C85" t="s">
        <v>202</v>
      </c>
      <c r="D85" s="71">
        <f t="shared" ref="D85:M85" si="27">(D9/D34-1)</f>
        <v>0</v>
      </c>
      <c r="E85" s="71">
        <f t="shared" si="27"/>
        <v>0</v>
      </c>
      <c r="F85" s="71">
        <f t="shared" si="27"/>
        <v>0</v>
      </c>
      <c r="G85" s="71">
        <f t="shared" si="27"/>
        <v>0</v>
      </c>
      <c r="H85" s="71">
        <f t="shared" si="27"/>
        <v>0</v>
      </c>
      <c r="I85" s="71">
        <f t="shared" si="27"/>
        <v>0</v>
      </c>
      <c r="J85" s="71">
        <f t="shared" si="27"/>
        <v>0</v>
      </c>
      <c r="K85" s="71">
        <f t="shared" si="27"/>
        <v>0</v>
      </c>
      <c r="L85" s="71">
        <f t="shared" si="27"/>
        <v>0</v>
      </c>
      <c r="M85" s="71">
        <f t="shared" si="27"/>
        <v>0</v>
      </c>
    </row>
    <row r="86" spans="2:13" x14ac:dyDescent="0.35">
      <c r="B86" t="s">
        <v>203</v>
      </c>
      <c r="C86" t="s">
        <v>204</v>
      </c>
      <c r="D86" s="71">
        <f t="shared" ref="D86:M86" si="28">(D10/D35-1)</f>
        <v>0</v>
      </c>
      <c r="E86" s="71">
        <f t="shared" si="28"/>
        <v>0</v>
      </c>
      <c r="F86" s="71">
        <f t="shared" si="28"/>
        <v>0</v>
      </c>
      <c r="G86" s="71">
        <f t="shared" si="28"/>
        <v>0</v>
      </c>
      <c r="H86" s="71">
        <f t="shared" si="28"/>
        <v>0</v>
      </c>
      <c r="I86" s="71">
        <f t="shared" si="28"/>
        <v>0</v>
      </c>
      <c r="J86" s="71">
        <f t="shared" si="28"/>
        <v>0</v>
      </c>
      <c r="K86" s="71">
        <f t="shared" si="28"/>
        <v>0</v>
      </c>
      <c r="L86" s="71">
        <f t="shared" si="28"/>
        <v>0</v>
      </c>
      <c r="M86" s="71">
        <f t="shared" si="28"/>
        <v>0</v>
      </c>
    </row>
    <row r="87" spans="2:13" x14ac:dyDescent="0.35">
      <c r="B87" t="s">
        <v>205</v>
      </c>
      <c r="C87" t="s">
        <v>206</v>
      </c>
      <c r="D87" s="71">
        <f t="shared" ref="D87:M87" si="29">(D11/D36-1)</f>
        <v>0</v>
      </c>
      <c r="E87" s="71">
        <f t="shared" si="29"/>
        <v>0</v>
      </c>
      <c r="F87" s="71">
        <f t="shared" si="29"/>
        <v>0</v>
      </c>
      <c r="G87" s="71">
        <f t="shared" si="29"/>
        <v>0</v>
      </c>
      <c r="H87" s="71">
        <f t="shared" si="29"/>
        <v>0</v>
      </c>
      <c r="I87" s="71">
        <f t="shared" si="29"/>
        <v>0</v>
      </c>
      <c r="J87" s="71">
        <f t="shared" si="29"/>
        <v>0</v>
      </c>
      <c r="K87" s="71">
        <f t="shared" si="29"/>
        <v>0</v>
      </c>
      <c r="L87" s="71">
        <f t="shared" si="29"/>
        <v>0</v>
      </c>
      <c r="M87" s="71">
        <f t="shared" si="29"/>
        <v>0</v>
      </c>
    </row>
    <row r="88" spans="2:13" x14ac:dyDescent="0.35">
      <c r="B88" t="s">
        <v>207</v>
      </c>
      <c r="C88" t="s">
        <v>208</v>
      </c>
      <c r="D88" s="71">
        <f t="shared" ref="D88:M88" si="30">(D12/D37-1)</f>
        <v>0</v>
      </c>
      <c r="E88" s="71">
        <f t="shared" si="30"/>
        <v>0</v>
      </c>
      <c r="F88" s="71">
        <f t="shared" si="30"/>
        <v>0</v>
      </c>
      <c r="G88" s="71">
        <f t="shared" si="30"/>
        <v>0</v>
      </c>
      <c r="H88" s="71">
        <f t="shared" si="30"/>
        <v>0</v>
      </c>
      <c r="I88" s="71">
        <f t="shared" si="30"/>
        <v>0</v>
      </c>
      <c r="J88" s="71">
        <f t="shared" si="30"/>
        <v>0</v>
      </c>
      <c r="K88" s="71">
        <f t="shared" si="30"/>
        <v>0</v>
      </c>
      <c r="L88" s="71">
        <f t="shared" si="30"/>
        <v>0</v>
      </c>
      <c r="M88" s="71">
        <f t="shared" si="30"/>
        <v>0</v>
      </c>
    </row>
    <row r="89" spans="2:13" x14ac:dyDescent="0.35">
      <c r="B89" t="s">
        <v>209</v>
      </c>
      <c r="C89" t="s">
        <v>210</v>
      </c>
      <c r="D89" s="71">
        <f t="shared" ref="D89:M89" si="31">(D13/D38-1)</f>
        <v>0</v>
      </c>
      <c r="E89" s="71">
        <f t="shared" si="31"/>
        <v>0</v>
      </c>
      <c r="F89" s="71">
        <f t="shared" si="31"/>
        <v>0</v>
      </c>
      <c r="G89" s="71">
        <f t="shared" si="31"/>
        <v>0</v>
      </c>
      <c r="H89" s="71">
        <f t="shared" si="31"/>
        <v>0</v>
      </c>
      <c r="I89" s="71">
        <f t="shared" si="31"/>
        <v>0</v>
      </c>
      <c r="J89" s="71">
        <f t="shared" si="31"/>
        <v>0</v>
      </c>
      <c r="K89" s="71">
        <f t="shared" si="31"/>
        <v>0</v>
      </c>
      <c r="L89" s="71">
        <f t="shared" si="31"/>
        <v>0</v>
      </c>
      <c r="M89" s="71">
        <f t="shared" si="31"/>
        <v>0</v>
      </c>
    </row>
    <row r="90" spans="2:13" x14ac:dyDescent="0.35">
      <c r="B90" t="s">
        <v>55</v>
      </c>
      <c r="C90" t="s">
        <v>211</v>
      </c>
      <c r="D90" s="71">
        <f t="shared" ref="D90:M90" si="32">(D14/D39-1)</f>
        <v>0</v>
      </c>
      <c r="E90" s="71">
        <f t="shared" si="32"/>
        <v>0</v>
      </c>
      <c r="F90" s="71">
        <f t="shared" si="32"/>
        <v>0</v>
      </c>
      <c r="G90" s="71">
        <f t="shared" si="32"/>
        <v>0</v>
      </c>
      <c r="H90" s="71">
        <f t="shared" si="32"/>
        <v>0</v>
      </c>
      <c r="I90" s="71">
        <f t="shared" si="32"/>
        <v>0</v>
      </c>
      <c r="J90" s="71">
        <f t="shared" si="32"/>
        <v>0</v>
      </c>
      <c r="K90" s="71">
        <f t="shared" si="32"/>
        <v>0</v>
      </c>
      <c r="L90" s="71">
        <f t="shared" si="32"/>
        <v>0</v>
      </c>
      <c r="M90" s="71">
        <f t="shared" si="32"/>
        <v>0</v>
      </c>
    </row>
    <row r="91" spans="2:13" x14ac:dyDescent="0.35">
      <c r="B91" t="s">
        <v>212</v>
      </c>
      <c r="C91" t="s">
        <v>213</v>
      </c>
      <c r="D91" s="71" t="e">
        <f t="shared" ref="D91:M91" si="33">(D15/D40-1)</f>
        <v>#DIV/0!</v>
      </c>
      <c r="E91" s="71" t="e">
        <f t="shared" si="33"/>
        <v>#DIV/0!</v>
      </c>
      <c r="F91" s="71" t="e">
        <f t="shared" si="33"/>
        <v>#DIV/0!</v>
      </c>
      <c r="G91" s="71" t="e">
        <f t="shared" si="33"/>
        <v>#DIV/0!</v>
      </c>
      <c r="H91" s="71" t="e">
        <f t="shared" si="33"/>
        <v>#DIV/0!</v>
      </c>
      <c r="I91" s="71" t="e">
        <f t="shared" si="33"/>
        <v>#DIV/0!</v>
      </c>
      <c r="J91" s="71" t="e">
        <f t="shared" si="33"/>
        <v>#DIV/0!</v>
      </c>
      <c r="K91" s="71" t="e">
        <f t="shared" si="33"/>
        <v>#DIV/0!</v>
      </c>
      <c r="L91" s="71" t="e">
        <f t="shared" si="33"/>
        <v>#DIV/0!</v>
      </c>
      <c r="M91" s="71" t="e">
        <f t="shared" si="33"/>
        <v>#DIV/0!</v>
      </c>
    </row>
    <row r="92" spans="2:13" x14ac:dyDescent="0.35">
      <c r="B92" t="s">
        <v>214</v>
      </c>
      <c r="C92" t="s">
        <v>215</v>
      </c>
      <c r="D92" s="71" t="e">
        <f t="shared" ref="D92:M92" si="34">(D16/D41-1)</f>
        <v>#DIV/0!</v>
      </c>
      <c r="E92" s="71" t="e">
        <f t="shared" si="34"/>
        <v>#DIV/0!</v>
      </c>
      <c r="F92" s="71" t="e">
        <f t="shared" si="34"/>
        <v>#DIV/0!</v>
      </c>
      <c r="G92" s="71" t="e">
        <f t="shared" si="34"/>
        <v>#DIV/0!</v>
      </c>
      <c r="H92" s="71" t="e">
        <f t="shared" si="34"/>
        <v>#DIV/0!</v>
      </c>
      <c r="I92" s="71" t="e">
        <f t="shared" si="34"/>
        <v>#DIV/0!</v>
      </c>
      <c r="J92" s="71" t="e">
        <f t="shared" si="34"/>
        <v>#DIV/0!</v>
      </c>
      <c r="K92" s="71" t="e">
        <f t="shared" si="34"/>
        <v>#DIV/0!</v>
      </c>
      <c r="L92" s="71" t="e">
        <f t="shared" si="34"/>
        <v>#DIV/0!</v>
      </c>
      <c r="M92" s="71" t="e">
        <f t="shared" si="34"/>
        <v>#DIV/0!</v>
      </c>
    </row>
    <row r="93" spans="2:13" x14ac:dyDescent="0.35">
      <c r="B93" t="s">
        <v>216</v>
      </c>
      <c r="C93" t="s">
        <v>217</v>
      </c>
      <c r="D93" s="71">
        <f t="shared" ref="D93:M93" si="35">(D17/D42-1)</f>
        <v>0</v>
      </c>
      <c r="E93" s="71">
        <f t="shared" si="35"/>
        <v>0</v>
      </c>
      <c r="F93" s="71">
        <f t="shared" si="35"/>
        <v>0</v>
      </c>
      <c r="G93" s="71">
        <f t="shared" si="35"/>
        <v>0</v>
      </c>
      <c r="H93" s="71">
        <f t="shared" si="35"/>
        <v>0</v>
      </c>
      <c r="I93" s="71">
        <f t="shared" si="35"/>
        <v>0</v>
      </c>
      <c r="J93" s="71">
        <f t="shared" si="35"/>
        <v>0</v>
      </c>
      <c r="K93" s="71">
        <f t="shared" si="35"/>
        <v>0</v>
      </c>
      <c r="L93" s="71">
        <f t="shared" si="35"/>
        <v>0</v>
      </c>
      <c r="M93" s="71">
        <f t="shared" si="35"/>
        <v>0</v>
      </c>
    </row>
    <row r="94" spans="2:13" x14ac:dyDescent="0.35">
      <c r="B94" t="s">
        <v>218</v>
      </c>
      <c r="C94" t="s">
        <v>219</v>
      </c>
      <c r="D94" s="71">
        <f t="shared" ref="D94:M94" si="36">(D18/D43-1)</f>
        <v>0</v>
      </c>
      <c r="E94" s="71">
        <f t="shared" si="36"/>
        <v>0</v>
      </c>
      <c r="F94" s="71">
        <f t="shared" si="36"/>
        <v>0</v>
      </c>
      <c r="G94" s="71">
        <f t="shared" si="36"/>
        <v>0</v>
      </c>
      <c r="H94" s="71">
        <f t="shared" si="36"/>
        <v>0</v>
      </c>
      <c r="I94" s="71">
        <f t="shared" si="36"/>
        <v>0</v>
      </c>
      <c r="J94" s="71">
        <f t="shared" si="36"/>
        <v>0</v>
      </c>
      <c r="K94" s="71">
        <f t="shared" si="36"/>
        <v>0</v>
      </c>
      <c r="L94" s="71">
        <f t="shared" si="36"/>
        <v>0</v>
      </c>
      <c r="M94" s="71">
        <f t="shared" si="36"/>
        <v>0</v>
      </c>
    </row>
    <row r="95" spans="2:13" x14ac:dyDescent="0.35">
      <c r="B95" t="s">
        <v>220</v>
      </c>
      <c r="C95" t="s">
        <v>221</v>
      </c>
      <c r="D95" s="71">
        <f t="shared" ref="D95:M95" si="37">(D19/D44-1)</f>
        <v>0</v>
      </c>
      <c r="E95" s="71">
        <f t="shared" si="37"/>
        <v>0</v>
      </c>
      <c r="F95" s="71">
        <f t="shared" si="37"/>
        <v>0</v>
      </c>
      <c r="G95" s="71">
        <f t="shared" si="37"/>
        <v>0</v>
      </c>
      <c r="H95" s="71">
        <f t="shared" si="37"/>
        <v>0</v>
      </c>
      <c r="I95" s="71">
        <f t="shared" si="37"/>
        <v>0</v>
      </c>
      <c r="J95" s="71">
        <f t="shared" si="37"/>
        <v>0</v>
      </c>
      <c r="K95" s="71">
        <f t="shared" si="37"/>
        <v>0</v>
      </c>
      <c r="L95" s="71">
        <f t="shared" si="37"/>
        <v>0</v>
      </c>
      <c r="M95" s="71">
        <f t="shared" si="37"/>
        <v>0</v>
      </c>
    </row>
    <row r="96" spans="2:13" x14ac:dyDescent="0.35">
      <c r="B96" t="s">
        <v>222</v>
      </c>
      <c r="C96" t="s">
        <v>223</v>
      </c>
      <c r="D96" s="71">
        <f t="shared" ref="D96:M96" si="38">(D20/D45-1)</f>
        <v>0</v>
      </c>
      <c r="E96" s="71">
        <f t="shared" si="38"/>
        <v>0</v>
      </c>
      <c r="F96" s="71">
        <f t="shared" si="38"/>
        <v>0</v>
      </c>
      <c r="G96" s="71">
        <f t="shared" si="38"/>
        <v>0</v>
      </c>
      <c r="H96" s="71">
        <f t="shared" si="38"/>
        <v>0</v>
      </c>
      <c r="I96" s="71">
        <f t="shared" si="38"/>
        <v>0</v>
      </c>
      <c r="J96" s="71">
        <f t="shared" si="38"/>
        <v>0</v>
      </c>
      <c r="K96" s="71">
        <f t="shared" si="38"/>
        <v>0</v>
      </c>
      <c r="L96" s="71">
        <f t="shared" si="38"/>
        <v>0</v>
      </c>
      <c r="M96" s="71">
        <f t="shared" si="38"/>
        <v>0</v>
      </c>
    </row>
    <row r="97" spans="2:13" x14ac:dyDescent="0.35">
      <c r="B97" t="s">
        <v>224</v>
      </c>
      <c r="C97" t="s">
        <v>225</v>
      </c>
      <c r="D97" s="71">
        <f t="shared" ref="D97:M97" si="39">(D21/D46-1)</f>
        <v>0</v>
      </c>
      <c r="E97" s="71">
        <f t="shared" si="39"/>
        <v>0</v>
      </c>
      <c r="F97" s="71">
        <f t="shared" si="39"/>
        <v>0</v>
      </c>
      <c r="G97" s="71">
        <f t="shared" si="39"/>
        <v>0</v>
      </c>
      <c r="H97" s="71">
        <f t="shared" si="39"/>
        <v>0</v>
      </c>
      <c r="I97" s="71">
        <f t="shared" si="39"/>
        <v>0</v>
      </c>
      <c r="J97" s="71">
        <f t="shared" si="39"/>
        <v>0</v>
      </c>
      <c r="K97" s="71">
        <f t="shared" si="39"/>
        <v>0</v>
      </c>
      <c r="L97" s="71">
        <f t="shared" si="39"/>
        <v>0</v>
      </c>
      <c r="M97" s="71">
        <f t="shared" si="39"/>
        <v>0</v>
      </c>
    </row>
    <row r="98" spans="2:13" x14ac:dyDescent="0.35">
      <c r="B98" t="s">
        <v>226</v>
      </c>
      <c r="C98" t="s">
        <v>227</v>
      </c>
      <c r="D98" s="71">
        <f t="shared" ref="D98:M98" si="40">(D22/D47-1)</f>
        <v>0</v>
      </c>
      <c r="E98" s="71">
        <f t="shared" si="40"/>
        <v>0</v>
      </c>
      <c r="F98" s="71">
        <f t="shared" si="40"/>
        <v>0</v>
      </c>
      <c r="G98" s="71">
        <f t="shared" si="40"/>
        <v>0</v>
      </c>
      <c r="H98" s="71">
        <f t="shared" si="40"/>
        <v>0</v>
      </c>
      <c r="I98" s="71">
        <f t="shared" si="40"/>
        <v>0</v>
      </c>
      <c r="J98" s="71">
        <f t="shared" si="40"/>
        <v>0</v>
      </c>
      <c r="K98" s="71">
        <f t="shared" si="40"/>
        <v>0</v>
      </c>
      <c r="L98" s="71">
        <f t="shared" si="40"/>
        <v>0</v>
      </c>
      <c r="M98" s="71">
        <f t="shared" si="40"/>
        <v>0</v>
      </c>
    </row>
    <row r="99" spans="2:13" x14ac:dyDescent="0.35">
      <c r="B99" t="s">
        <v>228</v>
      </c>
      <c r="C99" t="s">
        <v>229</v>
      </c>
      <c r="D99" s="71">
        <f t="shared" ref="D99:M99" si="41">(D23/D48-1)</f>
        <v>0</v>
      </c>
      <c r="E99" s="71">
        <f t="shared" si="41"/>
        <v>0</v>
      </c>
      <c r="F99" s="71">
        <f t="shared" si="41"/>
        <v>0</v>
      </c>
      <c r="G99" s="71">
        <f t="shared" si="41"/>
        <v>0</v>
      </c>
      <c r="H99" s="71">
        <f t="shared" si="41"/>
        <v>0</v>
      </c>
      <c r="I99" s="71">
        <f t="shared" si="41"/>
        <v>0</v>
      </c>
      <c r="J99" s="71">
        <f t="shared" si="41"/>
        <v>0</v>
      </c>
      <c r="K99" s="71">
        <f t="shared" si="41"/>
        <v>0</v>
      </c>
      <c r="L99" s="71">
        <f t="shared" si="41"/>
        <v>0</v>
      </c>
      <c r="M99" s="71">
        <f t="shared" si="41"/>
        <v>0</v>
      </c>
    </row>
    <row r="100" spans="2:13" x14ac:dyDescent="0.35">
      <c r="B100" t="s">
        <v>230</v>
      </c>
      <c r="C100" t="s">
        <v>231</v>
      </c>
      <c r="D100" s="71">
        <f t="shared" ref="D100:M100" si="42">(D24/D49-1)</f>
        <v>0</v>
      </c>
      <c r="E100" s="71">
        <f t="shared" si="42"/>
        <v>0</v>
      </c>
      <c r="F100" s="71">
        <f t="shared" si="42"/>
        <v>0</v>
      </c>
      <c r="G100" s="71">
        <f t="shared" si="42"/>
        <v>0</v>
      </c>
      <c r="H100" s="71">
        <f t="shared" si="42"/>
        <v>0</v>
      </c>
      <c r="I100" s="71">
        <f t="shared" si="42"/>
        <v>0</v>
      </c>
      <c r="J100" s="71">
        <f t="shared" si="42"/>
        <v>0</v>
      </c>
      <c r="K100" s="71">
        <f t="shared" si="42"/>
        <v>0</v>
      </c>
      <c r="L100" s="71">
        <f t="shared" si="42"/>
        <v>0</v>
      </c>
      <c r="M100" s="71">
        <f t="shared" si="42"/>
        <v>0</v>
      </c>
    </row>
    <row r="101" spans="2:13" x14ac:dyDescent="0.35">
      <c r="B101" s="35" t="s">
        <v>1472</v>
      </c>
      <c r="C101" s="35" t="s">
        <v>1471</v>
      </c>
      <c r="D101" s="71" t="e">
        <f t="shared" ref="D101:M101" si="43">(D25/D50-1)</f>
        <v>#DIV/0!</v>
      </c>
      <c r="E101" s="71" t="e">
        <f t="shared" si="43"/>
        <v>#DIV/0!</v>
      </c>
      <c r="F101" s="71" t="e">
        <f t="shared" si="43"/>
        <v>#DIV/0!</v>
      </c>
      <c r="G101" s="71">
        <f t="shared" si="43"/>
        <v>0</v>
      </c>
      <c r="H101" s="71">
        <f t="shared" si="43"/>
        <v>0</v>
      </c>
      <c r="I101" s="71">
        <f t="shared" si="43"/>
        <v>0</v>
      </c>
      <c r="J101" s="71">
        <f t="shared" si="43"/>
        <v>0</v>
      </c>
      <c r="K101" s="71">
        <f t="shared" si="43"/>
        <v>0</v>
      </c>
      <c r="L101" s="71">
        <f t="shared" si="43"/>
        <v>0</v>
      </c>
      <c r="M101" s="71">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A2" sqref="A2:L23"/>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6" t="s">
        <v>178</v>
      </c>
      <c r="B1" s="76" t="s">
        <v>179</v>
      </c>
      <c r="C1" s="77" t="s">
        <v>185</v>
      </c>
      <c r="D1" s="77" t="s">
        <v>186</v>
      </c>
      <c r="E1" s="77" t="s">
        <v>187</v>
      </c>
      <c r="F1" s="77" t="s">
        <v>188</v>
      </c>
      <c r="G1" s="77" t="s">
        <v>189</v>
      </c>
      <c r="H1" s="77" t="s">
        <v>190</v>
      </c>
      <c r="I1" s="77" t="s">
        <v>191</v>
      </c>
      <c r="J1" s="77" t="s">
        <v>175</v>
      </c>
      <c r="K1" s="77" t="s">
        <v>176</v>
      </c>
      <c r="L1" s="77" t="s">
        <v>177</v>
      </c>
      <c r="M1" s="76"/>
    </row>
    <row r="2" spans="1:13" x14ac:dyDescent="0.35">
      <c r="A2" t="s">
        <v>192</v>
      </c>
      <c r="B2" t="s">
        <v>193</v>
      </c>
      <c r="C2" s="70">
        <f>Grants!T79</f>
        <v>419.69592800000004</v>
      </c>
      <c r="D2" s="70">
        <f>Grants!U79</f>
        <v>396.53932436420291</v>
      </c>
      <c r="E2" s="70">
        <f>Grants!V79</f>
        <v>400.37374923659348</v>
      </c>
      <c r="F2" s="70">
        <f>Grants!W79</f>
        <v>398.73055822591346</v>
      </c>
      <c r="G2" s="70">
        <f>Grants!X79</f>
        <v>398.6166106666667</v>
      </c>
      <c r="H2" s="70">
        <f>Grants!Y79</f>
        <v>386.72738297077103</v>
      </c>
      <c r="I2" s="70">
        <f>Grants!Z79</f>
        <v>366.38133844605721</v>
      </c>
      <c r="J2" s="70">
        <f>Grants!AA79</f>
        <v>370.35262831494998</v>
      </c>
      <c r="K2" s="70">
        <f>Grants!AB79</f>
        <v>374.61000143333331</v>
      </c>
      <c r="L2" s="70">
        <f>Grants!AC79</f>
        <v>357.28055880960187</v>
      </c>
      <c r="M2" s="70"/>
    </row>
    <row r="3" spans="1:13" x14ac:dyDescent="0.35">
      <c r="A3" t="s">
        <v>134</v>
      </c>
      <c r="B3" t="s">
        <v>194</v>
      </c>
      <c r="C3" s="70">
        <f>Grants!T99</f>
        <v>76.15900000000002</v>
      </c>
      <c r="D3" s="70">
        <f>Grants!U99</f>
        <v>76.15900000000002</v>
      </c>
      <c r="E3" s="70">
        <f>Grants!V99</f>
        <v>76.15900000000002</v>
      </c>
      <c r="F3" s="70">
        <f>Grants!W99</f>
        <v>76.15900000000002</v>
      </c>
      <c r="G3" s="70">
        <f>Grants!X99</f>
        <v>77.818000000000012</v>
      </c>
      <c r="H3" s="70">
        <f>Grants!Y99</f>
        <v>77.818000000000012</v>
      </c>
      <c r="I3" s="70">
        <f>Grants!Z99</f>
        <v>77.818000000000012</v>
      </c>
      <c r="J3" s="70">
        <f>Grants!AA99</f>
        <v>77.818000000000012</v>
      </c>
      <c r="K3" s="70">
        <f>Grants!AB99</f>
        <v>79.41200000000002</v>
      </c>
      <c r="L3" s="70">
        <f>Grants!AC99</f>
        <v>79.41200000000002</v>
      </c>
      <c r="M3" s="70"/>
    </row>
    <row r="4" spans="1:13" x14ac:dyDescent="0.35">
      <c r="A4" t="s">
        <v>195</v>
      </c>
      <c r="B4" t="s">
        <v>196</v>
      </c>
      <c r="C4" s="70">
        <f>'Federal and State Purchases'!T13</f>
        <v>1693.9</v>
      </c>
      <c r="D4" s="70">
        <f>'Federal and State Purchases'!U13</f>
        <v>1711.593516628647</v>
      </c>
      <c r="E4" s="70">
        <f>'Federal and State Purchases'!V13</f>
        <v>1727.6600432224757</v>
      </c>
      <c r="F4" s="70">
        <f>'Federal and State Purchases'!W13</f>
        <v>1750.1328430784008</v>
      </c>
      <c r="G4" s="70">
        <f>'Federal and State Purchases'!X13</f>
        <v>1770.0634710049226</v>
      </c>
      <c r="H4" s="70">
        <f>'Federal and State Purchases'!Y13</f>
        <v>1787.8586745107455</v>
      </c>
      <c r="I4" s="70">
        <f>'Federal and State Purchases'!Z13</f>
        <v>1804.1285748589264</v>
      </c>
      <c r="J4" s="70">
        <f>'Federal and State Purchases'!AA13</f>
        <v>1820.6018489614596</v>
      </c>
      <c r="K4" s="70">
        <f>'Federal and State Purchases'!AB13</f>
        <v>1835.9565674150556</v>
      </c>
      <c r="L4" s="70">
        <f>'Federal and State Purchases'!AC13</f>
        <v>1849.6842958338334</v>
      </c>
      <c r="M4" s="70"/>
    </row>
    <row r="5" spans="1:13" x14ac:dyDescent="0.35">
      <c r="A5" t="s">
        <v>197</v>
      </c>
      <c r="B5" t="s">
        <v>198</v>
      </c>
      <c r="C5" s="70">
        <f>'Federal and State Purchases'!T29</f>
        <v>2874.1</v>
      </c>
      <c r="D5" s="70">
        <f>'Federal and State Purchases'!U29</f>
        <v>2903.130301974853</v>
      </c>
      <c r="E5" s="70">
        <f>'Federal and State Purchases'!V29</f>
        <v>2935.7643655741699</v>
      </c>
      <c r="F5" s="70">
        <f>'Federal and State Purchases'!W29</f>
        <v>2973.7039671206157</v>
      </c>
      <c r="G5" s="70">
        <f>'Federal and State Purchases'!X29</f>
        <v>3006.0377172512281</v>
      </c>
      <c r="H5" s="70">
        <f>'Federal and State Purchases'!Y29</f>
        <v>3037.5706314652921</v>
      </c>
      <c r="I5" s="70">
        <f>'Federal and State Purchases'!Z29</f>
        <v>3065.6999930340289</v>
      </c>
      <c r="J5" s="70">
        <f>'Federal and State Purchases'!AA29</f>
        <v>3093.328832154923</v>
      </c>
      <c r="K5" s="70">
        <f>'Federal and State Purchases'!AB29</f>
        <v>3120.8575667862492</v>
      </c>
      <c r="L5" s="70">
        <f>'Federal and State Purchases'!AC29</f>
        <v>3146.1</v>
      </c>
      <c r="M5" s="70"/>
    </row>
    <row r="6" spans="1:13" x14ac:dyDescent="0.35">
      <c r="A6" t="s">
        <v>199</v>
      </c>
      <c r="B6" t="s">
        <v>200</v>
      </c>
      <c r="C6" s="70">
        <f>Subsidies!T46</f>
        <v>94.873999999999995</v>
      </c>
      <c r="D6" s="70">
        <f>Subsidies!U46</f>
        <v>83.295999999999992</v>
      </c>
      <c r="E6" s="70">
        <f>Subsidies!V46</f>
        <v>75.782000000000011</v>
      </c>
      <c r="F6" s="70">
        <f>Subsidies!W46</f>
        <v>75.782000000000011</v>
      </c>
      <c r="G6" s="70">
        <f>Subsidies!X46</f>
        <v>84.266000000000005</v>
      </c>
      <c r="H6" s="70">
        <f>Subsidies!Y46</f>
        <v>84.266000000000005</v>
      </c>
      <c r="I6" s="70">
        <f>Subsidies!Z46</f>
        <v>84.266000000000005</v>
      </c>
      <c r="J6" s="70">
        <f>Subsidies!AA46</f>
        <v>84.266000000000005</v>
      </c>
      <c r="K6" s="70">
        <f>Subsidies!AB46</f>
        <v>91.364999999999995</v>
      </c>
      <c r="L6" s="70">
        <f>Subsidies!AC46</f>
        <v>91.364999999999995</v>
      </c>
      <c r="M6" s="70"/>
    </row>
    <row r="7" spans="1:13" x14ac:dyDescent="0.35">
      <c r="A7" t="s">
        <v>201</v>
      </c>
      <c r="B7" t="s">
        <v>202</v>
      </c>
      <c r="C7" s="70">
        <f>Subsidies!T45</f>
        <v>12.726000000000001</v>
      </c>
      <c r="D7" s="70">
        <f>Subsidies!U45</f>
        <v>12.726000000000001</v>
      </c>
      <c r="E7" s="70">
        <f>Subsidies!V45</f>
        <v>12.726000000000001</v>
      </c>
      <c r="F7" s="70">
        <f>Subsidies!W45</f>
        <v>12.726000000000001</v>
      </c>
      <c r="G7" s="70">
        <f>Subsidies!X45</f>
        <v>1.365</v>
      </c>
      <c r="H7" s="70">
        <f>Subsidies!Y45</f>
        <v>1.365</v>
      </c>
      <c r="I7" s="70">
        <f>Subsidies!Z45</f>
        <v>1.365</v>
      </c>
      <c r="J7" s="70">
        <f>Subsidies!AA45</f>
        <v>1.365</v>
      </c>
      <c r="K7" s="70">
        <f>Subsidies!AB45</f>
        <v>-0.90100000000000025</v>
      </c>
      <c r="L7" s="70">
        <f>Subsidies!AC45</f>
        <v>-0.90100000000000025</v>
      </c>
      <c r="M7" s="70"/>
    </row>
    <row r="8" spans="1:13" x14ac:dyDescent="0.35">
      <c r="A8" t="s">
        <v>203</v>
      </c>
      <c r="B8" t="s">
        <v>204</v>
      </c>
      <c r="C8" s="70">
        <f>'Unemployment Insurance'!T19</f>
        <v>0.39999999999999858</v>
      </c>
      <c r="D8" s="70">
        <f>'Unemployment Insurance'!U19</f>
        <v>0.45544444444444565</v>
      </c>
      <c r="E8" s="70">
        <f>'Unemployment Insurance'!V19</f>
        <v>0.51099999999999923</v>
      </c>
      <c r="F8" s="70">
        <f>'Unemployment Insurance'!W19</f>
        <v>0.54433333333333422</v>
      </c>
      <c r="G8" s="70">
        <f>'Unemployment Insurance'!X19</f>
        <v>0.56822222222222152</v>
      </c>
      <c r="H8" s="70">
        <f>'Unemployment Insurance'!Y19</f>
        <v>0.56655555555555637</v>
      </c>
      <c r="I8" s="70">
        <f>'Unemployment Insurance'!Z19</f>
        <v>0.54922222222222317</v>
      </c>
      <c r="J8" s="70">
        <f>'Unemployment Insurance'!AA19</f>
        <v>0.53988888888888908</v>
      </c>
      <c r="K8" s="70">
        <f>'Unemployment Insurance'!AB19</f>
        <v>0.53322222222222138</v>
      </c>
      <c r="L8" s="70">
        <f>'Unemployment Insurance'!AC19</f>
        <v>0.53066666666666507</v>
      </c>
      <c r="M8" s="70"/>
    </row>
    <row r="9" spans="1:13" x14ac:dyDescent="0.35">
      <c r="A9" t="s">
        <v>205</v>
      </c>
      <c r="B9" t="s">
        <v>206</v>
      </c>
      <c r="C9" s="70">
        <f>'Unemployment Insurance'!T20</f>
        <v>20</v>
      </c>
      <c r="D9" s="70">
        <f>'Unemployment Insurance'!U20</f>
        <v>22.772222222222222</v>
      </c>
      <c r="E9" s="70">
        <f>'Unemployment Insurance'!V20</f>
        <v>25.549999999999997</v>
      </c>
      <c r="F9" s="70">
        <f>'Unemployment Insurance'!W20</f>
        <v>27.216666666666661</v>
      </c>
      <c r="G9" s="70">
        <f>'Unemployment Insurance'!X20</f>
        <v>28.411111111111108</v>
      </c>
      <c r="H9" s="70">
        <f>'Unemployment Insurance'!Y20</f>
        <v>28.327777777777776</v>
      </c>
      <c r="I9" s="70">
        <f>'Unemployment Insurance'!Z20</f>
        <v>27.461111111111109</v>
      </c>
      <c r="J9" s="70">
        <f>'Unemployment Insurance'!AA20</f>
        <v>26.994444444444444</v>
      </c>
      <c r="K9" s="70">
        <f>'Unemployment Insurance'!AB20</f>
        <v>26.661111111111111</v>
      </c>
      <c r="L9" s="70">
        <f>'Unemployment Insurance'!AC20</f>
        <v>26.533333333333331</v>
      </c>
      <c r="M9" s="70"/>
    </row>
    <row r="10" spans="1:13" x14ac:dyDescent="0.35">
      <c r="A10" s="35" t="s">
        <v>207</v>
      </c>
      <c r="B10" s="35" t="s">
        <v>208</v>
      </c>
      <c r="C10" s="70">
        <f>Medicaid!T29</f>
        <v>604.79499999999996</v>
      </c>
      <c r="D10" s="70">
        <f>Medicaid!U29</f>
        <v>606.05037285109495</v>
      </c>
      <c r="E10" s="70">
        <f>Medicaid!V29</f>
        <v>580.65323903901697</v>
      </c>
      <c r="F10" s="70">
        <f>Medicaid!W29</f>
        <v>569.0941447642507</v>
      </c>
      <c r="G10" s="70">
        <f>Medicaid!X29</f>
        <v>561.70373395965726</v>
      </c>
      <c r="H10" s="70">
        <f>Medicaid!Y29</f>
        <v>554.82780470342925</v>
      </c>
      <c r="I10" s="70">
        <f>Medicaid!Z29</f>
        <v>548.03604509087336</v>
      </c>
      <c r="J10" s="70">
        <f>Medicaid!AA29</f>
        <v>541.32742478432147</v>
      </c>
      <c r="K10" s="70">
        <f>Medicaid!AB29</f>
        <v>531.08827601622306</v>
      </c>
      <c r="L10" s="70">
        <f>Medicaid!AC29</f>
        <v>524.58711678596967</v>
      </c>
      <c r="M10" s="70"/>
    </row>
    <row r="11" spans="1:13" x14ac:dyDescent="0.35">
      <c r="A11" s="35" t="s">
        <v>209</v>
      </c>
      <c r="B11" s="35" t="s">
        <v>210</v>
      </c>
      <c r="C11" s="70">
        <f>Medicaid!T27</f>
        <v>784.6</v>
      </c>
      <c r="D11" s="70">
        <f>Medicaid!U27</f>
        <v>786.22859405082568</v>
      </c>
      <c r="E11" s="70">
        <f>Medicaid!V27</f>
        <v>787.86056857397148</v>
      </c>
      <c r="F11" s="70">
        <f>Medicaid!W27</f>
        <v>789.49593058628307</v>
      </c>
      <c r="G11" s="70">
        <f>Medicaid!X27</f>
        <v>779.83155088112517</v>
      </c>
      <c r="H11" s="70">
        <f>Medicaid!Y27</f>
        <v>770.28547480676127</v>
      </c>
      <c r="I11" s="70">
        <f>Medicaid!Z27</f>
        <v>760.85625418446853</v>
      </c>
      <c r="J11" s="70">
        <f>Medicaid!AA27</f>
        <v>751.54245856297325</v>
      </c>
      <c r="K11" s="70">
        <f>Medicaid!AB27</f>
        <v>742.34267500144574</v>
      </c>
      <c r="L11" s="70">
        <f>Medicaid!AC27</f>
        <v>733.25550785515156</v>
      </c>
      <c r="M11" s="70"/>
    </row>
    <row r="12" spans="1:13" x14ac:dyDescent="0.35">
      <c r="A12" t="s">
        <v>55</v>
      </c>
      <c r="B12" t="s">
        <v>211</v>
      </c>
      <c r="C12" s="70">
        <f>Medicare!T10</f>
        <v>941.6</v>
      </c>
      <c r="D12" s="70">
        <f>Medicare!U10</f>
        <v>958.68725729225423</v>
      </c>
      <c r="E12" s="70">
        <f>Medicare!V10</f>
        <v>976.08459780644091</v>
      </c>
      <c r="F12" s="70">
        <f>Medicare!W10</f>
        <v>993.79764863665025</v>
      </c>
      <c r="G12" s="70">
        <f>Medicare!X10</f>
        <v>1017.7617761487271</v>
      </c>
      <c r="H12" s="70">
        <f>Medicare!Y10</f>
        <v>1042.3037671808102</v>
      </c>
      <c r="I12" s="70">
        <f>Medicare!Z10</f>
        <v>1067.437556154154</v>
      </c>
      <c r="J12" s="70">
        <f>Medicare!AA10</f>
        <v>1093.1774135003152</v>
      </c>
      <c r="K12" s="70">
        <f>Medicare!AB10</f>
        <v>1119.5379537635997</v>
      </c>
      <c r="L12" s="70">
        <f>Medicare!AC10</f>
        <v>1146.534143898891</v>
      </c>
      <c r="M12" s="70"/>
    </row>
    <row r="13" spans="1:13" x14ac:dyDescent="0.35">
      <c r="A13" t="s">
        <v>212</v>
      </c>
      <c r="B13" t="s">
        <v>213</v>
      </c>
      <c r="C13" s="70">
        <f>'Rebate Checks (expired)'!T11</f>
        <v>0</v>
      </c>
      <c r="D13" s="70">
        <f>'Rebate Checks (expired)'!U11</f>
        <v>0</v>
      </c>
      <c r="E13" s="70">
        <f>'Rebate Checks (expired)'!V11</f>
        <v>0</v>
      </c>
      <c r="F13" s="70">
        <f>'Rebate Checks (expired)'!W11</f>
        <v>0</v>
      </c>
      <c r="G13" s="70">
        <f>'Rebate Checks (expired)'!X11</f>
        <v>0</v>
      </c>
      <c r="H13" s="70">
        <f>'Rebate Checks (expired)'!Y11</f>
        <v>0</v>
      </c>
      <c r="I13" s="70">
        <f>'Rebate Checks (expired)'!Z11</f>
        <v>0</v>
      </c>
      <c r="J13" s="70">
        <f>'Rebate Checks (expired)'!AA11</f>
        <v>0</v>
      </c>
      <c r="K13" s="70">
        <f>'Rebate Checks (expired)'!AB11</f>
        <v>0</v>
      </c>
      <c r="L13" s="70">
        <f>'Rebate Checks (expired)'!AC11</f>
        <v>0</v>
      </c>
      <c r="M13" s="70"/>
    </row>
    <row r="14" spans="1:13" x14ac:dyDescent="0.35">
      <c r="A14" t="s">
        <v>214</v>
      </c>
      <c r="B14" t="s">
        <v>215</v>
      </c>
      <c r="C14" s="70">
        <f>'Rebate Checks (expired)'!T10</f>
        <v>0</v>
      </c>
      <c r="D14" s="70">
        <f>'Rebate Checks (expired)'!U10</f>
        <v>0</v>
      </c>
      <c r="E14" s="70">
        <f>'Rebate Checks (expired)'!V10</f>
        <v>0</v>
      </c>
      <c r="F14" s="70">
        <f>'Rebate Checks (expired)'!W10</f>
        <v>0</v>
      </c>
      <c r="G14" s="70">
        <f>'Rebate Checks (expired)'!X10</f>
        <v>0</v>
      </c>
      <c r="H14" s="70">
        <f>'Rebate Checks (expired)'!Y10</f>
        <v>0</v>
      </c>
      <c r="I14" s="70">
        <f>'Rebate Checks (expired)'!Z10</f>
        <v>0</v>
      </c>
      <c r="J14" s="70">
        <f>'Rebate Checks (expired)'!AA10</f>
        <v>0</v>
      </c>
      <c r="K14" s="70">
        <f>'Rebate Checks (expired)'!AB10</f>
        <v>0</v>
      </c>
      <c r="L14" s="70">
        <f>'Rebate Checks (expired)'!AC10</f>
        <v>0</v>
      </c>
      <c r="M14" s="70"/>
    </row>
    <row r="15" spans="1:13" x14ac:dyDescent="0.35">
      <c r="A15" t="s">
        <v>216</v>
      </c>
      <c r="B15" t="s">
        <v>217</v>
      </c>
      <c r="C15" s="70">
        <f>'Social Benefits'!T17</f>
        <v>30</v>
      </c>
      <c r="D15" s="70">
        <f>'Social Benefits'!U17</f>
        <v>12</v>
      </c>
      <c r="E15" s="70">
        <f>'Social Benefits'!V17</f>
        <v>12</v>
      </c>
      <c r="F15" s="70">
        <f>'Social Benefits'!W17</f>
        <v>12</v>
      </c>
      <c r="G15" s="70">
        <f>'Social Benefits'!X17</f>
        <v>4.2219999999999995</v>
      </c>
      <c r="H15" s="70">
        <f>'Social Benefits'!Y17</f>
        <v>4.2219999999999995</v>
      </c>
      <c r="I15" s="70">
        <f>'Social Benefits'!Z17</f>
        <v>4.2219999999999995</v>
      </c>
      <c r="J15" s="70">
        <f>'Social Benefits'!AA17</f>
        <v>4.2219999999999995</v>
      </c>
      <c r="K15" s="70">
        <f>'Social Benefits'!AB17</f>
        <v>2.3719999999999999</v>
      </c>
      <c r="L15" s="70">
        <f>'Social Benefits'!AC17</f>
        <v>2.3719999999999999</v>
      </c>
      <c r="M15" s="70"/>
    </row>
    <row r="16" spans="1:13" x14ac:dyDescent="0.35">
      <c r="A16" t="s">
        <v>852</v>
      </c>
      <c r="B16" t="s">
        <v>219</v>
      </c>
      <c r="C16" s="70">
        <f>'Social Benefits'!T24</f>
        <v>6.3160000000000007</v>
      </c>
      <c r="D16" s="70">
        <f>'Social Benefits'!U24</f>
        <v>1.4159999999999999</v>
      </c>
      <c r="E16" s="70">
        <f>'Social Benefits'!V24</f>
        <v>1.4159999999999999</v>
      </c>
      <c r="F16" s="70">
        <f>'Social Benefits'!W24</f>
        <v>1.4159999999999999</v>
      </c>
      <c r="G16" s="70">
        <f>'Social Benefits'!X24</f>
        <v>1.4790000000000001</v>
      </c>
      <c r="H16" s="70">
        <f>'Social Benefits'!Y24</f>
        <v>1.4790000000000001</v>
      </c>
      <c r="I16" s="70">
        <f>'Social Benefits'!Z24</f>
        <v>1.4790000000000001</v>
      </c>
      <c r="J16" s="70">
        <f>'Social Benefits'!AA24</f>
        <v>1.4790000000000001</v>
      </c>
      <c r="K16" s="70">
        <f>'Social Benefits'!AB24</f>
        <v>1.63</v>
      </c>
      <c r="L16" s="70">
        <f>'Social Benefits'!AC24</f>
        <v>1.63</v>
      </c>
      <c r="M16" s="70"/>
    </row>
    <row r="17" spans="1:13" x14ac:dyDescent="0.35">
      <c r="A17" t="s">
        <v>220</v>
      </c>
      <c r="B17" t="s">
        <v>221</v>
      </c>
      <c r="C17" s="70">
        <f>'Social Benefits'!T27</f>
        <v>1903.3740000000003</v>
      </c>
      <c r="D17" s="70">
        <f>'Social Benefits'!U27</f>
        <v>1953.929241</v>
      </c>
      <c r="E17" s="70">
        <f>'Social Benefits'!V27</f>
        <v>1960.929241</v>
      </c>
      <c r="F17" s="70">
        <f>'Social Benefits'!W27</f>
        <v>1967.929241</v>
      </c>
      <c r="G17" s="70">
        <f>'Social Benefits'!X27</f>
        <v>1968.478241</v>
      </c>
      <c r="H17" s="70">
        <f>'Social Benefits'!Y27</f>
        <v>2013.4377810000001</v>
      </c>
      <c r="I17" s="70">
        <f>'Social Benefits'!Z27</f>
        <v>2020.4377810000001</v>
      </c>
      <c r="J17" s="70">
        <f>'Social Benefits'!AA27</f>
        <v>2027.4377810000001</v>
      </c>
      <c r="K17" s="70">
        <f>'Social Benefits'!AB27</f>
        <v>2035.9657810000001</v>
      </c>
      <c r="L17" s="70">
        <f>'Social Benefits'!AC27</f>
        <v>2068.9121410000002</v>
      </c>
      <c r="M17" s="70"/>
    </row>
    <row r="18" spans="1:13" x14ac:dyDescent="0.35">
      <c r="A18" t="s">
        <v>222</v>
      </c>
      <c r="B18" t="s">
        <v>223</v>
      </c>
      <c r="C18" s="70">
        <f>'Social Benefits'!T31</f>
        <v>249.10000000000002</v>
      </c>
      <c r="D18" s="70">
        <f>'Social Benefits'!U31</f>
        <v>182.96282157770224</v>
      </c>
      <c r="E18" s="70">
        <f>'Social Benefits'!V31</f>
        <v>185.80004652795367</v>
      </c>
      <c r="F18" s="70">
        <f>'Social Benefits'!W31</f>
        <v>188.68126864303298</v>
      </c>
      <c r="G18" s="70">
        <f>'Social Benefits'!X31</f>
        <v>191.60717019189906</v>
      </c>
      <c r="H18" s="70">
        <f>'Social Benefits'!Y31</f>
        <v>194.57844402353186</v>
      </c>
      <c r="I18" s="70">
        <f>'Social Benefits'!Z31</f>
        <v>197.59579373099803</v>
      </c>
      <c r="J18" s="70">
        <f>'Social Benefits'!AA31</f>
        <v>200.65993381806064</v>
      </c>
      <c r="K18" s="70">
        <f>'Social Benefits'!AB31</f>
        <v>203.77158986837259</v>
      </c>
      <c r="L18" s="70">
        <f>'Social Benefits'!AC31</f>
        <v>206.93149871729366</v>
      </c>
      <c r="M18" s="70"/>
    </row>
    <row r="19" spans="1:13" x14ac:dyDescent="0.35">
      <c r="A19" t="s">
        <v>224</v>
      </c>
      <c r="B19" t="s">
        <v>225</v>
      </c>
      <c r="C19" s="70">
        <f>Taxes!T9</f>
        <v>4528.8</v>
      </c>
      <c r="D19" s="70">
        <f>Taxes!U9</f>
        <v>4467.3739968285072</v>
      </c>
      <c r="E19" s="70">
        <f>Taxes!V9</f>
        <v>4457.4043214546246</v>
      </c>
      <c r="F19" s="70">
        <f>Taxes!W9</f>
        <v>4447.8895270730181</v>
      </c>
      <c r="G19" s="70">
        <f>Taxes!X9</f>
        <v>4460.0815040789694</v>
      </c>
      <c r="H19" s="70">
        <f>Taxes!Y9</f>
        <v>4467.5864561878179</v>
      </c>
      <c r="I19" s="70">
        <f>Taxes!Z9</f>
        <v>4475.4065403252825</v>
      </c>
      <c r="J19" s="70">
        <f>Taxes!AA9</f>
        <v>4483.5439444895819</v>
      </c>
      <c r="K19" s="70">
        <f>Taxes!AB9</f>
        <v>4513.5325415378738</v>
      </c>
      <c r="L19" s="70">
        <f>Taxes!AC9</f>
        <v>4543.7701819739486</v>
      </c>
      <c r="M19" s="70"/>
    </row>
    <row r="20" spans="1:13" x14ac:dyDescent="0.35">
      <c r="A20" t="s">
        <v>226</v>
      </c>
      <c r="B20" t="s">
        <v>227</v>
      </c>
      <c r="C20" s="70">
        <f>Taxes!T22</f>
        <v>2205.8000000000002</v>
      </c>
      <c r="D20" s="70">
        <f>Taxes!U22</f>
        <v>2232.4070379024242</v>
      </c>
      <c r="E20" s="70">
        <f>Taxes!V22</f>
        <v>2257.3320679704652</v>
      </c>
      <c r="F20" s="70">
        <f>Taxes!W22</f>
        <v>2282.8714249965174</v>
      </c>
      <c r="G20" s="70">
        <f>Taxes!X22</f>
        <v>2308.5582874457068</v>
      </c>
      <c r="H20" s="70">
        <f>Taxes!Y22</f>
        <v>2332.3157040423512</v>
      </c>
      <c r="I20" s="70">
        <f>Taxes!Z22</f>
        <v>2355.3202036226157</v>
      </c>
      <c r="J20" s="70">
        <f>Taxes!AA22</f>
        <v>2378.2329159267574</v>
      </c>
      <c r="K20" s="70">
        <f>Taxes!AB22</f>
        <v>2402.1008683516784</v>
      </c>
      <c r="L20" s="70">
        <f>Taxes!AC22</f>
        <v>2426.7126329151943</v>
      </c>
      <c r="M20" s="70"/>
    </row>
    <row r="21" spans="1:13" x14ac:dyDescent="0.35">
      <c r="A21" t="s">
        <v>228</v>
      </c>
      <c r="B21" t="s">
        <v>229</v>
      </c>
      <c r="C21" s="70">
        <f>Taxes!T18</f>
        <v>350.30119606059549</v>
      </c>
      <c r="D21" s="70">
        <f>Taxes!U18</f>
        <v>360.27870804898345</v>
      </c>
      <c r="E21" s="70">
        <f>Taxes!V18</f>
        <v>370.54040617946271</v>
      </c>
      <c r="F21" s="70">
        <f>Taxes!W18</f>
        <v>381.09438483101775</v>
      </c>
      <c r="G21" s="70">
        <f>Taxes!X18</f>
        <v>381.72153892635089</v>
      </c>
      <c r="H21" s="70">
        <f>Taxes!Y18</f>
        <v>382.34972510789402</v>
      </c>
      <c r="I21" s="70">
        <f>Taxes!Z18</f>
        <v>382.97894507411644</v>
      </c>
      <c r="J21" s="70">
        <f>Taxes!AA18</f>
        <v>383.60920052628245</v>
      </c>
      <c r="K21" s="70">
        <f>Taxes!AB18</f>
        <v>385.61244152866738</v>
      </c>
      <c r="L21" s="70">
        <f>Taxes!AC18</f>
        <v>400.52681927840081</v>
      </c>
      <c r="M21" s="70"/>
    </row>
    <row r="22" spans="1:13" x14ac:dyDescent="0.35">
      <c r="A22" t="s">
        <v>230</v>
      </c>
      <c r="B22" t="s">
        <v>231</v>
      </c>
      <c r="C22" s="70">
        <f>Taxes!T27</f>
        <v>95.360546952748706</v>
      </c>
      <c r="D22" s="70">
        <f>Taxes!U27</f>
        <v>88.958815333784486</v>
      </c>
      <c r="E22" s="70">
        <f>Taxes!V27</f>
        <v>83.91599856693604</v>
      </c>
      <c r="F22" s="70">
        <f>Taxes!W27</f>
        <v>81.073902312806027</v>
      </c>
      <c r="G22" s="70">
        <f>Taxes!X27</f>
        <v>78.997448349986072</v>
      </c>
      <c r="H22" s="70">
        <f>Taxes!Y27</f>
        <v>79.891365789578444</v>
      </c>
      <c r="I22" s="70">
        <f>Taxes!Z27</f>
        <v>81.322435412602999</v>
      </c>
      <c r="J22" s="70">
        <f>Taxes!AA27</f>
        <v>83.346777596433256</v>
      </c>
      <c r="K22" s="70">
        <f>Taxes!AB27</f>
        <v>86.228959834401508</v>
      </c>
      <c r="L22" s="70">
        <f>Taxes!AC27</f>
        <v>89.010927112774183</v>
      </c>
      <c r="M22" s="70"/>
    </row>
    <row r="23" spans="1:13" x14ac:dyDescent="0.35">
      <c r="A23" s="35" t="s">
        <v>1472</v>
      </c>
      <c r="B23" t="s">
        <v>1471</v>
      </c>
      <c r="C23" s="70">
        <f>'Student loans'!T11</f>
        <v>0</v>
      </c>
      <c r="D23" s="70">
        <f>'Student loans'!U11</f>
        <v>0</v>
      </c>
      <c r="E23" s="70">
        <f>'Student loans'!V11</f>
        <v>0</v>
      </c>
      <c r="F23" s="70">
        <f>'Student loans'!W11</f>
        <v>20.815079999999998</v>
      </c>
      <c r="G23" s="70">
        <f>'Student loans'!X11</f>
        <v>21.006180000000001</v>
      </c>
      <c r="H23" s="70">
        <f>'Student loans'!Y11</f>
        <v>25.815300000000001</v>
      </c>
      <c r="I23" s="70">
        <f>'Student loans'!Z11</f>
        <v>26.04045</v>
      </c>
      <c r="J23" s="70">
        <f>'Student loans'!AA11</f>
        <v>26.26465</v>
      </c>
      <c r="K23" s="70">
        <f>'Student loans'!AB11</f>
        <v>26.498349999999999</v>
      </c>
      <c r="L23" s="70">
        <f>'Student loans'!AC11</f>
        <v>26.454419999999999</v>
      </c>
    </row>
    <row r="24" spans="1:13" x14ac:dyDescent="0.35">
      <c r="A24" s="72"/>
      <c r="C24" s="75"/>
      <c r="D24" s="75"/>
      <c r="E24" s="75"/>
      <c r="F24" s="75"/>
      <c r="G24" s="75"/>
      <c r="H24" s="75"/>
      <c r="I24" s="75"/>
      <c r="J24" s="75"/>
      <c r="K24" s="75"/>
      <c r="L24" s="75"/>
    </row>
    <row r="25" spans="1:13" x14ac:dyDescent="0.35">
      <c r="A25" s="73"/>
      <c r="C25" s="75"/>
      <c r="D25" s="75"/>
      <c r="E25" s="75"/>
      <c r="F25" s="75"/>
      <c r="G25" s="75"/>
      <c r="H25" s="75"/>
      <c r="I25" s="75"/>
      <c r="J25" s="75"/>
      <c r="K25" s="75"/>
      <c r="L25" s="75"/>
    </row>
    <row r="26" spans="1:13" x14ac:dyDescent="0.35">
      <c r="A26" s="73"/>
      <c r="C26" s="75"/>
      <c r="D26" s="75"/>
      <c r="E26" s="75"/>
      <c r="F26" s="75"/>
      <c r="G26" s="75"/>
      <c r="H26" s="75"/>
      <c r="I26" s="75"/>
      <c r="J26" s="75"/>
      <c r="K26" s="75"/>
      <c r="L26" s="75"/>
    </row>
    <row r="27" spans="1:13" x14ac:dyDescent="0.35">
      <c r="A27" s="73"/>
      <c r="C27" s="75"/>
      <c r="D27" s="75"/>
      <c r="E27" s="75"/>
      <c r="F27" s="75"/>
      <c r="G27" s="75"/>
      <c r="H27" s="75"/>
      <c r="I27" s="75"/>
      <c r="J27" s="75"/>
      <c r="K27" s="75"/>
      <c r="L27" s="75"/>
    </row>
    <row r="28" spans="1:13" x14ac:dyDescent="0.35">
      <c r="A28" s="74"/>
      <c r="C28" s="75"/>
      <c r="D28" s="75"/>
      <c r="E28" s="75"/>
      <c r="F28" s="75"/>
      <c r="G28" s="75"/>
      <c r="H28" s="75"/>
      <c r="I28" s="75"/>
      <c r="J28" s="75"/>
      <c r="K28" s="75"/>
      <c r="L28" s="75"/>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20" activePane="bottomRight" state="frozen"/>
      <selection activeCell="A4" sqref="A4"/>
      <selection pane="topRight" activeCell="H4" sqref="H4"/>
      <selection pane="bottomLeft" activeCell="A8" sqref="A8"/>
      <selection pane="bottomRight" activeCell="A72" sqref="A72:G72"/>
    </sheetView>
  </sheetViews>
  <sheetFormatPr defaultColWidth="11.453125" defaultRowHeight="14.5" x14ac:dyDescent="0.35"/>
  <cols>
    <col min="1" max="1" width="6.54296875" customWidth="1"/>
    <col min="2" max="2" width="65" customWidth="1"/>
    <col min="3" max="13" width="11.54296875" customWidth="1"/>
    <col min="14" max="14" width="11.54296875" style="1066" customWidth="1"/>
    <col min="15" max="15" width="18.1796875" customWidth="1"/>
  </cols>
  <sheetData>
    <row r="2" spans="1:19" x14ac:dyDescent="0.35">
      <c r="A2" s="1413" t="s">
        <v>973</v>
      </c>
      <c r="B2" s="1413"/>
      <c r="C2" s="1413"/>
      <c r="D2" s="1413"/>
      <c r="E2" s="1413"/>
      <c r="F2" s="1413"/>
      <c r="G2" s="1413"/>
      <c r="H2" s="1413"/>
      <c r="I2" s="1413"/>
      <c r="J2" s="1413"/>
      <c r="K2" s="1413"/>
      <c r="L2" s="1413"/>
      <c r="M2" s="1413"/>
      <c r="N2" s="1413"/>
      <c r="O2" s="1413"/>
      <c r="P2" s="1413"/>
      <c r="Q2" s="1413"/>
      <c r="R2" s="1413"/>
      <c r="S2" s="1413"/>
    </row>
    <row r="3" spans="1:19" x14ac:dyDescent="0.35">
      <c r="A3" s="1413" t="s">
        <v>944</v>
      </c>
      <c r="B3" s="1413"/>
      <c r="C3" s="1413"/>
      <c r="D3" s="1413"/>
      <c r="E3" s="1413"/>
      <c r="F3" s="1413"/>
      <c r="G3" s="1413"/>
      <c r="H3" s="1413"/>
      <c r="I3" s="1413"/>
      <c r="J3" s="1413"/>
      <c r="K3" s="1413"/>
      <c r="L3" s="1413"/>
      <c r="M3" s="1413"/>
      <c r="N3" s="1413"/>
      <c r="O3" s="1413"/>
      <c r="P3" s="1413"/>
      <c r="Q3" s="1413"/>
      <c r="R3" s="1413"/>
      <c r="S3" s="1413"/>
    </row>
    <row r="4" spans="1:19" ht="15" customHeight="1" x14ac:dyDescent="0.35">
      <c r="A4" s="1414"/>
      <c r="B4" s="1414"/>
      <c r="C4" s="1414"/>
      <c r="D4" s="97"/>
      <c r="E4" s="97"/>
      <c r="F4" s="97"/>
      <c r="G4" s="97"/>
      <c r="H4" s="97"/>
      <c r="I4" s="97"/>
      <c r="J4" s="97"/>
      <c r="K4" s="97"/>
      <c r="L4" s="97"/>
      <c r="M4" s="97"/>
      <c r="N4" s="1063"/>
    </row>
    <row r="5" spans="1:19" x14ac:dyDescent="0.35">
      <c r="A5" s="99"/>
      <c r="B5" s="108"/>
      <c r="C5" s="1415"/>
      <c r="D5" s="1415"/>
      <c r="E5" s="1415"/>
      <c r="F5" s="1415"/>
      <c r="G5" s="1415"/>
      <c r="H5" s="35"/>
      <c r="I5" s="35"/>
      <c r="J5" s="35"/>
      <c r="K5" s="35"/>
      <c r="L5" s="35"/>
      <c r="M5" s="35"/>
      <c r="N5" s="1064"/>
      <c r="O5" s="35"/>
    </row>
    <row r="6" spans="1:19" x14ac:dyDescent="0.35">
      <c r="A6" s="83" t="s">
        <v>871</v>
      </c>
      <c r="B6" s="109"/>
      <c r="C6" s="1416"/>
      <c r="D6" s="1417"/>
      <c r="E6" s="113">
        <v>2022</v>
      </c>
      <c r="F6" s="98"/>
      <c r="G6" s="98"/>
      <c r="H6" s="107"/>
      <c r="I6" s="83"/>
      <c r="J6" s="83"/>
      <c r="K6" s="83"/>
      <c r="L6" s="83"/>
      <c r="M6" s="83"/>
      <c r="N6" s="1065"/>
      <c r="O6" s="100"/>
    </row>
    <row r="7" spans="1:19" ht="15" customHeight="1" thickBot="1" x14ac:dyDescent="0.4">
      <c r="A7" s="110"/>
      <c r="B7" s="115"/>
      <c r="C7" s="85" t="s">
        <v>234</v>
      </c>
      <c r="D7" s="86" t="s">
        <v>235</v>
      </c>
      <c r="E7" s="86" t="s">
        <v>236</v>
      </c>
      <c r="F7" s="86" t="s">
        <v>237</v>
      </c>
      <c r="G7" s="86" t="s">
        <v>993</v>
      </c>
      <c r="H7" s="86" t="s">
        <v>1006</v>
      </c>
      <c r="I7" s="1067" t="s">
        <v>1266</v>
      </c>
      <c r="J7" s="1068" t="s">
        <v>1473</v>
      </c>
      <c r="K7" s="1068" t="s">
        <v>2188</v>
      </c>
      <c r="L7" s="1068" t="s">
        <v>1528</v>
      </c>
      <c r="M7" s="1068" t="s">
        <v>1836</v>
      </c>
      <c r="N7" s="1069" t="s">
        <v>2189</v>
      </c>
      <c r="O7" s="101" t="s">
        <v>2191</v>
      </c>
    </row>
    <row r="8" spans="1:19" x14ac:dyDescent="0.35">
      <c r="A8" s="116">
        <v>1</v>
      </c>
      <c r="B8" s="125" t="s">
        <v>239</v>
      </c>
      <c r="C8" s="127">
        <v>21205.7</v>
      </c>
      <c r="D8" s="130">
        <v>21319.5</v>
      </c>
      <c r="E8" s="130">
        <v>21434.3</v>
      </c>
      <c r="F8" s="127">
        <v>21503.599999999999</v>
      </c>
      <c r="G8" s="130">
        <v>21624.3</v>
      </c>
      <c r="H8" s="130">
        <v>21687</v>
      </c>
      <c r="I8" s="1070">
        <v>21781.7</v>
      </c>
      <c r="J8" s="1071">
        <v>21859.9</v>
      </c>
      <c r="K8" s="1072">
        <v>21942.6</v>
      </c>
      <c r="L8" s="1071">
        <v>22118.2</v>
      </c>
      <c r="M8" s="1072">
        <v>22174.799999999999</v>
      </c>
      <c r="N8" s="1073">
        <v>22224.3</v>
      </c>
      <c r="O8" s="102"/>
    </row>
    <row r="9" spans="1:19" x14ac:dyDescent="0.35">
      <c r="A9" s="76">
        <v>2</v>
      </c>
      <c r="B9" s="126" t="s">
        <v>240</v>
      </c>
      <c r="C9" s="128">
        <v>13174.5</v>
      </c>
      <c r="D9" s="131">
        <v>13269.4</v>
      </c>
      <c r="E9" s="131">
        <v>13335.3</v>
      </c>
      <c r="F9" s="128">
        <v>13396.5</v>
      </c>
      <c r="G9" s="131">
        <v>13471.4</v>
      </c>
      <c r="H9" s="131">
        <v>13468.8</v>
      </c>
      <c r="I9" s="1074">
        <v>13573.8</v>
      </c>
      <c r="J9" s="1075">
        <v>13623</v>
      </c>
      <c r="K9" s="1076">
        <v>13699.4</v>
      </c>
      <c r="L9" s="1075">
        <v>13754.3</v>
      </c>
      <c r="M9" s="1076">
        <v>13798.9</v>
      </c>
      <c r="N9" s="1077">
        <v>13834.9</v>
      </c>
      <c r="O9" s="102"/>
    </row>
    <row r="10" spans="1:19" x14ac:dyDescent="0.35">
      <c r="A10" s="117">
        <v>3</v>
      </c>
      <c r="B10" s="129" t="s">
        <v>241</v>
      </c>
      <c r="C10" s="112">
        <v>10851.2</v>
      </c>
      <c r="D10" s="78">
        <v>10933.6</v>
      </c>
      <c r="E10" s="78">
        <v>10991.7</v>
      </c>
      <c r="F10" s="112">
        <v>11045</v>
      </c>
      <c r="G10" s="78">
        <v>11110.6</v>
      </c>
      <c r="H10" s="78">
        <v>11104</v>
      </c>
      <c r="I10" s="1078">
        <v>11196.6</v>
      </c>
      <c r="J10" s="1079">
        <v>11237.1</v>
      </c>
      <c r="K10" s="1080">
        <v>11303.8</v>
      </c>
      <c r="L10" s="1079">
        <v>11350.3</v>
      </c>
      <c r="M10" s="1080">
        <v>11386.9</v>
      </c>
      <c r="N10" s="1081">
        <v>11415.8</v>
      </c>
      <c r="O10" s="102"/>
    </row>
    <row r="11" spans="1:19" x14ac:dyDescent="0.35">
      <c r="A11" s="35">
        <v>4</v>
      </c>
      <c r="B11" s="87" t="s">
        <v>242</v>
      </c>
      <c r="C11" s="114">
        <v>9268.7999999999993</v>
      </c>
      <c r="D11" s="80">
        <v>9345.6</v>
      </c>
      <c r="E11" s="80">
        <v>9398.7999999999993</v>
      </c>
      <c r="F11" s="114">
        <v>9449.9</v>
      </c>
      <c r="G11" s="80">
        <v>9508.5</v>
      </c>
      <c r="H11" s="80">
        <v>9500.1</v>
      </c>
      <c r="I11" s="1082">
        <v>9581.2000000000007</v>
      </c>
      <c r="J11" s="1083">
        <v>9612.2999999999993</v>
      </c>
      <c r="K11" s="1084">
        <v>9672.7000000000007</v>
      </c>
      <c r="L11" s="1083">
        <v>9714.9</v>
      </c>
      <c r="M11" s="1084">
        <v>9745.4</v>
      </c>
      <c r="N11" s="1085">
        <v>9771</v>
      </c>
      <c r="O11" s="102"/>
    </row>
    <row r="12" spans="1:19" x14ac:dyDescent="0.35">
      <c r="A12" s="117">
        <v>5</v>
      </c>
      <c r="B12" s="129" t="s">
        <v>243</v>
      </c>
      <c r="C12" s="112">
        <v>1582.4</v>
      </c>
      <c r="D12" s="78">
        <v>1588</v>
      </c>
      <c r="E12" s="78">
        <v>1592.8</v>
      </c>
      <c r="F12" s="112">
        <v>1595.1</v>
      </c>
      <c r="G12" s="78">
        <v>1602.1</v>
      </c>
      <c r="H12" s="78">
        <v>1603.9</v>
      </c>
      <c r="I12" s="1078">
        <v>1615.4</v>
      </c>
      <c r="J12" s="1079">
        <v>1624.8</v>
      </c>
      <c r="K12" s="1080">
        <v>1631.1</v>
      </c>
      <c r="L12" s="1079">
        <v>1635.4</v>
      </c>
      <c r="M12" s="1080">
        <v>1641.4</v>
      </c>
      <c r="N12" s="1081">
        <v>1644.8</v>
      </c>
      <c r="O12" s="102"/>
    </row>
    <row r="13" spans="1:19" x14ac:dyDescent="0.35">
      <c r="A13" s="35">
        <v>6</v>
      </c>
      <c r="B13" s="87" t="s">
        <v>244</v>
      </c>
      <c r="C13" s="114">
        <v>2323.3000000000002</v>
      </c>
      <c r="D13" s="80">
        <v>2335.6999999999998</v>
      </c>
      <c r="E13" s="80">
        <v>2343.6</v>
      </c>
      <c r="F13" s="114">
        <v>2351.5</v>
      </c>
      <c r="G13" s="80">
        <v>2360.8000000000002</v>
      </c>
      <c r="H13" s="80">
        <v>2364.8000000000002</v>
      </c>
      <c r="I13" s="1082">
        <v>2377.3000000000002</v>
      </c>
      <c r="J13" s="1083">
        <v>2385.9</v>
      </c>
      <c r="K13" s="1084">
        <v>2395.6999999999998</v>
      </c>
      <c r="L13" s="1083">
        <v>2404</v>
      </c>
      <c r="M13" s="1084">
        <v>2412</v>
      </c>
      <c r="N13" s="1085">
        <v>2419.1</v>
      </c>
      <c r="O13" s="102"/>
    </row>
    <row r="14" spans="1:19" x14ac:dyDescent="0.35">
      <c r="A14" s="116">
        <v>7</v>
      </c>
      <c r="B14" s="88" t="s">
        <v>245</v>
      </c>
      <c r="C14" s="79">
        <v>1780.7</v>
      </c>
      <c r="D14" s="81">
        <v>1808.6</v>
      </c>
      <c r="E14" s="81">
        <v>1844.9</v>
      </c>
      <c r="F14" s="79">
        <v>1827.2</v>
      </c>
      <c r="G14" s="81">
        <v>1836.2</v>
      </c>
      <c r="H14" s="81">
        <v>1842.6</v>
      </c>
      <c r="I14" s="1086">
        <v>1846.5</v>
      </c>
      <c r="J14" s="1087">
        <v>1869.7</v>
      </c>
      <c r="K14" s="1088">
        <v>1874.4</v>
      </c>
      <c r="L14" s="1087">
        <v>1870.6</v>
      </c>
      <c r="M14" s="1088">
        <v>1868.8</v>
      </c>
      <c r="N14" s="1089">
        <v>1875.2</v>
      </c>
      <c r="O14" s="102"/>
    </row>
    <row r="15" spans="1:19" x14ac:dyDescent="0.35">
      <c r="A15" s="35">
        <v>8</v>
      </c>
      <c r="B15" s="87" t="s">
        <v>246</v>
      </c>
      <c r="C15" s="114">
        <v>51.2</v>
      </c>
      <c r="D15" s="80">
        <v>71.099999999999994</v>
      </c>
      <c r="E15" s="80">
        <v>100.9</v>
      </c>
      <c r="F15" s="114">
        <v>97.7</v>
      </c>
      <c r="G15" s="80">
        <v>95.7</v>
      </c>
      <c r="H15" s="80">
        <v>93.7</v>
      </c>
      <c r="I15" s="1082">
        <v>94.8</v>
      </c>
      <c r="J15" s="1083">
        <v>95.9</v>
      </c>
      <c r="K15" s="1084">
        <v>97.1</v>
      </c>
      <c r="L15" s="1083">
        <v>93.9</v>
      </c>
      <c r="M15" s="1084">
        <v>90.8</v>
      </c>
      <c r="N15" s="1085">
        <v>87.7</v>
      </c>
      <c r="O15" s="102"/>
    </row>
    <row r="16" spans="1:19" x14ac:dyDescent="0.35">
      <c r="A16" s="117"/>
      <c r="B16" s="89" t="s">
        <v>249</v>
      </c>
      <c r="C16" s="112" t="s">
        <v>1474</v>
      </c>
      <c r="D16" s="78"/>
      <c r="E16" s="78"/>
      <c r="F16" s="112" t="s">
        <v>1524</v>
      </c>
      <c r="G16" s="78"/>
      <c r="H16" s="78"/>
      <c r="I16" s="1078" t="s">
        <v>2190</v>
      </c>
      <c r="J16" s="1079" t="s">
        <v>2190</v>
      </c>
      <c r="K16" s="1080" t="s">
        <v>2190</v>
      </c>
      <c r="L16" s="1079" t="s">
        <v>2190</v>
      </c>
      <c r="M16" s="1080" t="s">
        <v>2190</v>
      </c>
      <c r="N16" s="1081" t="s">
        <v>2190</v>
      </c>
      <c r="O16" s="102"/>
    </row>
    <row r="17" spans="1:17" ht="16.399999999999999" customHeight="1" x14ac:dyDescent="0.35">
      <c r="A17" s="117">
        <v>9</v>
      </c>
      <c r="B17" s="129" t="s">
        <v>963</v>
      </c>
      <c r="C17" s="112">
        <v>0.3</v>
      </c>
      <c r="D17" s="78">
        <v>0.2</v>
      </c>
      <c r="E17" s="78">
        <v>1.3</v>
      </c>
      <c r="F17" s="112">
        <v>0</v>
      </c>
      <c r="G17" s="78">
        <v>0</v>
      </c>
      <c r="H17" s="78">
        <v>0</v>
      </c>
      <c r="I17" s="1078">
        <v>0</v>
      </c>
      <c r="J17" s="1079">
        <v>0</v>
      </c>
      <c r="K17" s="1080">
        <v>0</v>
      </c>
      <c r="L17" s="1079">
        <v>0</v>
      </c>
      <c r="M17" s="1080">
        <v>0</v>
      </c>
      <c r="N17" s="1081">
        <v>0</v>
      </c>
      <c r="O17" s="102"/>
    </row>
    <row r="18" spans="1:17" ht="16.399999999999999" customHeight="1" x14ac:dyDescent="0.35">
      <c r="A18" s="119">
        <v>10</v>
      </c>
      <c r="B18" s="122" t="s">
        <v>964</v>
      </c>
      <c r="C18" s="114">
        <v>0</v>
      </c>
      <c r="D18" s="80">
        <v>0</v>
      </c>
      <c r="E18" s="80">
        <v>0</v>
      </c>
      <c r="F18" s="114">
        <v>0</v>
      </c>
      <c r="G18" s="80">
        <v>0</v>
      </c>
      <c r="H18" s="80">
        <v>0</v>
      </c>
      <c r="I18" s="1082">
        <v>0</v>
      </c>
      <c r="J18" s="1083">
        <v>0</v>
      </c>
      <c r="K18" s="1084">
        <v>0</v>
      </c>
      <c r="L18" s="1083">
        <v>0</v>
      </c>
      <c r="M18" s="1084">
        <v>0</v>
      </c>
      <c r="N18" s="1085">
        <v>0</v>
      </c>
      <c r="O18" s="103"/>
    </row>
    <row r="19" spans="1:17" x14ac:dyDescent="0.35">
      <c r="A19" s="117">
        <v>11</v>
      </c>
      <c r="B19" s="129" t="s">
        <v>250</v>
      </c>
      <c r="C19" s="112">
        <v>1729.6</v>
      </c>
      <c r="D19" s="78">
        <v>1737.5</v>
      </c>
      <c r="E19" s="78">
        <v>1743.9</v>
      </c>
      <c r="F19" s="112">
        <v>1729.6</v>
      </c>
      <c r="G19" s="78">
        <v>1740.5</v>
      </c>
      <c r="H19" s="78">
        <v>1749</v>
      </c>
      <c r="I19" s="1078">
        <v>1751.7</v>
      </c>
      <c r="J19" s="1079">
        <v>1773.7</v>
      </c>
      <c r="K19" s="1080">
        <v>1777.4</v>
      </c>
      <c r="L19" s="1079">
        <v>1776.7</v>
      </c>
      <c r="M19" s="1080">
        <v>1778</v>
      </c>
      <c r="N19" s="1081">
        <v>1787.6</v>
      </c>
      <c r="O19" s="102"/>
    </row>
    <row r="20" spans="1:17" x14ac:dyDescent="0.35">
      <c r="B20" s="90" t="s">
        <v>251</v>
      </c>
      <c r="C20" s="114" t="s">
        <v>1474</v>
      </c>
      <c r="D20" s="80"/>
      <c r="E20" s="80"/>
      <c r="F20" s="114" t="s">
        <v>1524</v>
      </c>
      <c r="G20" s="80"/>
      <c r="H20" s="80"/>
      <c r="I20" s="1082" t="s">
        <v>2190</v>
      </c>
      <c r="J20" s="1083" t="s">
        <v>2190</v>
      </c>
      <c r="K20" s="1084" t="s">
        <v>2190</v>
      </c>
      <c r="L20" s="1083" t="s">
        <v>2190</v>
      </c>
      <c r="M20" s="1084" t="s">
        <v>2190</v>
      </c>
      <c r="N20" s="1085" t="s">
        <v>2190</v>
      </c>
      <c r="O20" s="102"/>
    </row>
    <row r="21" spans="1:17" ht="16.399999999999999" customHeight="1" x14ac:dyDescent="0.35">
      <c r="A21" s="119">
        <v>12</v>
      </c>
      <c r="B21" s="122" t="s">
        <v>964</v>
      </c>
      <c r="C21" s="114">
        <v>0</v>
      </c>
      <c r="D21" s="80">
        <v>0</v>
      </c>
      <c r="E21" s="80">
        <v>0</v>
      </c>
      <c r="F21" s="114">
        <v>0</v>
      </c>
      <c r="G21" s="80">
        <v>0</v>
      </c>
      <c r="H21" s="80">
        <v>0</v>
      </c>
      <c r="I21" s="1082">
        <v>0</v>
      </c>
      <c r="J21" s="1083">
        <v>0</v>
      </c>
      <c r="K21" s="1084">
        <v>0</v>
      </c>
      <c r="L21" s="1083">
        <v>0</v>
      </c>
      <c r="M21" s="1084">
        <v>0</v>
      </c>
      <c r="N21" s="1085">
        <v>0</v>
      </c>
      <c r="O21" s="103"/>
    </row>
    <row r="22" spans="1:17" x14ac:dyDescent="0.35">
      <c r="A22" s="116">
        <v>13</v>
      </c>
      <c r="B22" s="88" t="s">
        <v>252</v>
      </c>
      <c r="C22" s="79">
        <v>739.2</v>
      </c>
      <c r="D22" s="81">
        <v>743.3</v>
      </c>
      <c r="E22" s="81">
        <v>752.1</v>
      </c>
      <c r="F22" s="79">
        <v>759.9</v>
      </c>
      <c r="G22" s="81">
        <v>775.8</v>
      </c>
      <c r="H22" s="81">
        <v>792</v>
      </c>
      <c r="I22" s="1086">
        <v>792.9</v>
      </c>
      <c r="J22" s="1087">
        <v>794.9</v>
      </c>
      <c r="K22" s="1088">
        <v>797</v>
      </c>
      <c r="L22" s="1087">
        <v>802.7</v>
      </c>
      <c r="M22" s="1088">
        <v>807.9</v>
      </c>
      <c r="N22" s="1089">
        <v>814.1</v>
      </c>
      <c r="O22" s="102"/>
    </row>
    <row r="23" spans="1:17" x14ac:dyDescent="0.35">
      <c r="A23" s="76">
        <v>14</v>
      </c>
      <c r="B23" s="126" t="s">
        <v>253</v>
      </c>
      <c r="C23" s="128">
        <v>3265.4</v>
      </c>
      <c r="D23" s="131">
        <v>3267.6</v>
      </c>
      <c r="E23" s="131">
        <v>3276.5</v>
      </c>
      <c r="F23" s="128">
        <v>3296.5</v>
      </c>
      <c r="G23" s="131">
        <v>3324.2</v>
      </c>
      <c r="H23" s="131">
        <v>3348.4</v>
      </c>
      <c r="I23" s="1074">
        <v>3350.6</v>
      </c>
      <c r="J23" s="1075">
        <v>3358.1</v>
      </c>
      <c r="K23" s="1076">
        <v>3367.7</v>
      </c>
      <c r="L23" s="1075">
        <v>3409</v>
      </c>
      <c r="M23" s="1076">
        <v>3413.9</v>
      </c>
      <c r="N23" s="1077">
        <v>3417.8</v>
      </c>
      <c r="O23" s="102"/>
    </row>
    <row r="24" spans="1:17" x14ac:dyDescent="0.35">
      <c r="A24" s="117">
        <v>15</v>
      </c>
      <c r="B24" s="129" t="s">
        <v>254</v>
      </c>
      <c r="C24" s="112">
        <v>1664.6</v>
      </c>
      <c r="D24" s="78">
        <v>1670.8</v>
      </c>
      <c r="E24" s="78">
        <v>1676.9</v>
      </c>
      <c r="F24" s="112">
        <v>1692.6</v>
      </c>
      <c r="G24" s="78">
        <v>1708.5</v>
      </c>
      <c r="H24" s="78">
        <v>1724.6</v>
      </c>
      <c r="I24" s="1078">
        <v>1731.1</v>
      </c>
      <c r="J24" s="1079">
        <v>1738</v>
      </c>
      <c r="K24" s="1080">
        <v>1745.2</v>
      </c>
      <c r="L24" s="1079">
        <v>1762.4</v>
      </c>
      <c r="M24" s="1080">
        <v>1780.2</v>
      </c>
      <c r="N24" s="1081">
        <v>1798.8</v>
      </c>
      <c r="O24" s="102"/>
    </row>
    <row r="25" spans="1:17" x14ac:dyDescent="0.35">
      <c r="A25" s="35">
        <v>16</v>
      </c>
      <c r="B25" s="87" t="s">
        <v>255</v>
      </c>
      <c r="C25" s="114">
        <v>1600.8</v>
      </c>
      <c r="D25" s="80">
        <v>1596.8</v>
      </c>
      <c r="E25" s="80">
        <v>1599.6</v>
      </c>
      <c r="F25" s="114">
        <v>1603.8</v>
      </c>
      <c r="G25" s="80">
        <v>1615.6</v>
      </c>
      <c r="H25" s="80">
        <v>1623.8</v>
      </c>
      <c r="I25" s="1082">
        <v>1619.5</v>
      </c>
      <c r="J25" s="1083">
        <v>1620.1</v>
      </c>
      <c r="K25" s="1084">
        <v>1622.6</v>
      </c>
      <c r="L25" s="1083">
        <v>1646.6</v>
      </c>
      <c r="M25" s="1084">
        <v>1633.7</v>
      </c>
      <c r="N25" s="1085">
        <v>1619</v>
      </c>
      <c r="O25" s="102"/>
    </row>
    <row r="26" spans="1:17" x14ac:dyDescent="0.35">
      <c r="A26" s="116">
        <v>17</v>
      </c>
      <c r="B26" s="88" t="s">
        <v>256</v>
      </c>
      <c r="C26" s="79">
        <v>3869.5</v>
      </c>
      <c r="D26" s="81">
        <v>3866.5</v>
      </c>
      <c r="E26" s="81">
        <v>3870.2</v>
      </c>
      <c r="F26" s="79">
        <v>3875.3</v>
      </c>
      <c r="G26" s="81">
        <v>3877.8</v>
      </c>
      <c r="H26" s="81">
        <v>3896.4</v>
      </c>
      <c r="I26" s="1086">
        <v>3891.7</v>
      </c>
      <c r="J26" s="1087">
        <v>3893.9</v>
      </c>
      <c r="K26" s="1088">
        <v>3892.9</v>
      </c>
      <c r="L26" s="1087">
        <v>3976.9</v>
      </c>
      <c r="M26" s="1088">
        <v>3985.6</v>
      </c>
      <c r="N26" s="1089">
        <v>3986.6</v>
      </c>
      <c r="O26" s="102"/>
    </row>
    <row r="27" spans="1:17" x14ac:dyDescent="0.35">
      <c r="A27" s="35">
        <v>18</v>
      </c>
      <c r="B27" s="87" t="s">
        <v>257</v>
      </c>
      <c r="C27" s="114">
        <v>3797.8</v>
      </c>
      <c r="D27" s="80">
        <v>3795.5</v>
      </c>
      <c r="E27" s="80">
        <v>3799.7</v>
      </c>
      <c r="F27" s="114">
        <v>3805.1</v>
      </c>
      <c r="G27" s="80">
        <v>3807.9</v>
      </c>
      <c r="H27" s="80">
        <v>3814.4</v>
      </c>
      <c r="I27" s="1082">
        <v>3821.1</v>
      </c>
      <c r="J27" s="1083">
        <v>3824.5</v>
      </c>
      <c r="K27" s="1084">
        <v>3823.5</v>
      </c>
      <c r="L27" s="1083">
        <v>3907.5</v>
      </c>
      <c r="M27" s="1084">
        <v>3916.1</v>
      </c>
      <c r="N27" s="1085">
        <v>3917</v>
      </c>
      <c r="O27" s="102"/>
    </row>
    <row r="28" spans="1:17" x14ac:dyDescent="0.35">
      <c r="A28" s="117">
        <v>19</v>
      </c>
      <c r="B28" s="129" t="s">
        <v>258</v>
      </c>
      <c r="C28" s="112">
        <v>1195.8</v>
      </c>
      <c r="D28" s="78">
        <v>1197.5999999999999</v>
      </c>
      <c r="E28" s="78">
        <v>1202.7</v>
      </c>
      <c r="F28" s="112">
        <v>1204.4000000000001</v>
      </c>
      <c r="G28" s="78">
        <v>1207.2</v>
      </c>
      <c r="H28" s="78">
        <v>1209</v>
      </c>
      <c r="I28" s="1078">
        <v>1211.0999999999999</v>
      </c>
      <c r="J28" s="1079">
        <v>1215.9000000000001</v>
      </c>
      <c r="K28" s="1080">
        <v>1216.9000000000001</v>
      </c>
      <c r="L28" s="1079">
        <v>1229.5</v>
      </c>
      <c r="M28" s="1080">
        <v>1224.7</v>
      </c>
      <c r="N28" s="1081">
        <v>1221.7</v>
      </c>
      <c r="O28" s="102"/>
    </row>
    <row r="29" spans="1:17" x14ac:dyDescent="0.35">
      <c r="A29" s="119">
        <v>20</v>
      </c>
      <c r="B29" s="120" t="s">
        <v>259</v>
      </c>
      <c r="C29" s="114">
        <v>905</v>
      </c>
      <c r="D29" s="80">
        <v>907.8</v>
      </c>
      <c r="E29" s="80">
        <v>911.2</v>
      </c>
      <c r="F29" s="114">
        <v>907.1</v>
      </c>
      <c r="G29" s="80">
        <v>911.6</v>
      </c>
      <c r="H29" s="80">
        <v>916.6</v>
      </c>
      <c r="I29" s="1082">
        <v>914.1</v>
      </c>
      <c r="J29" s="1083">
        <v>920.1</v>
      </c>
      <c r="K29" s="1084">
        <v>926.7</v>
      </c>
      <c r="L29" s="1083">
        <v>933.8</v>
      </c>
      <c r="M29" s="1084">
        <v>941.5</v>
      </c>
      <c r="N29" s="1085">
        <v>949.7</v>
      </c>
      <c r="O29" s="104">
        <f>Medicare!U10</f>
        <v>958.68725729225423</v>
      </c>
      <c r="P29" s="1059">
        <f>N29-L29</f>
        <v>15.900000000000091</v>
      </c>
      <c r="Q29" s="1099">
        <f>O29-N29</f>
        <v>8.9872572922541849</v>
      </c>
    </row>
    <row r="30" spans="1:17" x14ac:dyDescent="0.35">
      <c r="A30" s="117"/>
      <c r="B30" s="89" t="s">
        <v>260</v>
      </c>
      <c r="C30" s="112" t="s">
        <v>1474</v>
      </c>
      <c r="D30" s="78" t="s">
        <v>1474</v>
      </c>
      <c r="E30" s="78" t="s">
        <v>1474</v>
      </c>
      <c r="F30" s="112" t="s">
        <v>1524</v>
      </c>
      <c r="G30" s="78" t="s">
        <v>1524</v>
      </c>
      <c r="H30" s="78" t="s">
        <v>1789</v>
      </c>
      <c r="I30" s="1078" t="s">
        <v>2190</v>
      </c>
      <c r="J30" s="1079" t="s">
        <v>2190</v>
      </c>
      <c r="K30" s="1080" t="s">
        <v>2190</v>
      </c>
      <c r="L30" s="1079" t="s">
        <v>2190</v>
      </c>
      <c r="M30" s="1080" t="s">
        <v>2190</v>
      </c>
      <c r="N30" s="1081" t="s">
        <v>2190</v>
      </c>
      <c r="O30" s="102"/>
    </row>
    <row r="31" spans="1:17" ht="16.399999999999999" customHeight="1" x14ac:dyDescent="0.35">
      <c r="A31" s="117">
        <v>21</v>
      </c>
      <c r="B31" s="129" t="s">
        <v>965</v>
      </c>
      <c r="C31" s="112">
        <v>15.8</v>
      </c>
      <c r="D31" s="78">
        <v>15.8</v>
      </c>
      <c r="E31" s="78">
        <v>15.9</v>
      </c>
      <c r="F31" s="112">
        <v>7.9</v>
      </c>
      <c r="G31" s="78">
        <v>7.9</v>
      </c>
      <c r="H31" s="78">
        <v>8</v>
      </c>
      <c r="I31" s="1078">
        <v>0</v>
      </c>
      <c r="J31" s="1079">
        <v>0</v>
      </c>
      <c r="K31" s="1080">
        <v>0</v>
      </c>
      <c r="L31" s="1079">
        <v>0</v>
      </c>
      <c r="M31" s="1080">
        <v>0</v>
      </c>
      <c r="N31" s="1081">
        <v>0</v>
      </c>
      <c r="O31" s="102"/>
    </row>
    <row r="32" spans="1:17" x14ac:dyDescent="0.35">
      <c r="A32" s="119">
        <v>22</v>
      </c>
      <c r="B32" s="120" t="s">
        <v>261</v>
      </c>
      <c r="C32" s="114">
        <v>756.6</v>
      </c>
      <c r="D32" s="80">
        <v>763.8</v>
      </c>
      <c r="E32" s="80">
        <v>769</v>
      </c>
      <c r="F32" s="114">
        <v>780.7</v>
      </c>
      <c r="G32" s="80">
        <v>790.6</v>
      </c>
      <c r="H32" s="80">
        <v>797.2</v>
      </c>
      <c r="I32" s="1082">
        <v>790.3</v>
      </c>
      <c r="J32" s="1083">
        <v>785.3</v>
      </c>
      <c r="K32" s="1084">
        <v>782.8</v>
      </c>
      <c r="L32" s="1083">
        <v>784</v>
      </c>
      <c r="M32" s="1084">
        <v>784.6</v>
      </c>
      <c r="N32" s="1085">
        <v>785.3</v>
      </c>
      <c r="O32" s="104">
        <f>forecast!D11</f>
        <v>786.22859405082568</v>
      </c>
      <c r="P32" s="1059">
        <f t="shared" ref="P32:P49" si="0">N32-L32</f>
        <v>1.2999999999999545</v>
      </c>
      <c r="Q32" s="1099">
        <f t="shared" ref="Q32:Q49" si="1">O32-N32</f>
        <v>0.92859405082572266</v>
      </c>
    </row>
    <row r="33" spans="1:17" x14ac:dyDescent="0.35">
      <c r="A33" s="119">
        <v>23</v>
      </c>
      <c r="B33" s="120" t="s">
        <v>262</v>
      </c>
      <c r="C33" s="112">
        <v>25.5</v>
      </c>
      <c r="D33" s="78">
        <v>23.6</v>
      </c>
      <c r="E33" s="78">
        <v>21.7</v>
      </c>
      <c r="F33" s="112">
        <v>19.5</v>
      </c>
      <c r="G33" s="78">
        <v>18.2</v>
      </c>
      <c r="H33" s="78">
        <v>18.100000000000001</v>
      </c>
      <c r="I33" s="1078">
        <v>18.7</v>
      </c>
      <c r="J33" s="1079">
        <v>18.899999999999999</v>
      </c>
      <c r="K33" s="1080">
        <v>18</v>
      </c>
      <c r="L33" s="1079">
        <v>18.899999999999999</v>
      </c>
      <c r="M33" s="1080">
        <v>20.7</v>
      </c>
      <c r="N33" s="1081">
        <v>21.6</v>
      </c>
      <c r="O33" s="104">
        <f>forecast!D9+forecast!D8</f>
        <v>23.227666666666668</v>
      </c>
      <c r="P33" s="1059">
        <f t="shared" si="0"/>
        <v>2.7000000000000028</v>
      </c>
      <c r="Q33" s="1099">
        <f t="shared" si="1"/>
        <v>1.6276666666666664</v>
      </c>
    </row>
    <row r="34" spans="1:17" ht="16.399999999999999" customHeight="1" x14ac:dyDescent="0.35">
      <c r="B34" s="91" t="s">
        <v>966</v>
      </c>
      <c r="C34" s="114" t="s">
        <v>1474</v>
      </c>
      <c r="D34" s="80"/>
      <c r="E34" s="80"/>
      <c r="F34" s="114" t="s">
        <v>1524</v>
      </c>
      <c r="G34" s="80"/>
      <c r="H34" s="80"/>
      <c r="I34" s="1082" t="s">
        <v>2190</v>
      </c>
      <c r="J34" s="1083" t="s">
        <v>2190</v>
      </c>
      <c r="K34" s="1084" t="s">
        <v>2190</v>
      </c>
      <c r="L34" s="1083" t="s">
        <v>2190</v>
      </c>
      <c r="M34" s="1084" t="s">
        <v>2190</v>
      </c>
      <c r="N34" s="1085" t="s">
        <v>2190</v>
      </c>
      <c r="O34" s="102"/>
    </row>
    <row r="35" spans="1:17" x14ac:dyDescent="0.35">
      <c r="A35" s="35">
        <v>24</v>
      </c>
      <c r="B35" s="92" t="s">
        <v>263</v>
      </c>
      <c r="C35" s="114">
        <v>0.2</v>
      </c>
      <c r="D35" s="80">
        <v>0.2</v>
      </c>
      <c r="E35" s="80">
        <v>0.2</v>
      </c>
      <c r="F35" s="114">
        <v>0.1</v>
      </c>
      <c r="G35" s="80">
        <v>0</v>
      </c>
      <c r="H35" s="80">
        <v>0</v>
      </c>
      <c r="I35" s="1082">
        <v>0</v>
      </c>
      <c r="J35" s="1083">
        <v>0</v>
      </c>
      <c r="K35" s="1084">
        <v>0</v>
      </c>
      <c r="L35" s="1083">
        <v>0</v>
      </c>
      <c r="M35" s="1084">
        <v>0</v>
      </c>
      <c r="N35" s="1085">
        <v>0</v>
      </c>
      <c r="O35" s="102"/>
    </row>
    <row r="36" spans="1:17" x14ac:dyDescent="0.35">
      <c r="A36" s="117">
        <v>25</v>
      </c>
      <c r="B36" s="93" t="s">
        <v>264</v>
      </c>
      <c r="C36" s="112">
        <v>0.9</v>
      </c>
      <c r="D36" s="78">
        <v>0.8</v>
      </c>
      <c r="E36" s="78">
        <v>0.7</v>
      </c>
      <c r="F36" s="112">
        <v>0.7</v>
      </c>
      <c r="G36" s="78">
        <v>0.5</v>
      </c>
      <c r="H36" s="78">
        <v>0.4</v>
      </c>
      <c r="I36" s="1078">
        <v>0.4</v>
      </c>
      <c r="J36" s="1079">
        <v>0.3</v>
      </c>
      <c r="K36" s="1080">
        <v>0.3</v>
      </c>
      <c r="L36" s="1079">
        <v>0.2</v>
      </c>
      <c r="M36" s="1080">
        <v>0.2</v>
      </c>
      <c r="N36" s="1081">
        <v>0.1</v>
      </c>
      <c r="O36" s="102"/>
    </row>
    <row r="37" spans="1:17" x14ac:dyDescent="0.35">
      <c r="A37" s="35">
        <v>26</v>
      </c>
      <c r="B37" s="92" t="s">
        <v>265</v>
      </c>
      <c r="C37" s="114">
        <v>1</v>
      </c>
      <c r="D37" s="80">
        <v>0.7</v>
      </c>
      <c r="E37" s="80">
        <v>0.6</v>
      </c>
      <c r="F37" s="114">
        <v>0.5</v>
      </c>
      <c r="G37" s="80">
        <v>0.3</v>
      </c>
      <c r="H37" s="80">
        <v>0.3</v>
      </c>
      <c r="I37" s="1082">
        <v>0.2</v>
      </c>
      <c r="J37" s="1083">
        <v>0.2</v>
      </c>
      <c r="K37" s="1084">
        <v>0.2</v>
      </c>
      <c r="L37" s="1083">
        <v>0.1</v>
      </c>
      <c r="M37" s="1084">
        <v>0.1</v>
      </c>
      <c r="N37" s="1085">
        <v>0.1</v>
      </c>
      <c r="O37" s="102"/>
    </row>
    <row r="38" spans="1:17" x14ac:dyDescent="0.35">
      <c r="A38" s="117">
        <v>27</v>
      </c>
      <c r="B38" s="93" t="s">
        <v>266</v>
      </c>
      <c r="C38" s="112">
        <v>0</v>
      </c>
      <c r="D38" s="78">
        <v>0</v>
      </c>
      <c r="E38" s="78">
        <v>0</v>
      </c>
      <c r="F38" s="112">
        <v>0</v>
      </c>
      <c r="G38" s="78">
        <v>0</v>
      </c>
      <c r="H38" s="78">
        <v>0</v>
      </c>
      <c r="I38" s="1078">
        <v>0</v>
      </c>
      <c r="J38" s="1079">
        <v>0</v>
      </c>
      <c r="K38" s="1080">
        <v>0</v>
      </c>
      <c r="L38" s="1079">
        <v>0</v>
      </c>
      <c r="M38" s="1080">
        <v>0</v>
      </c>
      <c r="N38" s="1081">
        <v>0</v>
      </c>
      <c r="O38" s="102"/>
    </row>
    <row r="39" spans="1:17" x14ac:dyDescent="0.35">
      <c r="A39" s="35">
        <v>28</v>
      </c>
      <c r="B39" s="87" t="s">
        <v>267</v>
      </c>
      <c r="C39" s="114">
        <v>157.19999999999999</v>
      </c>
      <c r="D39" s="80">
        <v>157.6</v>
      </c>
      <c r="E39" s="80">
        <v>158.1</v>
      </c>
      <c r="F39" s="114">
        <v>159.1</v>
      </c>
      <c r="G39" s="80">
        <v>159.69999999999999</v>
      </c>
      <c r="H39" s="80">
        <v>160.4</v>
      </c>
      <c r="I39" s="1082">
        <v>161.1</v>
      </c>
      <c r="J39" s="1083">
        <v>161.6</v>
      </c>
      <c r="K39" s="1084">
        <v>162.5</v>
      </c>
      <c r="L39" s="1083">
        <v>163.19999999999999</v>
      </c>
      <c r="M39" s="1084">
        <v>164</v>
      </c>
      <c r="N39" s="1085">
        <v>164.8</v>
      </c>
      <c r="O39" s="102"/>
    </row>
    <row r="40" spans="1:17" x14ac:dyDescent="0.35">
      <c r="A40" s="117">
        <v>29</v>
      </c>
      <c r="B40" s="129" t="s">
        <v>268</v>
      </c>
      <c r="C40" s="112">
        <v>757.8</v>
      </c>
      <c r="D40" s="78">
        <v>745.1</v>
      </c>
      <c r="E40" s="78">
        <v>736.9</v>
      </c>
      <c r="F40" s="112">
        <v>734.2</v>
      </c>
      <c r="G40" s="78">
        <v>720.5</v>
      </c>
      <c r="H40" s="78">
        <v>713.2</v>
      </c>
      <c r="I40" s="1078">
        <v>725.8</v>
      </c>
      <c r="J40" s="1079">
        <v>722.7</v>
      </c>
      <c r="K40" s="1080">
        <v>716.6</v>
      </c>
      <c r="L40" s="1079">
        <v>778</v>
      </c>
      <c r="M40" s="1080">
        <v>780.6</v>
      </c>
      <c r="N40" s="1081">
        <v>773.8</v>
      </c>
      <c r="O40" s="102"/>
    </row>
    <row r="41" spans="1:17" x14ac:dyDescent="0.35">
      <c r="B41" s="91" t="s">
        <v>269</v>
      </c>
      <c r="C41" s="114" t="s">
        <v>1474</v>
      </c>
      <c r="D41" s="80"/>
      <c r="E41" s="80"/>
      <c r="F41" s="114" t="s">
        <v>1524</v>
      </c>
      <c r="G41" s="80"/>
      <c r="H41" s="80"/>
      <c r="I41" s="1082" t="s">
        <v>2190</v>
      </c>
      <c r="J41" s="1083" t="s">
        <v>2190</v>
      </c>
      <c r="K41" s="1084" t="s">
        <v>2190</v>
      </c>
      <c r="L41" s="1083" t="s">
        <v>2190</v>
      </c>
      <c r="M41" s="1084" t="s">
        <v>2190</v>
      </c>
      <c r="N41" s="1085" t="s">
        <v>2190</v>
      </c>
      <c r="O41" s="102"/>
    </row>
    <row r="42" spans="1:17" ht="16.399999999999999" customHeight="1" x14ac:dyDescent="0.35">
      <c r="A42" s="119">
        <v>30</v>
      </c>
      <c r="B42" s="121" t="s">
        <v>967</v>
      </c>
      <c r="C42" s="114">
        <v>94.3</v>
      </c>
      <c r="D42" s="80">
        <v>94.3</v>
      </c>
      <c r="E42" s="80">
        <v>94.3</v>
      </c>
      <c r="F42" s="114">
        <v>94.3</v>
      </c>
      <c r="G42" s="80">
        <v>94.3</v>
      </c>
      <c r="H42" s="80">
        <v>94.3</v>
      </c>
      <c r="I42" s="1082">
        <v>94.3</v>
      </c>
      <c r="J42" s="1083">
        <v>94.3</v>
      </c>
      <c r="K42" s="1084">
        <v>94.3</v>
      </c>
      <c r="L42" s="1083">
        <v>94.3</v>
      </c>
      <c r="M42" s="1084">
        <v>94.3</v>
      </c>
      <c r="N42" s="1085">
        <v>94.3</v>
      </c>
      <c r="O42" s="104">
        <f>'Social Benefits'!U21</f>
        <v>34</v>
      </c>
      <c r="P42" s="1059">
        <f t="shared" si="0"/>
        <v>0</v>
      </c>
      <c r="Q42" s="1099">
        <f t="shared" si="1"/>
        <v>-60.3</v>
      </c>
    </row>
    <row r="43" spans="1:17" ht="16.399999999999999" customHeight="1" x14ac:dyDescent="0.35">
      <c r="A43" s="119">
        <v>31</v>
      </c>
      <c r="B43" s="121" t="s">
        <v>968</v>
      </c>
      <c r="C43" s="112">
        <v>0</v>
      </c>
      <c r="D43" s="78">
        <v>0</v>
      </c>
      <c r="E43" s="78">
        <v>0</v>
      </c>
      <c r="F43" s="112">
        <v>0</v>
      </c>
      <c r="G43" s="78">
        <v>0</v>
      </c>
      <c r="H43" s="78">
        <v>0</v>
      </c>
      <c r="I43" s="1078">
        <v>0</v>
      </c>
      <c r="J43" s="1079">
        <v>0</v>
      </c>
      <c r="K43" s="1080">
        <v>0</v>
      </c>
      <c r="L43" s="1079">
        <v>0</v>
      </c>
      <c r="M43" s="1080">
        <v>0</v>
      </c>
      <c r="N43" s="1081">
        <v>0</v>
      </c>
      <c r="O43" s="103"/>
      <c r="P43" s="1059">
        <f t="shared" si="0"/>
        <v>0</v>
      </c>
      <c r="Q43" s="1099">
        <f t="shared" si="1"/>
        <v>0</v>
      </c>
    </row>
    <row r="44" spans="1:17" ht="16.399999999999999" customHeight="1" x14ac:dyDescent="0.35">
      <c r="A44" s="35">
        <v>32</v>
      </c>
      <c r="B44" s="92" t="s">
        <v>969</v>
      </c>
      <c r="C44" s="114">
        <v>0</v>
      </c>
      <c r="D44" s="80">
        <v>0</v>
      </c>
      <c r="E44" s="80">
        <v>0</v>
      </c>
      <c r="F44" s="114">
        <v>0</v>
      </c>
      <c r="G44" s="80">
        <v>0</v>
      </c>
      <c r="H44" s="80">
        <v>0</v>
      </c>
      <c r="I44" s="1082">
        <v>0</v>
      </c>
      <c r="J44" s="1083">
        <v>0</v>
      </c>
      <c r="K44" s="1084">
        <v>0</v>
      </c>
      <c r="L44" s="1083">
        <v>0</v>
      </c>
      <c r="M44" s="1084">
        <v>0</v>
      </c>
      <c r="N44" s="1085">
        <v>0</v>
      </c>
      <c r="O44" s="102"/>
      <c r="P44" s="1059">
        <f t="shared" si="0"/>
        <v>0</v>
      </c>
      <c r="Q44" s="1099">
        <f t="shared" si="1"/>
        <v>0</v>
      </c>
    </row>
    <row r="45" spans="1:17" ht="16.399999999999999" customHeight="1" x14ac:dyDescent="0.35">
      <c r="A45" s="119">
        <v>33</v>
      </c>
      <c r="B45" s="122" t="s">
        <v>970</v>
      </c>
      <c r="C45" s="112">
        <v>0</v>
      </c>
      <c r="D45" s="78">
        <v>0</v>
      </c>
      <c r="E45" s="78">
        <v>0</v>
      </c>
      <c r="F45" s="112">
        <v>0</v>
      </c>
      <c r="G45" s="78">
        <v>0</v>
      </c>
      <c r="H45" s="78">
        <v>0</v>
      </c>
      <c r="I45" s="1078">
        <v>0</v>
      </c>
      <c r="J45" s="1079">
        <v>0</v>
      </c>
      <c r="K45" s="1080">
        <v>0</v>
      </c>
      <c r="L45" s="1079">
        <v>0</v>
      </c>
      <c r="M45" s="1080">
        <v>0</v>
      </c>
      <c r="N45" s="1081">
        <v>0</v>
      </c>
      <c r="O45" s="103"/>
      <c r="P45" s="1059">
        <f t="shared" si="0"/>
        <v>0</v>
      </c>
      <c r="Q45" s="1099">
        <f t="shared" si="1"/>
        <v>0</v>
      </c>
    </row>
    <row r="46" spans="1:17" ht="16.399999999999999" customHeight="1" x14ac:dyDescent="0.35">
      <c r="A46" s="119">
        <v>34</v>
      </c>
      <c r="B46" s="96" t="s">
        <v>971</v>
      </c>
      <c r="C46" s="114">
        <v>32.700000000000003</v>
      </c>
      <c r="D46" s="80">
        <v>23.6</v>
      </c>
      <c r="E46" s="80">
        <v>24.3</v>
      </c>
      <c r="F46" s="114">
        <v>27.3</v>
      </c>
      <c r="G46" s="80">
        <v>17.8</v>
      </c>
      <c r="H46" s="80">
        <v>14.8</v>
      </c>
      <c r="I46" s="1082">
        <v>11.8</v>
      </c>
      <c r="J46" s="1083">
        <v>9.8000000000000007</v>
      </c>
      <c r="K46" s="1084">
        <v>2.8</v>
      </c>
      <c r="L46" s="1083">
        <v>3.2</v>
      </c>
      <c r="M46" s="1084">
        <v>8.1</v>
      </c>
      <c r="N46" s="1085">
        <v>3.3</v>
      </c>
      <c r="O46" s="105">
        <f>'Provider Relief (expired)'!U11</f>
        <v>0</v>
      </c>
      <c r="P46" s="1059">
        <f t="shared" si="0"/>
        <v>9.9999999999999645E-2</v>
      </c>
      <c r="Q46" s="1099">
        <f t="shared" si="1"/>
        <v>-3.3</v>
      </c>
    </row>
    <row r="47" spans="1:17" x14ac:dyDescent="0.35">
      <c r="A47" s="117">
        <v>35</v>
      </c>
      <c r="B47" s="129" t="s">
        <v>270</v>
      </c>
      <c r="C47" s="112">
        <v>71.7</v>
      </c>
      <c r="D47" s="78">
        <v>71</v>
      </c>
      <c r="E47" s="78">
        <v>70.5</v>
      </c>
      <c r="F47" s="112">
        <v>70.2</v>
      </c>
      <c r="G47" s="78">
        <v>70</v>
      </c>
      <c r="H47" s="78">
        <v>82</v>
      </c>
      <c r="I47" s="1078">
        <v>70.7</v>
      </c>
      <c r="J47" s="1079">
        <v>69.400000000000006</v>
      </c>
      <c r="K47" s="1080">
        <v>69.400000000000006</v>
      </c>
      <c r="L47" s="1079">
        <v>69.400000000000006</v>
      </c>
      <c r="M47" s="1080">
        <v>69.5</v>
      </c>
      <c r="N47" s="1081">
        <v>69.599999999999994</v>
      </c>
      <c r="O47" s="102"/>
      <c r="P47" s="1059">
        <f t="shared" si="0"/>
        <v>0.19999999999998863</v>
      </c>
      <c r="Q47" s="1099">
        <f t="shared" si="1"/>
        <v>-69.599999999999994</v>
      </c>
    </row>
    <row r="48" spans="1:17" x14ac:dyDescent="0.35">
      <c r="A48" s="76">
        <v>36</v>
      </c>
      <c r="B48" s="126" t="s">
        <v>271</v>
      </c>
      <c r="C48" s="128">
        <v>1623.6</v>
      </c>
      <c r="D48" s="131">
        <v>1635.9</v>
      </c>
      <c r="E48" s="131">
        <v>1644.7</v>
      </c>
      <c r="F48" s="128">
        <v>1651.8</v>
      </c>
      <c r="G48" s="131">
        <v>1661.2</v>
      </c>
      <c r="H48" s="131">
        <v>1661.3</v>
      </c>
      <c r="I48" s="1074">
        <v>1673.9</v>
      </c>
      <c r="J48" s="1075">
        <v>1679.7</v>
      </c>
      <c r="K48" s="1076">
        <v>1688.8</v>
      </c>
      <c r="L48" s="1075">
        <v>1695.3</v>
      </c>
      <c r="M48" s="1076">
        <v>1700.3</v>
      </c>
      <c r="N48" s="1077">
        <v>1704.3</v>
      </c>
      <c r="O48" s="111">
        <f>Taxes!U13+Taxes!U25</f>
        <v>1722.8810555427935</v>
      </c>
      <c r="P48" s="1059">
        <f t="shared" si="0"/>
        <v>9</v>
      </c>
      <c r="Q48" s="1099">
        <f t="shared" si="1"/>
        <v>18.581055542793592</v>
      </c>
    </row>
    <row r="49" spans="1:17" x14ac:dyDescent="0.35">
      <c r="A49" s="116">
        <v>37</v>
      </c>
      <c r="B49" s="88" t="s">
        <v>272</v>
      </c>
      <c r="C49" s="79">
        <v>3125.7</v>
      </c>
      <c r="D49" s="81">
        <v>3147</v>
      </c>
      <c r="E49" s="81">
        <v>3163.7</v>
      </c>
      <c r="F49" s="79">
        <v>3183.6</v>
      </c>
      <c r="G49" s="81">
        <v>3199.3</v>
      </c>
      <c r="H49" s="81">
        <v>3198.5</v>
      </c>
      <c r="I49" s="1086">
        <v>3216.6</v>
      </c>
      <c r="J49" s="1087">
        <v>3227.9</v>
      </c>
      <c r="K49" s="1088">
        <v>3243.1</v>
      </c>
      <c r="L49" s="1087">
        <v>3245.9</v>
      </c>
      <c r="M49" s="1088">
        <v>3241.8</v>
      </c>
      <c r="N49" s="1089">
        <v>3242.2</v>
      </c>
      <c r="O49" s="111">
        <f>Taxes!U10+Taxes!U24</f>
        <v>3172.1025365347487</v>
      </c>
      <c r="P49" s="1059">
        <f t="shared" si="0"/>
        <v>-3.7000000000002728</v>
      </c>
      <c r="Q49" s="1099">
        <f t="shared" si="1"/>
        <v>-70.097463465251167</v>
      </c>
    </row>
    <row r="50" spans="1:17" x14ac:dyDescent="0.35">
      <c r="A50" s="76">
        <v>38</v>
      </c>
      <c r="B50" s="126" t="s">
        <v>273</v>
      </c>
      <c r="C50" s="128">
        <v>18080</v>
      </c>
      <c r="D50" s="131">
        <v>18172.5</v>
      </c>
      <c r="E50" s="131">
        <v>18270.599999999999</v>
      </c>
      <c r="F50" s="128">
        <v>18320</v>
      </c>
      <c r="G50" s="131">
        <v>18425</v>
      </c>
      <c r="H50" s="131">
        <v>18488.5</v>
      </c>
      <c r="I50" s="1074">
        <v>18565.099999999999</v>
      </c>
      <c r="J50" s="1075">
        <v>18631.900000000001</v>
      </c>
      <c r="K50" s="1076">
        <v>18699.5</v>
      </c>
      <c r="L50" s="1075">
        <v>18872.400000000001</v>
      </c>
      <c r="M50" s="1076">
        <v>18933</v>
      </c>
      <c r="N50" s="1077">
        <v>18982.099999999999</v>
      </c>
      <c r="O50" s="102"/>
      <c r="P50" s="71"/>
    </row>
    <row r="51" spans="1:17" x14ac:dyDescent="0.35">
      <c r="A51" s="116">
        <v>39</v>
      </c>
      <c r="B51" s="88" t="s">
        <v>274</v>
      </c>
      <c r="C51" s="79">
        <v>17234.400000000001</v>
      </c>
      <c r="D51" s="81">
        <v>17359.2</v>
      </c>
      <c r="E51" s="81">
        <v>17574.8</v>
      </c>
      <c r="F51" s="79">
        <v>17645.400000000001</v>
      </c>
      <c r="G51" s="81">
        <v>17768.400000000001</v>
      </c>
      <c r="H51" s="81">
        <v>17982.2</v>
      </c>
      <c r="I51" s="1086">
        <v>17983.400000000001</v>
      </c>
      <c r="J51" s="1087">
        <v>18132.7</v>
      </c>
      <c r="K51" s="1088">
        <v>18257.400000000001</v>
      </c>
      <c r="L51" s="1087">
        <v>18400.400000000001</v>
      </c>
      <c r="M51" s="1088">
        <v>18383.8</v>
      </c>
      <c r="N51" s="1089">
        <v>18344.7</v>
      </c>
      <c r="O51" s="102"/>
      <c r="P51" s="71">
        <f>K49/C49-1</f>
        <v>3.755958665258996E-2</v>
      </c>
    </row>
    <row r="52" spans="1:17" x14ac:dyDescent="0.35">
      <c r="A52" s="35">
        <v>40</v>
      </c>
      <c r="B52" s="87" t="s">
        <v>275</v>
      </c>
      <c r="C52" s="114">
        <v>16725.599999999999</v>
      </c>
      <c r="D52" s="80">
        <v>16844.5</v>
      </c>
      <c r="E52" s="80">
        <v>17054.2</v>
      </c>
      <c r="F52" s="114">
        <v>17115.599999999999</v>
      </c>
      <c r="G52" s="80">
        <v>17231.099999999999</v>
      </c>
      <c r="H52" s="80">
        <v>17437.400000000001</v>
      </c>
      <c r="I52" s="1082">
        <v>17420.3</v>
      </c>
      <c r="J52" s="1083">
        <v>17550.900000000001</v>
      </c>
      <c r="K52" s="1084">
        <v>17656.8</v>
      </c>
      <c r="L52" s="1083">
        <v>17797.900000000001</v>
      </c>
      <c r="M52" s="1084">
        <v>17778.8</v>
      </c>
      <c r="N52" s="1085">
        <v>17737.2</v>
      </c>
      <c r="O52" s="102"/>
    </row>
    <row r="53" spans="1:17" x14ac:dyDescent="0.35">
      <c r="A53" s="117">
        <v>41</v>
      </c>
      <c r="B53" s="129" t="s">
        <v>276</v>
      </c>
      <c r="C53" s="112">
        <v>288.10000000000002</v>
      </c>
      <c r="D53" s="78">
        <v>293.5</v>
      </c>
      <c r="E53" s="78">
        <v>298.8</v>
      </c>
      <c r="F53" s="112">
        <v>306</v>
      </c>
      <c r="G53" s="78">
        <v>313.10000000000002</v>
      </c>
      <c r="H53" s="78">
        <v>320.2</v>
      </c>
      <c r="I53" s="1078">
        <v>338.7</v>
      </c>
      <c r="J53" s="1079">
        <v>357.1</v>
      </c>
      <c r="K53" s="1080">
        <v>375.6</v>
      </c>
      <c r="L53" s="1079">
        <v>377.9</v>
      </c>
      <c r="M53" s="1080">
        <v>380.2</v>
      </c>
      <c r="N53" s="1081">
        <v>382.5</v>
      </c>
      <c r="O53" s="102"/>
    </row>
    <row r="54" spans="1:17" x14ac:dyDescent="0.35">
      <c r="B54" s="94" t="s">
        <v>277</v>
      </c>
      <c r="C54" s="114" t="s">
        <v>1474</v>
      </c>
      <c r="D54" s="80"/>
      <c r="E54" s="80"/>
      <c r="F54" s="114" t="s">
        <v>1524</v>
      </c>
      <c r="G54" s="80"/>
      <c r="H54" s="80"/>
      <c r="I54" s="1082" t="s">
        <v>2190</v>
      </c>
      <c r="J54" s="1083" t="s">
        <v>2190</v>
      </c>
      <c r="K54" s="1084" t="s">
        <v>2190</v>
      </c>
      <c r="L54" s="1083" t="s">
        <v>2190</v>
      </c>
      <c r="M54" s="1084" t="s">
        <v>2190</v>
      </c>
      <c r="N54" s="1085" t="s">
        <v>2190</v>
      </c>
      <c r="O54" s="102"/>
    </row>
    <row r="55" spans="1:17" ht="16.399999999999999" customHeight="1" x14ac:dyDescent="0.35">
      <c r="A55" s="35">
        <v>42</v>
      </c>
      <c r="B55" s="92" t="s">
        <v>972</v>
      </c>
      <c r="C55" s="114">
        <v>-37.799999999999997</v>
      </c>
      <c r="D55" s="80">
        <v>-37.799999999999997</v>
      </c>
      <c r="E55" s="80">
        <v>-37.799999999999997</v>
      </c>
      <c r="F55" s="114">
        <v>-37.799999999999997</v>
      </c>
      <c r="G55" s="80">
        <v>-37.799999999999997</v>
      </c>
      <c r="H55" s="80">
        <v>-37.799999999999997</v>
      </c>
      <c r="I55" s="1082">
        <v>-37.799999999999997</v>
      </c>
      <c r="J55" s="1083">
        <v>-37.799999999999997</v>
      </c>
      <c r="K55" s="1084">
        <v>-37.799999999999997</v>
      </c>
      <c r="L55" s="1083">
        <v>-37.799999999999997</v>
      </c>
      <c r="M55" s="1084">
        <v>-37.799999999999997</v>
      </c>
      <c r="N55" s="1085">
        <v>-37.799999999999997</v>
      </c>
      <c r="O55" s="102"/>
    </row>
    <row r="56" spans="1:17" x14ac:dyDescent="0.35">
      <c r="A56" s="117">
        <v>43</v>
      </c>
      <c r="B56" s="129" t="s">
        <v>278</v>
      </c>
      <c r="C56" s="112">
        <v>220.7</v>
      </c>
      <c r="D56" s="78">
        <v>221.3</v>
      </c>
      <c r="E56" s="78">
        <v>221.8</v>
      </c>
      <c r="F56" s="112">
        <v>223.8</v>
      </c>
      <c r="G56" s="78">
        <v>224.2</v>
      </c>
      <c r="H56" s="78">
        <v>224.6</v>
      </c>
      <c r="I56" s="1078">
        <v>224.4</v>
      </c>
      <c r="J56" s="1079">
        <v>224.7</v>
      </c>
      <c r="K56" s="1080">
        <v>225</v>
      </c>
      <c r="L56" s="1079">
        <v>224.7</v>
      </c>
      <c r="M56" s="1080">
        <v>224.9</v>
      </c>
      <c r="N56" s="1081">
        <v>225</v>
      </c>
      <c r="O56" s="102"/>
    </row>
    <row r="57" spans="1:17" x14ac:dyDescent="0.35">
      <c r="A57" s="35">
        <v>44</v>
      </c>
      <c r="B57" s="87" t="s">
        <v>279</v>
      </c>
      <c r="C57" s="114">
        <v>113.6</v>
      </c>
      <c r="D57" s="80">
        <v>114.1</v>
      </c>
      <c r="E57" s="80">
        <v>114.6</v>
      </c>
      <c r="F57" s="114">
        <v>115</v>
      </c>
      <c r="G57" s="80">
        <v>115.4</v>
      </c>
      <c r="H57" s="80">
        <v>115.8</v>
      </c>
      <c r="I57" s="1082">
        <v>116.1</v>
      </c>
      <c r="J57" s="1083">
        <v>116.4</v>
      </c>
      <c r="K57" s="1084">
        <v>116.7</v>
      </c>
      <c r="L57" s="1083">
        <v>116.9</v>
      </c>
      <c r="M57" s="1084">
        <v>117.1</v>
      </c>
      <c r="N57" s="1085">
        <v>117.2</v>
      </c>
      <c r="O57" s="102"/>
    </row>
    <row r="58" spans="1:17" x14ac:dyDescent="0.35">
      <c r="A58" s="117">
        <v>45</v>
      </c>
      <c r="B58" s="129" t="s">
        <v>280</v>
      </c>
      <c r="C58" s="112">
        <v>107.2</v>
      </c>
      <c r="D58" s="78">
        <v>107.2</v>
      </c>
      <c r="E58" s="78">
        <v>107.2</v>
      </c>
      <c r="F58" s="112">
        <v>108.8</v>
      </c>
      <c r="G58" s="78">
        <v>108.8</v>
      </c>
      <c r="H58" s="78">
        <v>108.8</v>
      </c>
      <c r="I58" s="1078">
        <v>108.3</v>
      </c>
      <c r="J58" s="1079">
        <v>108.3</v>
      </c>
      <c r="K58" s="1080">
        <v>108.3</v>
      </c>
      <c r="L58" s="1079">
        <v>107.8</v>
      </c>
      <c r="M58" s="1080">
        <v>107.8</v>
      </c>
      <c r="N58" s="1081">
        <v>107.8</v>
      </c>
      <c r="O58" s="102"/>
    </row>
    <row r="59" spans="1:17" ht="15" customHeight="1" thickBot="1" x14ac:dyDescent="0.4">
      <c r="A59" s="118">
        <v>46</v>
      </c>
      <c r="B59" s="95" t="s">
        <v>281</v>
      </c>
      <c r="C59" s="84">
        <v>845.6</v>
      </c>
      <c r="D59" s="82">
        <v>813.3</v>
      </c>
      <c r="E59" s="82">
        <v>695.8</v>
      </c>
      <c r="F59" s="84">
        <v>674.7</v>
      </c>
      <c r="G59" s="82">
        <v>656.6</v>
      </c>
      <c r="H59" s="82">
        <v>506.3</v>
      </c>
      <c r="I59" s="1090">
        <v>581.70000000000005</v>
      </c>
      <c r="J59" s="1091">
        <v>499.2</v>
      </c>
      <c r="K59" s="1092">
        <v>442.1</v>
      </c>
      <c r="L59" s="1091">
        <v>471.9</v>
      </c>
      <c r="M59" s="1092">
        <v>549.1</v>
      </c>
      <c r="N59" s="1093">
        <v>637.5</v>
      </c>
      <c r="O59" s="106"/>
    </row>
    <row r="61" spans="1:17" x14ac:dyDescent="0.35">
      <c r="A61" s="35" t="s">
        <v>282</v>
      </c>
      <c r="B61" s="35" t="s">
        <v>283</v>
      </c>
      <c r="I61" s="35"/>
      <c r="J61" s="35"/>
      <c r="K61" s="35"/>
      <c r="L61" s="35"/>
      <c r="M61" s="35"/>
      <c r="N61" s="1064"/>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412" t="s">
        <v>945</v>
      </c>
      <c r="B66" s="1412"/>
      <c r="C66" s="1412"/>
      <c r="D66" s="1412"/>
      <c r="E66" s="1412"/>
      <c r="F66" s="1412"/>
      <c r="G66" s="1412"/>
    </row>
    <row r="67" spans="1:7" x14ac:dyDescent="0.35">
      <c r="A67" s="1410" t="s">
        <v>946</v>
      </c>
      <c r="B67" s="1410"/>
      <c r="C67" s="1410"/>
      <c r="D67" s="1410"/>
      <c r="E67" s="1410"/>
      <c r="F67" s="1410"/>
      <c r="G67" s="1410"/>
    </row>
    <row r="68" spans="1:7" x14ac:dyDescent="0.35">
      <c r="A68" s="1409" t="s">
        <v>947</v>
      </c>
      <c r="B68" s="1409"/>
      <c r="C68" s="1409"/>
      <c r="D68" s="1409"/>
      <c r="E68" s="1409"/>
      <c r="F68" s="1409"/>
      <c r="G68" s="1409"/>
    </row>
    <row r="69" spans="1:7" x14ac:dyDescent="0.35">
      <c r="A69" s="1411" t="s">
        <v>948</v>
      </c>
      <c r="B69" s="1411"/>
      <c r="C69" s="1411"/>
      <c r="D69" s="1411"/>
      <c r="E69" s="1411"/>
      <c r="F69" s="1411"/>
      <c r="G69" s="1411"/>
    </row>
    <row r="70" spans="1:7" x14ac:dyDescent="0.35">
      <c r="A70" s="1412" t="s">
        <v>949</v>
      </c>
      <c r="B70" s="1412"/>
      <c r="C70" s="1412"/>
      <c r="D70" s="1412"/>
      <c r="E70" s="1412"/>
      <c r="F70" s="1412"/>
      <c r="G70" s="1412"/>
    </row>
    <row r="71" spans="1:7" x14ac:dyDescent="0.35">
      <c r="A71" s="1410" t="s">
        <v>950</v>
      </c>
      <c r="B71" s="1410"/>
      <c r="C71" s="1410"/>
      <c r="D71" s="1410"/>
      <c r="E71" s="1410"/>
      <c r="F71" s="1410"/>
      <c r="G71" s="1410"/>
    </row>
    <row r="72" spans="1:7" x14ac:dyDescent="0.35">
      <c r="A72" s="1409" t="s">
        <v>951</v>
      </c>
      <c r="B72" s="1409"/>
      <c r="C72" s="1409"/>
      <c r="D72" s="1409"/>
      <c r="E72" s="1409"/>
      <c r="F72" s="1409"/>
      <c r="G72" s="1409"/>
    </row>
    <row r="73" spans="1:7" x14ac:dyDescent="0.35">
      <c r="A73" s="1409" t="s">
        <v>952</v>
      </c>
      <c r="B73" s="1409"/>
      <c r="C73" s="1409"/>
      <c r="D73" s="1409"/>
      <c r="E73" s="1409"/>
      <c r="F73" s="1409"/>
      <c r="G73" s="1409"/>
    </row>
    <row r="74" spans="1:7" x14ac:dyDescent="0.35">
      <c r="A74" s="1410" t="s">
        <v>953</v>
      </c>
      <c r="B74" s="1410"/>
      <c r="C74" s="1410"/>
      <c r="D74" s="1410"/>
      <c r="E74" s="1410"/>
      <c r="F74" s="1410"/>
      <c r="G74" s="1410"/>
    </row>
    <row r="76" spans="1:7" x14ac:dyDescent="0.35">
      <c r="A76" s="1411" t="s">
        <v>954</v>
      </c>
      <c r="B76" s="1411"/>
      <c r="C76" s="1411"/>
      <c r="D76" s="1411"/>
      <c r="E76" s="1411"/>
      <c r="F76" s="1411"/>
      <c r="G76" s="1411"/>
    </row>
    <row r="78" spans="1:7" x14ac:dyDescent="0.35">
      <c r="A78" s="35" t="s">
        <v>290</v>
      </c>
    </row>
    <row r="80" spans="1:7" x14ac:dyDescent="0.35">
      <c r="A80" s="35" t="s">
        <v>291</v>
      </c>
    </row>
    <row r="82" spans="1:1" x14ac:dyDescent="0.35">
      <c r="A82" s="124"/>
    </row>
    <row r="88" spans="1:1" x14ac:dyDescent="0.35">
      <c r="A88" s="123"/>
    </row>
    <row r="89" spans="1:1" x14ac:dyDescent="0.35">
      <c r="A89" s="123"/>
    </row>
    <row r="90" spans="1:1" x14ac:dyDescent="0.35">
      <c r="A90" s="123"/>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2023-02-23T14:28:50Z</dcterms:modified>
  <cp:category/>
  <cp:contentStatus/>
</cp:coreProperties>
</file>